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13" sheetId="1" r:id="rId1"/>
  </sheets>
  <definedNames>
    <definedName name="_xlnm.Print_Area" localSheetId="0">'Нефт.,13'!$A$1:$U$152</definedName>
  </definedNames>
  <calcPr calcId="124519"/>
</workbook>
</file>

<file path=xl/calcChain.xml><?xml version="1.0" encoding="utf-8"?>
<calcChain xmlns="http://schemas.openxmlformats.org/spreadsheetml/2006/main">
  <c r="H140" i="1"/>
  <c r="U140"/>
  <c r="F139"/>
  <c r="T139" s="1"/>
  <c r="U139" s="1"/>
  <c r="U111"/>
  <c r="U112"/>
  <c r="F111"/>
  <c r="N111" s="1"/>
  <c r="L39"/>
  <c r="K39"/>
  <c r="F39"/>
  <c r="U108"/>
  <c r="L108"/>
  <c r="F108"/>
  <c r="H108" s="1"/>
  <c r="H139" l="1"/>
  <c r="H111"/>
  <c r="C150"/>
  <c r="C147"/>
  <c r="U137"/>
  <c r="U138"/>
  <c r="R137"/>
  <c r="G137" l="1"/>
  <c r="H137" l="1"/>
  <c r="T98" l="1"/>
  <c r="K98"/>
  <c r="F138"/>
  <c r="H138" s="1"/>
  <c r="F136"/>
  <c r="H136" s="1"/>
  <c r="R98"/>
  <c r="T90"/>
  <c r="T89"/>
  <c r="T113"/>
  <c r="S89"/>
  <c r="S90"/>
  <c r="R71"/>
  <c r="R112"/>
  <c r="R135"/>
  <c r="U135" s="1"/>
  <c r="H135"/>
  <c r="S87"/>
  <c r="F87"/>
  <c r="R123"/>
  <c r="R134"/>
  <c r="U134"/>
  <c r="H134"/>
  <c r="R133"/>
  <c r="R136" l="1"/>
  <c r="U136" s="1"/>
  <c r="S138"/>
  <c r="U133"/>
  <c r="H133"/>
  <c r="R122"/>
  <c r="R132"/>
  <c r="U132"/>
  <c r="H132"/>
  <c r="R131"/>
  <c r="U131" s="1"/>
  <c r="H131"/>
  <c r="R130"/>
  <c r="U130" s="1"/>
  <c r="H130"/>
  <c r="R129"/>
  <c r="U129" s="1"/>
  <c r="H129"/>
  <c r="R128"/>
  <c r="U128"/>
  <c r="H128"/>
  <c r="R127"/>
  <c r="U127"/>
  <c r="H127"/>
  <c r="R115"/>
  <c r="R114"/>
  <c r="R94"/>
  <c r="R126"/>
  <c r="U126" s="1"/>
  <c r="H126"/>
  <c r="U122"/>
  <c r="U123"/>
  <c r="R125"/>
  <c r="U125" s="1"/>
  <c r="H125"/>
  <c r="R124"/>
  <c r="U124" s="1"/>
  <c r="H124"/>
  <c r="H123"/>
  <c r="H122"/>
  <c r="R121"/>
  <c r="U121" s="1"/>
  <c r="H121"/>
  <c r="R62" l="1"/>
  <c r="R118"/>
  <c r="U118" s="1"/>
  <c r="H118"/>
  <c r="R120"/>
  <c r="U120" s="1"/>
  <c r="H120"/>
  <c r="R119"/>
  <c r="U119" s="1"/>
  <c r="H119"/>
  <c r="U77"/>
  <c r="U57"/>
  <c r="U60"/>
  <c r="U63"/>
  <c r="U71"/>
  <c r="U72"/>
  <c r="U73"/>
  <c r="U75"/>
  <c r="U36"/>
  <c r="U29"/>
  <c r="U30"/>
  <c r="P99"/>
  <c r="P87"/>
  <c r="Q89"/>
  <c r="Q62"/>
  <c r="Q87"/>
  <c r="Q116"/>
  <c r="Q94"/>
  <c r="N110" l="1"/>
  <c r="U110" s="1"/>
  <c r="H110"/>
  <c r="P62"/>
  <c r="P117"/>
  <c r="U117" s="1"/>
  <c r="H117"/>
  <c r="P116" l="1"/>
  <c r="U116" s="1"/>
  <c r="H116"/>
  <c r="P94"/>
  <c r="P115"/>
  <c r="U115" s="1"/>
  <c r="H115"/>
  <c r="P114" l="1"/>
  <c r="U114" s="1"/>
  <c r="N109"/>
  <c r="M109"/>
  <c r="F109"/>
  <c r="O113"/>
  <c r="U113" s="1"/>
  <c r="H113"/>
  <c r="U109" l="1"/>
  <c r="O112"/>
  <c r="O89"/>
  <c r="N89"/>
  <c r="N87"/>
  <c r="N100"/>
  <c r="N62"/>
  <c r="R52"/>
  <c r="N52"/>
  <c r="I52"/>
  <c r="U52" s="1"/>
  <c r="L107"/>
  <c r="U107" s="1"/>
  <c r="L89"/>
  <c r="L106"/>
  <c r="U106" s="1"/>
  <c r="L105"/>
  <c r="U105" s="1"/>
  <c r="H105"/>
  <c r="H106"/>
  <c r="M102"/>
  <c r="F104"/>
  <c r="H104" s="1"/>
  <c r="K104"/>
  <c r="L104"/>
  <c r="K103"/>
  <c r="H103"/>
  <c r="I103"/>
  <c r="U103" s="1"/>
  <c r="K102"/>
  <c r="U102" s="1"/>
  <c r="H102"/>
  <c r="M101"/>
  <c r="L88"/>
  <c r="L99"/>
  <c r="L87"/>
  <c r="K87"/>
  <c r="K62"/>
  <c r="U62" s="1"/>
  <c r="K101"/>
  <c r="U101" s="1"/>
  <c r="H101"/>
  <c r="K100"/>
  <c r="U100" s="1"/>
  <c r="H100"/>
  <c r="U104" l="1"/>
  <c r="H109"/>
  <c r="K99"/>
  <c r="U99" s="1"/>
  <c r="H99"/>
  <c r="J98"/>
  <c r="U98" s="1"/>
  <c r="J90"/>
  <c r="J97"/>
  <c r="U97" s="1"/>
  <c r="H97"/>
  <c r="J89"/>
  <c r="J96"/>
  <c r="U96" s="1"/>
  <c r="H96"/>
  <c r="J95"/>
  <c r="U95" s="1"/>
  <c r="J94"/>
  <c r="U94" s="1"/>
  <c r="H94"/>
  <c r="I88" l="1"/>
  <c r="U88" s="1"/>
  <c r="H88"/>
  <c r="I93" l="1"/>
  <c r="U93" s="1"/>
  <c r="H93"/>
  <c r="I92"/>
  <c r="U92" s="1"/>
  <c r="I90"/>
  <c r="U90" s="1"/>
  <c r="I91"/>
  <c r="U91" s="1"/>
  <c r="I89"/>
  <c r="U89" s="1"/>
  <c r="I87"/>
  <c r="U87" s="1"/>
  <c r="T58"/>
  <c r="S58"/>
  <c r="T40"/>
  <c r="T34"/>
  <c r="S34"/>
  <c r="R58"/>
  <c r="Q58"/>
  <c r="R51"/>
  <c r="S40"/>
  <c r="R26"/>
  <c r="Q26"/>
  <c r="P58" l="1"/>
  <c r="O58"/>
  <c r="N58"/>
  <c r="P26"/>
  <c r="H87"/>
  <c r="O26" l="1"/>
  <c r="H89" l="1"/>
  <c r="F107" l="1"/>
  <c r="H107" s="1"/>
  <c r="H90"/>
  <c r="M58" l="1"/>
  <c r="N26"/>
  <c r="M51"/>
  <c r="U51" s="1"/>
  <c r="H112"/>
  <c r="L58"/>
  <c r="M26"/>
  <c r="U26" s="1"/>
  <c r="M19"/>
  <c r="U19" s="1"/>
  <c r="K58"/>
  <c r="L40" l="1"/>
  <c r="L34"/>
  <c r="K34"/>
  <c r="H92"/>
  <c r="J58"/>
  <c r="H36"/>
  <c r="K40" l="1"/>
  <c r="J34"/>
  <c r="H98"/>
  <c r="H91" l="1"/>
  <c r="H114" l="1"/>
  <c r="H95" l="1"/>
  <c r="F27" l="1"/>
  <c r="H77"/>
  <c r="J40"/>
  <c r="I58"/>
  <c r="U58" s="1"/>
  <c r="I40"/>
  <c r="U40" s="1"/>
  <c r="I34"/>
  <c r="U34" s="1"/>
  <c r="R27" l="1"/>
  <c r="Q27"/>
  <c r="P27"/>
  <c r="O27"/>
  <c r="M27"/>
  <c r="N27"/>
  <c r="F65"/>
  <c r="F64"/>
  <c r="H58"/>
  <c r="F52"/>
  <c r="U27" l="1"/>
  <c r="M65"/>
  <c r="U65" s="1"/>
  <c r="M64"/>
  <c r="U64" s="1"/>
  <c r="F47"/>
  <c r="Q47" s="1"/>
  <c r="F38"/>
  <c r="F35"/>
  <c r="T38" l="1"/>
  <c r="S38"/>
  <c r="S35"/>
  <c r="T35"/>
  <c r="K38"/>
  <c r="L38"/>
  <c r="K35"/>
  <c r="L35"/>
  <c r="M47"/>
  <c r="U47" s="1"/>
  <c r="I38"/>
  <c r="J38"/>
  <c r="I35"/>
  <c r="J35"/>
  <c r="F23"/>
  <c r="F16"/>
  <c r="U35" l="1"/>
  <c r="U38"/>
  <c r="S16"/>
  <c r="Q16"/>
  <c r="O16"/>
  <c r="M16"/>
  <c r="R23"/>
  <c r="Q23"/>
  <c r="O23"/>
  <c r="P23"/>
  <c r="N23"/>
  <c r="M23"/>
  <c r="I16"/>
  <c r="K16"/>
  <c r="H23"/>
  <c r="F57"/>
  <c r="F55"/>
  <c r="U23" l="1"/>
  <c r="U16"/>
  <c r="S55"/>
  <c r="T55"/>
  <c r="K55"/>
  <c r="L55"/>
  <c r="J55"/>
  <c r="I55"/>
  <c r="H57"/>
  <c r="H47"/>
  <c r="F48"/>
  <c r="H19"/>
  <c r="H55"/>
  <c r="U55" l="1"/>
  <c r="Q48"/>
  <c r="T48"/>
  <c r="J48"/>
  <c r="M48"/>
  <c r="I48"/>
  <c r="U48" l="1"/>
  <c r="H73"/>
  <c r="C149" l="1"/>
  <c r="H142"/>
  <c r="F143"/>
  <c r="E80"/>
  <c r="H83" s="1"/>
  <c r="F78"/>
  <c r="H75"/>
  <c r="F72"/>
  <c r="H72" s="1"/>
  <c r="F69"/>
  <c r="F68"/>
  <c r="M68" s="1"/>
  <c r="U68" s="1"/>
  <c r="F67"/>
  <c r="M67" s="1"/>
  <c r="U67" s="1"/>
  <c r="F66"/>
  <c r="M66" s="1"/>
  <c r="U66" s="1"/>
  <c r="H65"/>
  <c r="H64"/>
  <c r="H63"/>
  <c r="H62"/>
  <c r="H52"/>
  <c r="H51"/>
  <c r="F50"/>
  <c r="F49"/>
  <c r="F46"/>
  <c r="F45"/>
  <c r="F44"/>
  <c r="F43"/>
  <c r="H40"/>
  <c r="H38"/>
  <c r="F37"/>
  <c r="H35"/>
  <c r="H34"/>
  <c r="F31"/>
  <c r="H30"/>
  <c r="H29"/>
  <c r="F28"/>
  <c r="H27"/>
  <c r="F25"/>
  <c r="F24"/>
  <c r="F20"/>
  <c r="F18"/>
  <c r="F17"/>
  <c r="F15"/>
  <c r="F14"/>
  <c r="M14" s="1"/>
  <c r="U14" s="1"/>
  <c r="E13"/>
  <c r="F13" s="1"/>
  <c r="F12"/>
  <c r="F11"/>
  <c r="T13" l="1"/>
  <c r="R13"/>
  <c r="S13"/>
  <c r="Q13"/>
  <c r="P13"/>
  <c r="O13"/>
  <c r="S12"/>
  <c r="Q12"/>
  <c r="T12"/>
  <c r="R12"/>
  <c r="P12"/>
  <c r="O12"/>
  <c r="S28"/>
  <c r="R28"/>
  <c r="T28"/>
  <c r="Q28"/>
  <c r="P28"/>
  <c r="O28"/>
  <c r="T37"/>
  <c r="S37"/>
  <c r="M43"/>
  <c r="Q43"/>
  <c r="M45"/>
  <c r="Q45"/>
  <c r="M49"/>
  <c r="R49"/>
  <c r="S78"/>
  <c r="Q78"/>
  <c r="T78"/>
  <c r="R78"/>
  <c r="O78"/>
  <c r="P78"/>
  <c r="N78"/>
  <c r="T11"/>
  <c r="S11"/>
  <c r="R11"/>
  <c r="Q11"/>
  <c r="P11"/>
  <c r="O11"/>
  <c r="N11"/>
  <c r="Q15"/>
  <c r="S15"/>
  <c r="T15"/>
  <c r="R15"/>
  <c r="P15"/>
  <c r="O15"/>
  <c r="N15"/>
  <c r="R24"/>
  <c r="Q24"/>
  <c r="P24"/>
  <c r="O24"/>
  <c r="T31"/>
  <c r="R31"/>
  <c r="S31"/>
  <c r="Q31"/>
  <c r="P31"/>
  <c r="O31"/>
  <c r="M44"/>
  <c r="Q44"/>
  <c r="M46"/>
  <c r="Q46"/>
  <c r="M50"/>
  <c r="R50"/>
  <c r="H69"/>
  <c r="Q69"/>
  <c r="U69" s="1"/>
  <c r="K13"/>
  <c r="M13"/>
  <c r="N13"/>
  <c r="L13"/>
  <c r="H18"/>
  <c r="M18"/>
  <c r="U18" s="1"/>
  <c r="M24"/>
  <c r="N24"/>
  <c r="K12"/>
  <c r="N12"/>
  <c r="M12"/>
  <c r="L12"/>
  <c r="H14"/>
  <c r="H17"/>
  <c r="M17"/>
  <c r="U17" s="1"/>
  <c r="H20"/>
  <c r="M20"/>
  <c r="U20" s="1"/>
  <c r="H25"/>
  <c r="M25"/>
  <c r="U25" s="1"/>
  <c r="N28"/>
  <c r="M28"/>
  <c r="L28"/>
  <c r="K28"/>
  <c r="K37"/>
  <c r="L37"/>
  <c r="M78"/>
  <c r="L78"/>
  <c r="K78"/>
  <c r="M11"/>
  <c r="L11"/>
  <c r="K11"/>
  <c r="M15"/>
  <c r="L15"/>
  <c r="K15"/>
  <c r="M31"/>
  <c r="N31"/>
  <c r="L31"/>
  <c r="K31"/>
  <c r="J15"/>
  <c r="I28"/>
  <c r="J78"/>
  <c r="J11"/>
  <c r="J31"/>
  <c r="I11"/>
  <c r="I12"/>
  <c r="J12"/>
  <c r="J28"/>
  <c r="J37"/>
  <c r="H43"/>
  <c r="H45"/>
  <c r="H66"/>
  <c r="H68"/>
  <c r="I78"/>
  <c r="U78" s="1"/>
  <c r="I13"/>
  <c r="J13"/>
  <c r="I15"/>
  <c r="H24"/>
  <c r="H31"/>
  <c r="I31"/>
  <c r="U31" s="1"/>
  <c r="H44"/>
  <c r="H46"/>
  <c r="H67"/>
  <c r="H37"/>
  <c r="I37"/>
  <c r="H39"/>
  <c r="H49"/>
  <c r="H50"/>
  <c r="H78"/>
  <c r="H28"/>
  <c r="H48"/>
  <c r="H11"/>
  <c r="H12"/>
  <c r="H16"/>
  <c r="H13"/>
  <c r="H15"/>
  <c r="H79"/>
  <c r="F80"/>
  <c r="H41"/>
  <c r="U11" l="1"/>
  <c r="U39"/>
  <c r="U37"/>
  <c r="U15"/>
  <c r="U13"/>
  <c r="U12"/>
  <c r="U24"/>
  <c r="U50"/>
  <c r="U46"/>
  <c r="U28"/>
  <c r="U49"/>
  <c r="U45"/>
  <c r="U43"/>
  <c r="U44"/>
  <c r="H76"/>
  <c r="H32"/>
  <c r="T80"/>
  <c r="T143" s="1"/>
  <c r="S80"/>
  <c r="Q80"/>
  <c r="Q143" s="1"/>
  <c r="R80"/>
  <c r="O80"/>
  <c r="P80"/>
  <c r="N80"/>
  <c r="N143" s="1"/>
  <c r="H53"/>
  <c r="O143"/>
  <c r="S143"/>
  <c r="P143"/>
  <c r="R143"/>
  <c r="M80"/>
  <c r="L80"/>
  <c r="K80"/>
  <c r="K143" s="1"/>
  <c r="J80"/>
  <c r="I80"/>
  <c r="U80" s="1"/>
  <c r="J143"/>
  <c r="U76"/>
  <c r="U79"/>
  <c r="M143"/>
  <c r="L143"/>
  <c r="U53"/>
  <c r="U41"/>
  <c r="H21"/>
  <c r="H80"/>
  <c r="H81" s="1"/>
  <c r="I143" l="1"/>
  <c r="U81"/>
  <c r="U21"/>
  <c r="U32"/>
  <c r="H82"/>
  <c r="H84" s="1"/>
  <c r="G143" s="1"/>
  <c r="H143" s="1"/>
  <c r="U82" l="1"/>
  <c r="U143" s="1"/>
  <c r="C152" s="1"/>
  <c r="C148" l="1"/>
</calcChain>
</file>

<file path=xl/sharedStrings.xml><?xml version="1.0" encoding="utf-8"?>
<sst xmlns="http://schemas.openxmlformats.org/spreadsheetml/2006/main" count="423" uniqueCount="294">
  <si>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</si>
  <si>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</si>
  <si>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</si>
  <si>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</si>
  <si>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</si>
  <si>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</si>
  <si>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</si>
  <si>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</si>
  <si>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</si>
  <si>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</si>
  <si>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</si>
  <si>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</si>
  <si>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</si>
  <si>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</si>
  <si>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</si>
  <si>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</si>
  <si>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</si>
  <si>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</si>
  <si>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</si>
  <si>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</si>
  <si>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</si>
  <si>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</si>
  <si>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</si>
  <si>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</si>
  <si>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</si>
  <si>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</si>
  <si>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</si>
  <si>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</si>
  <si>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</si>
  <si>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</si>
  <si>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</si>
  <si>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</si>
  <si>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</si>
  <si>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</si>
  <si>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</si>
  <si>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</si>
  <si>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</si>
  <si>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</si>
  <si>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</si>
  <si>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</si>
  <si>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</si>
  <si>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</si>
  <si>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</si>
  <si>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</si>
  <si>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</si>
  <si>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</si>
  <si>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</si>
  <si>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</si>
  <si>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</si>
  <si>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</si>
  <si>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</si>
  <si>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</si>
  <si>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</si>
  <si>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</si>
  <si>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</si>
  <si>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</si>
  <si>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</si>
  <si>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</si>
  <si>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</si>
  <si>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</si>
  <si>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</si>
  <si>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</si>
  <si>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</si>
  <si>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</si>
  <si>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</si>
  <si>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</si>
  <si>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</si>
  <si>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</si>
  <si>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</si>
  <si>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</si>
  <si>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</si>
  <si>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</si>
  <si>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</si>
  <si>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</si>
  <si>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</si>
  <si>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</si>
  <si>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</si>
  <si>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</si>
  <si>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</si>
  <si>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</si>
  <si>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</si>
  <si>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</si>
  <si>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</si>
  <si>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</si>
  <si>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</si>
  <si>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</si>
  <si>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</si>
  <si>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</si>
  <si>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</si>
  <si>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</si>
  <si>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</si>
  <si>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</si>
  <si>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</si>
  <si>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</si>
  <si>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</si>
  <si>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</si>
  <si>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</si>
  <si>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</si>
  <si>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</si>
  <si>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</si>
  <si>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</si>
  <si>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</si>
  <si>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</si>
  <si>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</si>
  <si>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Влажная протирка подоконников</t>
  </si>
  <si>
    <t>Осмотр деревянных конструкций стропил</t>
  </si>
  <si>
    <t>100 м3</t>
  </si>
  <si>
    <t>6 раз за сезон</t>
  </si>
  <si>
    <t>Очистка от мусора</t>
  </si>
  <si>
    <t>10 шт.</t>
  </si>
  <si>
    <t>Смена ламп накаливания</t>
  </si>
  <si>
    <t>1 раз в  2 месяца</t>
  </si>
  <si>
    <t>Очистка урн от мусора</t>
  </si>
  <si>
    <t>30 раз за сезон</t>
  </si>
  <si>
    <t>Сдвигание снега в дни снегопада (тротуар, крыльца)</t>
  </si>
  <si>
    <t>35 раз за сезон</t>
  </si>
  <si>
    <t>Дератизация</t>
  </si>
  <si>
    <t>Лестничная клетка</t>
  </si>
  <si>
    <t>Установка пружин на входных дверях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</si>
  <si>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</si>
  <si>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</si>
  <si>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</si>
  <si>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</si>
  <si>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</si>
  <si>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</si>
  <si>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</si>
  <si>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</si>
  <si>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</si>
  <si>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</si>
  <si>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</si>
  <si>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Стоимость (руб.)</t>
  </si>
  <si>
    <t>5 этажей, 8 подъездов</t>
  </si>
  <si>
    <t>договор</t>
  </si>
  <si>
    <t>ТО внутридомового газ.оборудования</t>
  </si>
  <si>
    <t>Выполне ние       июнь</t>
  </si>
  <si>
    <t>калькуляция</t>
  </si>
  <si>
    <t>Ремонт и регулировка доводчика (со стоимостью доводчика)</t>
  </si>
  <si>
    <t>1шт.</t>
  </si>
  <si>
    <t>Смена арматуры - вентилей и клапанов обратных муфтовых диаметром до 20 мм</t>
  </si>
  <si>
    <t>1 шт</t>
  </si>
  <si>
    <t>смета</t>
  </si>
  <si>
    <t>1 м</t>
  </si>
  <si>
    <t>место</t>
  </si>
  <si>
    <t>Работа автовышки</t>
  </si>
  <si>
    <t>маш/час</t>
  </si>
  <si>
    <t>Ремонт и регулировка доводчика (без стоимости доводчика)</t>
  </si>
  <si>
    <t>Ремонт силового предохранительного шкафа (без стоимости материалов)</t>
  </si>
  <si>
    <t>Ремонт ступеней деревянных</t>
  </si>
  <si>
    <t>10 ступ.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</si>
  <si>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</si>
  <si>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</si>
  <si>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</si>
  <si>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</si>
  <si>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</si>
  <si>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</si>
  <si>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</si>
  <si>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</si>
  <si>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</si>
  <si>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Смена вентилей диаметром до 20 мм (без материала)</t>
  </si>
  <si>
    <t>Подключение и отключение сварочного аппарата</t>
  </si>
  <si>
    <t>счёт</t>
  </si>
  <si>
    <t>Ремонт групповых щитков на лестничной клетке без ремонта автоматов</t>
  </si>
  <si>
    <t>100шт</t>
  </si>
  <si>
    <t>Внеплановый осмотр вводных электрических щитков</t>
  </si>
  <si>
    <t>Внеплановый осмотр электросетей, армазуры и электрооборудования на лестничных клетках</t>
  </si>
  <si>
    <t>Ремонт отдельных мест покрытия из асбоцементных листов обыкновенного профиля</t>
  </si>
  <si>
    <t>10 м2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</si>
  <si>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</si>
  <si>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</si>
  <si>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</si>
  <si>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</si>
  <si>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</si>
  <si>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</si>
  <si>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</si>
  <si>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</si>
  <si>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</si>
  <si>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</si>
  <si>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</si>
  <si>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</si>
  <si>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</si>
  <si>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</si>
  <si>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</si>
  <si>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</si>
  <si>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</si>
  <si>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</si>
  <si>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</si>
  <si>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</si>
  <si>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</si>
  <si>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</si>
  <si>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</si>
  <si>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</si>
  <si>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</si>
  <si>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</si>
  <si>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</si>
  <si>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</si>
  <si>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</si>
  <si>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Осмотр шиферной кровли</t>
  </si>
  <si>
    <t>ТЕР 54-041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</si>
  <si>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</si>
  <si>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</si>
  <si>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</si>
  <si>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</si>
  <si>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</si>
  <si>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</si>
  <si>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</si>
  <si>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</si>
  <si>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</si>
  <si>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</si>
  <si>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</si>
  <si>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ТЕР 32-027</t>
  </si>
  <si>
    <t>ТЕР 32-028</t>
  </si>
  <si>
    <t>ТЕР 33-032</t>
  </si>
  <si>
    <t>ТЕР 18-001</t>
  </si>
  <si>
    <t>ТЕР 33-060</t>
  </si>
  <si>
    <t>ТЕР 33-030</t>
  </si>
  <si>
    <t>ТЕР 17-006</t>
  </si>
  <si>
    <t>3м</t>
  </si>
  <si>
    <t>Баланс выполненных работ на 01.01.2017 г. ( -долг за предприятием, +долг за населением)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</si>
  <si>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13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</si>
  <si>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пр.ТЕР 33-023</t>
  </si>
  <si>
    <t>Смена светодиодных светильников</t>
  </si>
  <si>
    <t>Смена плавкой вставки</t>
  </si>
  <si>
    <t>ТЕР 33-041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</si>
  <si>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</si>
  <si>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</si>
  <si>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</si>
  <si>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</si>
  <si>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Смена центр.вентилей диаметром до 32 мм (без учёта материала и оборудования)</t>
  </si>
  <si>
    <t>Смена трубопроводов на полипропиленовые трубы PN25 диаметром 20мм</t>
  </si>
  <si>
    <t>Смена деталей крепления для светильников (без стоимости креплений)</t>
  </si>
  <si>
    <t>ТЕР 33-035</t>
  </si>
  <si>
    <t>Прочистка засоров канализации</t>
  </si>
  <si>
    <t>пр.ТЕР 32-101</t>
  </si>
  <si>
    <t>Установка заглушек диаметром трубопроводов до 100 мм</t>
  </si>
  <si>
    <t>заглушка</t>
  </si>
  <si>
    <t>ТЕР 31-012</t>
  </si>
  <si>
    <t>пр.ТЕР 32-027</t>
  </si>
  <si>
    <t>пр.ТЕР 31-022</t>
  </si>
  <si>
    <t>Установка байпаса</t>
  </si>
  <si>
    <t>ТЕР 15-051</t>
  </si>
  <si>
    <t>Смена дверных приборов (замки навесные)</t>
  </si>
  <si>
    <t>ТЕР 2-1-1б</t>
  </si>
  <si>
    <t>Внеплановая проверка вентканалов</t>
  </si>
  <si>
    <t>10 м</t>
  </si>
  <si>
    <t>пр.ТЕР 17-060</t>
  </si>
  <si>
    <t>Смена обделок из листовой стали, примыканий к оголовкам</t>
  </si>
  <si>
    <t>Испытание сети на напряжение</t>
  </si>
  <si>
    <t>ТЕР 33-050</t>
  </si>
  <si>
    <t>Измерение тока по фазам</t>
  </si>
  <si>
    <t>линия</t>
  </si>
  <si>
    <t>ТЕР 33-057</t>
  </si>
  <si>
    <t>ТЕР 33-022</t>
  </si>
  <si>
    <t>Смена пакетных выключателей</t>
  </si>
  <si>
    <t>Смена вентилей ПП диаметром до 20 мм</t>
  </si>
  <si>
    <t>Смена трубопроводов на полипропиленовые трубы PN25 диаметром 25мм</t>
  </si>
  <si>
    <t>ТЕР 2-2-1-2-7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</si>
  <si>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</si>
  <si>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</si>
  <si>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пр.ТЕР 32-097</t>
  </si>
  <si>
    <t>Устройство хомутов д=51-75 мм</t>
  </si>
  <si>
    <t xml:space="preserve">Смена трубопроводов на металл-полимерные трубы д=15 </t>
  </si>
  <si>
    <t xml:space="preserve">Смена трубопроводов на металл-полимерные трубы д=25 </t>
  </si>
  <si>
    <t>Смена арматуры - задвижек диаметром 100 мм</t>
  </si>
  <si>
    <t>ТЕР 32-035</t>
  </si>
  <si>
    <t>пр.ТЕР 32-082</t>
  </si>
  <si>
    <r>
      <t>Смена полипропиленовых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2000 мм </t>
    </r>
  </si>
  <si>
    <t>Переход чугун-пластик Ду 50 с манжетой</t>
  </si>
  <si>
    <r>
      <t>Тройник 100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50/90°</t>
    </r>
  </si>
  <si>
    <r>
      <t>Тройник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50/90°</t>
    </r>
  </si>
  <si>
    <t>пр.ТЕР 31-012</t>
  </si>
  <si>
    <t>Установка заглушек диаметром трубопроводов 50 мм</t>
  </si>
  <si>
    <t>Отвод 50*90°</t>
  </si>
  <si>
    <t>ТЕР 32-098</t>
  </si>
  <si>
    <t>Устройство хомута диаметром до 50мм</t>
  </si>
  <si>
    <t>пр.ТЕР 32-083</t>
  </si>
  <si>
    <t>Смена полиэтиленовых канализационных труб 110×2000 мм</t>
  </si>
  <si>
    <t>Переход чугун-пластик Ду 110 с манжетой</t>
  </si>
  <si>
    <t>Ревизия 110</t>
  </si>
  <si>
    <t>Манжета 100</t>
  </si>
  <si>
    <r>
      <t>Патрубок компенсационный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100</t>
    </r>
  </si>
  <si>
    <t>Муфта 110</t>
  </si>
  <si>
    <t>Муфта 50</t>
  </si>
  <si>
    <t>Смена светодиодных светильников в.о.</t>
  </si>
  <si>
    <t>пр.ТЕР 11-014</t>
  </si>
  <si>
    <t>Заделка слуховых окон железом</t>
  </si>
  <si>
    <t>п.м.</t>
  </si>
  <si>
    <t>Герметизация температурного шва (кв.28)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</si>
  <si>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</si>
  <si>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</si>
  <si>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ТЕР 21-007</t>
  </si>
  <si>
    <t>Ремонт штукатурки внутренних стен по камню и бетону цементно-известковым раствором площадью до 10 м2 толщиной слоя до 20 мм (Vпод., тамбур и 1этаж)</t>
  </si>
  <si>
    <t>15 раз за сезон</t>
  </si>
  <si>
    <t>Сверхнормативы по ОДП за 1 полугодие</t>
  </si>
  <si>
    <t>Сверхнормативы по ОДП за 2 полугодие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</si>
</sst>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8" borderId="7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0" fontId="7" fillId="0" borderId="12" xfId="0" applyFont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12" fillId="4" borderId="1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8" fillId="4" borderId="3" xfId="0" applyFont="1" applyFill="1" applyBorder="1" applyAlignment="1">
      <alignment horizontal="center" vertical="center" wrapText="1"/>
    </xf>
    <xf numFmtId="4" fontId="1" fillId="8" borderId="12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56"/>
  <sheetViews>
    <sheetView tabSelected="1" view="pageBreakPreview" topLeftCell="E1" zoomScaleNormal="75" zoomScaleSheetLayoutView="100" workbookViewId="0">
      <pane ySplit="7" topLeftCell="A26" activePane="bottomLeft" state="frozen"/>
      <selection activeCell="B1" sqref="B1"/>
      <selection pane="bottomLeft" activeCell="B153" sqref="B153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9" width="10.28515625" customWidth="1"/>
    <col min="10" max="12" width="10.42578125" customWidth="1"/>
    <col min="13" max="19" width="10.5703125" customWidth="1"/>
    <col min="20" max="20" width="10.7109375" customWidth="1"/>
    <col min="21" max="21" width="12.28515625" customWidth="1"/>
    <col min="22" max="24" width="9.140625" style="136"/>
  </cols>
  <sheetData>
    <row r="1" spans="1:21" ht="14.25" customHeight="1"/>
    <row r="3" spans="1:21" ht="18">
      <c r="A3" s="128"/>
      <c r="B3" s="171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32"/>
      <c r="N3" s="32"/>
      <c r="O3" s="32"/>
      <c r="P3" s="32"/>
      <c r="Q3" s="32"/>
      <c r="R3" s="32"/>
      <c r="S3" s="32"/>
      <c r="T3" s="32"/>
      <c r="U3" s="32"/>
    </row>
    <row r="4" spans="1:21" ht="33.75" customHeight="1">
      <c r="A4" s="32"/>
      <c r="B4" s="172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32"/>
      <c r="N4" s="32"/>
      <c r="O4" s="32"/>
      <c r="P4" s="32"/>
      <c r="Q4" s="32"/>
      <c r="R4" s="32"/>
      <c r="S4" s="32"/>
      <c r="T4" s="32"/>
      <c r="U4" s="32"/>
    </row>
    <row r="5" spans="1:21" ht="18">
      <c r="A5" s="32"/>
      <c r="B5" s="172" t="s">
        <v>218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32"/>
      <c r="N5" s="32"/>
      <c r="O5" s="32"/>
      <c r="P5" s="32"/>
      <c r="Q5" s="32"/>
      <c r="R5" s="32"/>
      <c r="S5" s="32"/>
      <c r="T5" s="32"/>
      <c r="U5" s="32"/>
    </row>
    <row r="6" spans="1:21" ht="14.25">
      <c r="A6" s="32"/>
      <c r="B6" s="173" t="s">
        <v>131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2"/>
      <c r="N6" s="32"/>
      <c r="O6" s="32"/>
      <c r="P6" s="32"/>
      <c r="Q6" s="32"/>
      <c r="R6" s="32"/>
      <c r="S6" s="32"/>
      <c r="T6" s="32"/>
      <c r="U6" s="32"/>
    </row>
    <row r="7" spans="1:21" ht="50.25" customHeight="1">
      <c r="A7" s="138" t="s">
        <v>2</v>
      </c>
      <c r="B7" s="139" t="s">
        <v>3</v>
      </c>
      <c r="C7" s="139" t="s">
        <v>4</v>
      </c>
      <c r="D7" s="139" t="s">
        <v>5</v>
      </c>
      <c r="E7" s="139" t="s">
        <v>6</v>
      </c>
      <c r="F7" s="139" t="s">
        <v>7</v>
      </c>
      <c r="G7" s="139" t="s">
        <v>8</v>
      </c>
      <c r="H7" s="140" t="s">
        <v>9</v>
      </c>
      <c r="I7" s="27" t="s">
        <v>119</v>
      </c>
      <c r="J7" s="27" t="s">
        <v>120</v>
      </c>
      <c r="K7" s="27" t="s">
        <v>121</v>
      </c>
      <c r="L7" s="27" t="s">
        <v>122</v>
      </c>
      <c r="M7" s="27" t="s">
        <v>123</v>
      </c>
      <c r="N7" s="27" t="s">
        <v>134</v>
      </c>
      <c r="O7" s="27" t="s">
        <v>124</v>
      </c>
      <c r="P7" s="27" t="s">
        <v>125</v>
      </c>
      <c r="Q7" s="27" t="s">
        <v>126</v>
      </c>
      <c r="R7" s="27" t="s">
        <v>127</v>
      </c>
      <c r="S7" s="27" t="s">
        <v>128</v>
      </c>
      <c r="T7" s="27" t="s">
        <v>129</v>
      </c>
      <c r="U7" s="27" t="s">
        <v>130</v>
      </c>
    </row>
    <row r="8" spans="1:21">
      <c r="A8" s="141">
        <v>1</v>
      </c>
      <c r="B8" s="8">
        <v>2</v>
      </c>
      <c r="C8" s="28">
        <v>3</v>
      </c>
      <c r="D8" s="8">
        <v>4</v>
      </c>
      <c r="E8" s="8">
        <v>5</v>
      </c>
      <c r="F8" s="28">
        <v>6</v>
      </c>
      <c r="G8" s="28">
        <v>7</v>
      </c>
      <c r="H8" s="29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</row>
    <row r="9" spans="1:21" ht="38.25">
      <c r="A9" s="141"/>
      <c r="B9" s="10" t="s">
        <v>10</v>
      </c>
      <c r="C9" s="28"/>
      <c r="D9" s="11"/>
      <c r="E9" s="11"/>
      <c r="F9" s="28"/>
      <c r="G9" s="28"/>
      <c r="H9" s="33"/>
      <c r="I9" s="34"/>
      <c r="J9" s="34"/>
      <c r="K9" s="34"/>
      <c r="L9" s="34"/>
      <c r="M9" s="120"/>
      <c r="N9" s="121"/>
      <c r="O9" s="121"/>
      <c r="P9" s="121"/>
      <c r="Q9" s="121"/>
      <c r="R9" s="121"/>
      <c r="S9" s="121"/>
      <c r="T9" s="121"/>
      <c r="U9" s="121"/>
    </row>
    <row r="10" spans="1:21">
      <c r="A10" s="141"/>
      <c r="B10" s="10" t="s">
        <v>11</v>
      </c>
      <c r="C10" s="28"/>
      <c r="D10" s="11"/>
      <c r="E10" s="11"/>
      <c r="F10" s="28"/>
      <c r="G10" s="28"/>
      <c r="H10" s="33"/>
      <c r="I10" s="34"/>
      <c r="J10" s="34"/>
      <c r="K10" s="34"/>
      <c r="L10" s="34"/>
      <c r="M10" s="120"/>
      <c r="N10" s="121"/>
      <c r="O10" s="121"/>
      <c r="P10" s="121"/>
      <c r="Q10" s="121"/>
      <c r="R10" s="121"/>
      <c r="S10" s="121"/>
      <c r="T10" s="121"/>
      <c r="U10" s="121"/>
    </row>
    <row r="11" spans="1:21" ht="25.5">
      <c r="A11" s="141" t="s">
        <v>167</v>
      </c>
      <c r="B11" s="11" t="s">
        <v>12</v>
      </c>
      <c r="C11" s="28" t="s">
        <v>13</v>
      </c>
      <c r="D11" s="11" t="s">
        <v>14</v>
      </c>
      <c r="E11" s="35">
        <v>127.9</v>
      </c>
      <c r="F11" s="36">
        <f>SUM(E11*156/100)</f>
        <v>199.524</v>
      </c>
      <c r="G11" s="36">
        <v>187.48</v>
      </c>
      <c r="H11" s="37">
        <f t="shared" ref="H11:H20" si="0">SUM(F11*G11/1000)</f>
        <v>37.406759520000001</v>
      </c>
      <c r="I11" s="31">
        <f>F11/12*G11</f>
        <v>3117.2299599999997</v>
      </c>
      <c r="J11" s="31">
        <f>F11/12*G11</f>
        <v>3117.2299599999997</v>
      </c>
      <c r="K11" s="31">
        <f>F11/12*G11</f>
        <v>3117.2299599999997</v>
      </c>
      <c r="L11" s="31">
        <f>F11/12*G11</f>
        <v>3117.2299599999997</v>
      </c>
      <c r="M11" s="31">
        <f>F11/12*G11</f>
        <v>3117.2299599999997</v>
      </c>
      <c r="N11" s="31">
        <f>F11/12*G11</f>
        <v>3117.2299599999997</v>
      </c>
      <c r="O11" s="31">
        <f>F11/12*G11</f>
        <v>3117.2299599999997</v>
      </c>
      <c r="P11" s="31">
        <f>F11/12*G11</f>
        <v>3117.2299599999997</v>
      </c>
      <c r="Q11" s="31">
        <f>F11/12*G11</f>
        <v>3117.2299599999997</v>
      </c>
      <c r="R11" s="31">
        <f>F11/12*G11</f>
        <v>3117.2299599999997</v>
      </c>
      <c r="S11" s="31">
        <f>F11/12*G11</f>
        <v>3117.2299599999997</v>
      </c>
      <c r="T11" s="31">
        <f>F11/12*G11</f>
        <v>3117.2299599999997</v>
      </c>
      <c r="U11" s="31">
        <f>SUM(I11:T11)</f>
        <v>37406.75952</v>
      </c>
    </row>
    <row r="12" spans="1:21" ht="25.5">
      <c r="A12" s="141" t="s">
        <v>167</v>
      </c>
      <c r="B12" s="11" t="s">
        <v>15</v>
      </c>
      <c r="C12" s="28" t="s">
        <v>13</v>
      </c>
      <c r="D12" s="11" t="s">
        <v>16</v>
      </c>
      <c r="E12" s="35">
        <v>511.6</v>
      </c>
      <c r="F12" s="36">
        <f>SUM(E12*104/100)</f>
        <v>532.06399999999996</v>
      </c>
      <c r="G12" s="36">
        <v>185.48</v>
      </c>
      <c r="H12" s="37">
        <f t="shared" si="0"/>
        <v>98.687230719999988</v>
      </c>
      <c r="I12" s="31">
        <f>F12/12*G12</f>
        <v>8223.9358933333315</v>
      </c>
      <c r="J12" s="31">
        <f>F12/12*G12</f>
        <v>8223.9358933333315</v>
      </c>
      <c r="K12" s="31">
        <f t="shared" ref="K12:K13" si="1">F12/12*G12</f>
        <v>8223.9358933333315</v>
      </c>
      <c r="L12" s="31">
        <f t="shared" ref="L12:L13" si="2">F12/12*G12</f>
        <v>8223.9358933333315</v>
      </c>
      <c r="M12" s="31">
        <f t="shared" ref="M12:M13" si="3">F12/12*G12</f>
        <v>8223.9358933333315</v>
      </c>
      <c r="N12" s="31">
        <f t="shared" ref="N12:N13" si="4">F12/12*G12</f>
        <v>8223.9358933333315</v>
      </c>
      <c r="O12" s="31">
        <f t="shared" ref="O12:O13" si="5">F12/12*G12</f>
        <v>8223.9358933333315</v>
      </c>
      <c r="P12" s="31">
        <f t="shared" ref="P12:P15" si="6">F12/12*G12</f>
        <v>8223.9358933333315</v>
      </c>
      <c r="Q12" s="31">
        <f t="shared" ref="Q12:Q13" si="7">F12/12*G12</f>
        <v>8223.9358933333315</v>
      </c>
      <c r="R12" s="31">
        <f t="shared" ref="R12:R13" si="8">F12/12*G12</f>
        <v>8223.9358933333315</v>
      </c>
      <c r="S12" s="31">
        <f t="shared" ref="S12:S13" si="9">F12/12*G12</f>
        <v>8223.9358933333315</v>
      </c>
      <c r="T12" s="31">
        <f t="shared" ref="T12:T15" si="10">F12/12*G12</f>
        <v>8223.9358933333315</v>
      </c>
      <c r="U12" s="31">
        <f t="shared" ref="U12:U20" si="11">SUM(I12:T12)</f>
        <v>98687.230719999949</v>
      </c>
    </row>
    <row r="13" spans="1:21" ht="25.5">
      <c r="A13" s="141" t="s">
        <v>168</v>
      </c>
      <c r="B13" s="11" t="s">
        <v>17</v>
      </c>
      <c r="C13" s="28" t="s">
        <v>13</v>
      </c>
      <c r="D13" s="11" t="s">
        <v>18</v>
      </c>
      <c r="E13" s="35">
        <f>SUM(E11+E12)</f>
        <v>639.5</v>
      </c>
      <c r="F13" s="36">
        <f>SUM(E13*24/100)</f>
        <v>153.47999999999999</v>
      </c>
      <c r="G13" s="36">
        <v>539.30999999999995</v>
      </c>
      <c r="H13" s="37">
        <f t="shared" si="0"/>
        <v>82.773298799999992</v>
      </c>
      <c r="I13" s="31">
        <f>F13/12*G13</f>
        <v>6897.7748999999985</v>
      </c>
      <c r="J13" s="31">
        <f>F13/12*G13</f>
        <v>6897.7748999999985</v>
      </c>
      <c r="K13" s="31">
        <f t="shared" si="1"/>
        <v>6897.7748999999985</v>
      </c>
      <c r="L13" s="31">
        <f t="shared" si="2"/>
        <v>6897.7748999999985</v>
      </c>
      <c r="M13" s="31">
        <f t="shared" si="3"/>
        <v>6897.7748999999985</v>
      </c>
      <c r="N13" s="31">
        <f t="shared" si="4"/>
        <v>6897.7748999999985</v>
      </c>
      <c r="O13" s="31">
        <f t="shared" si="5"/>
        <v>6897.7748999999985</v>
      </c>
      <c r="P13" s="31">
        <f t="shared" si="6"/>
        <v>6897.7748999999985</v>
      </c>
      <c r="Q13" s="31">
        <f t="shared" si="7"/>
        <v>6897.7748999999985</v>
      </c>
      <c r="R13" s="31">
        <f t="shared" si="8"/>
        <v>6897.7748999999985</v>
      </c>
      <c r="S13" s="31">
        <f t="shared" si="9"/>
        <v>6897.7748999999985</v>
      </c>
      <c r="T13" s="31">
        <f t="shared" si="10"/>
        <v>6897.7748999999985</v>
      </c>
      <c r="U13" s="31">
        <f t="shared" si="11"/>
        <v>82773.29879999999</v>
      </c>
    </row>
    <row r="14" spans="1:21">
      <c r="A14" s="141" t="s">
        <v>169</v>
      </c>
      <c r="B14" s="11" t="s">
        <v>19</v>
      </c>
      <c r="C14" s="28" t="s">
        <v>20</v>
      </c>
      <c r="D14" s="11" t="s">
        <v>96</v>
      </c>
      <c r="E14" s="35">
        <v>38.4</v>
      </c>
      <c r="F14" s="36">
        <f>SUM(E14/10)</f>
        <v>3.84</v>
      </c>
      <c r="G14" s="36">
        <v>181.91</v>
      </c>
      <c r="H14" s="37">
        <f t="shared" si="0"/>
        <v>0.6985344</v>
      </c>
      <c r="I14" s="31">
        <v>0</v>
      </c>
      <c r="J14" s="31">
        <v>0</v>
      </c>
      <c r="K14" s="31">
        <v>0</v>
      </c>
      <c r="L14" s="31">
        <v>0</v>
      </c>
      <c r="M14" s="31">
        <f>F14/2*G14</f>
        <v>349.2672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f t="shared" si="11"/>
        <v>349.2672</v>
      </c>
    </row>
    <row r="15" spans="1:21">
      <c r="A15" s="141" t="s">
        <v>170</v>
      </c>
      <c r="B15" s="11" t="s">
        <v>21</v>
      </c>
      <c r="C15" s="28" t="s">
        <v>13</v>
      </c>
      <c r="D15" s="11" t="s">
        <v>97</v>
      </c>
      <c r="E15" s="35">
        <v>58.4</v>
      </c>
      <c r="F15" s="36">
        <f>SUM(E15*12/100)</f>
        <v>7.0079999999999991</v>
      </c>
      <c r="G15" s="36">
        <v>232.92</v>
      </c>
      <c r="H15" s="37">
        <f t="shared" si="0"/>
        <v>1.6323033599999996</v>
      </c>
      <c r="I15" s="31">
        <f>F15/12*G15</f>
        <v>136.02527999999998</v>
      </c>
      <c r="J15" s="31">
        <f>F15/12*G15</f>
        <v>136.02527999999998</v>
      </c>
      <c r="K15" s="31">
        <f>F15/12*G15</f>
        <v>136.02527999999998</v>
      </c>
      <c r="L15" s="31">
        <f>F15/12*G15</f>
        <v>136.02527999999998</v>
      </c>
      <c r="M15" s="31">
        <f>F15/12*G15</f>
        <v>136.02527999999998</v>
      </c>
      <c r="N15" s="31">
        <f>F15/12*G15</f>
        <v>136.02527999999998</v>
      </c>
      <c r="O15" s="31">
        <f>F15/12*G15</f>
        <v>136.02527999999998</v>
      </c>
      <c r="P15" s="31">
        <f t="shared" si="6"/>
        <v>136.02527999999998</v>
      </c>
      <c r="Q15" s="31">
        <f t="shared" ref="Q15" si="12">F15/12*G15</f>
        <v>136.02527999999998</v>
      </c>
      <c r="R15" s="31">
        <f t="shared" ref="R15" si="13">F15/12*G15</f>
        <v>136.02527999999998</v>
      </c>
      <c r="S15" s="31">
        <f t="shared" ref="S15" si="14">F15/12*G15</f>
        <v>136.02527999999998</v>
      </c>
      <c r="T15" s="31">
        <f t="shared" si="10"/>
        <v>136.02527999999998</v>
      </c>
      <c r="U15" s="31">
        <f t="shared" si="11"/>
        <v>1632.3033600000001</v>
      </c>
    </row>
    <row r="16" spans="1:21">
      <c r="A16" s="141" t="s">
        <v>171</v>
      </c>
      <c r="B16" s="11" t="s">
        <v>22</v>
      </c>
      <c r="C16" s="28" t="s">
        <v>13</v>
      </c>
      <c r="D16" s="11" t="s">
        <v>111</v>
      </c>
      <c r="E16" s="35">
        <v>9.08</v>
      </c>
      <c r="F16" s="36">
        <f>SUM(E16*6/100)</f>
        <v>0.54480000000000006</v>
      </c>
      <c r="G16" s="36">
        <v>231.03</v>
      </c>
      <c r="H16" s="37">
        <f t="shared" si="0"/>
        <v>0.12586514400000001</v>
      </c>
      <c r="I16" s="31">
        <f>F16/6*G16</f>
        <v>20.977524000000003</v>
      </c>
      <c r="J16" s="31">
        <v>0</v>
      </c>
      <c r="K16" s="31">
        <f>F16/6*G16</f>
        <v>20.977524000000003</v>
      </c>
      <c r="L16" s="31">
        <v>0</v>
      </c>
      <c r="M16" s="31">
        <f>F16/6*G16</f>
        <v>20.977524000000003</v>
      </c>
      <c r="N16" s="31">
        <v>0</v>
      </c>
      <c r="O16" s="31">
        <f>F16/6*G16</f>
        <v>20.977524000000003</v>
      </c>
      <c r="P16" s="31">
        <v>0</v>
      </c>
      <c r="Q16" s="31">
        <f>F16/6*G16</f>
        <v>20.977524000000003</v>
      </c>
      <c r="R16" s="31">
        <v>0</v>
      </c>
      <c r="S16" s="31">
        <f>F16/6*G16</f>
        <v>20.977524000000003</v>
      </c>
      <c r="T16" s="31">
        <v>0</v>
      </c>
      <c r="U16" s="31">
        <f t="shared" si="11"/>
        <v>125.86514400000002</v>
      </c>
    </row>
    <row r="17" spans="1:24">
      <c r="A17" s="141" t="s">
        <v>172</v>
      </c>
      <c r="B17" s="11" t="s">
        <v>23</v>
      </c>
      <c r="C17" s="28" t="s">
        <v>24</v>
      </c>
      <c r="D17" s="11" t="s">
        <v>96</v>
      </c>
      <c r="E17" s="35">
        <v>714</v>
      </c>
      <c r="F17" s="36">
        <f>SUM(E17/100)</f>
        <v>7.14</v>
      </c>
      <c r="G17" s="36">
        <v>287.83999999999997</v>
      </c>
      <c r="H17" s="37">
        <f t="shared" si="0"/>
        <v>2.0551775999999995</v>
      </c>
      <c r="I17" s="31">
        <v>0</v>
      </c>
      <c r="J17" s="31">
        <v>0</v>
      </c>
      <c r="K17" s="31">
        <v>0</v>
      </c>
      <c r="L17" s="31">
        <v>0</v>
      </c>
      <c r="M17" s="31">
        <f t="shared" ref="M17:M20" si="15">F17*G17</f>
        <v>2055.1775999999995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f t="shared" si="11"/>
        <v>2055.1775999999995</v>
      </c>
    </row>
    <row r="18" spans="1:24">
      <c r="A18" s="141" t="s">
        <v>173</v>
      </c>
      <c r="B18" s="11" t="s">
        <v>25</v>
      </c>
      <c r="C18" s="28" t="s">
        <v>24</v>
      </c>
      <c r="D18" s="11" t="s">
        <v>96</v>
      </c>
      <c r="E18" s="38">
        <v>96.6</v>
      </c>
      <c r="F18" s="36">
        <f>SUM(E18/100)</f>
        <v>0.96599999999999997</v>
      </c>
      <c r="G18" s="36">
        <v>47.34</v>
      </c>
      <c r="H18" s="37">
        <f t="shared" si="0"/>
        <v>4.5730440000000004E-2</v>
      </c>
      <c r="I18" s="31">
        <v>0</v>
      </c>
      <c r="J18" s="31">
        <v>0</v>
      </c>
      <c r="K18" s="31">
        <v>0</v>
      </c>
      <c r="L18" s="31">
        <v>0</v>
      </c>
      <c r="M18" s="31">
        <f t="shared" si="15"/>
        <v>45.730440000000002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f t="shared" si="11"/>
        <v>45.730440000000002</v>
      </c>
    </row>
    <row r="19" spans="1:24">
      <c r="A19" s="141" t="s">
        <v>174</v>
      </c>
      <c r="B19" s="11" t="s">
        <v>104</v>
      </c>
      <c r="C19" s="28" t="s">
        <v>24</v>
      </c>
      <c r="D19" s="11" t="s">
        <v>96</v>
      </c>
      <c r="E19" s="39">
        <v>40</v>
      </c>
      <c r="F19" s="40">
        <v>4.8</v>
      </c>
      <c r="G19" s="36">
        <v>416.62</v>
      </c>
      <c r="H19" s="37">
        <f>F19*G19/1000</f>
        <v>1.9997759999999998</v>
      </c>
      <c r="I19" s="31">
        <v>0</v>
      </c>
      <c r="J19" s="31">
        <v>0</v>
      </c>
      <c r="K19" s="31">
        <v>0</v>
      </c>
      <c r="L19" s="31">
        <v>0</v>
      </c>
      <c r="M19" s="31">
        <f t="shared" si="15"/>
        <v>1999.7759999999998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f t="shared" si="11"/>
        <v>1999.7759999999998</v>
      </c>
    </row>
    <row r="20" spans="1:24">
      <c r="A20" s="141" t="s">
        <v>175</v>
      </c>
      <c r="B20" s="11" t="s">
        <v>26</v>
      </c>
      <c r="C20" s="28" t="s">
        <v>24</v>
      </c>
      <c r="D20" s="11" t="s">
        <v>96</v>
      </c>
      <c r="E20" s="35">
        <v>17</v>
      </c>
      <c r="F20" s="36">
        <f>SUM(E20/100)</f>
        <v>0.17</v>
      </c>
      <c r="G20" s="36">
        <v>556.74</v>
      </c>
      <c r="H20" s="37">
        <f t="shared" si="0"/>
        <v>9.4645800000000002E-2</v>
      </c>
      <c r="I20" s="31">
        <v>0</v>
      </c>
      <c r="J20" s="31">
        <v>0</v>
      </c>
      <c r="K20" s="31">
        <v>0</v>
      </c>
      <c r="L20" s="31">
        <v>0</v>
      </c>
      <c r="M20" s="31">
        <f t="shared" si="15"/>
        <v>94.645800000000008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f t="shared" si="11"/>
        <v>94.645800000000008</v>
      </c>
    </row>
    <row r="21" spans="1:24" s="19" customFormat="1">
      <c r="A21" s="142"/>
      <c r="B21" s="20" t="s">
        <v>27</v>
      </c>
      <c r="C21" s="41"/>
      <c r="D21" s="20"/>
      <c r="E21" s="42"/>
      <c r="F21" s="43"/>
      <c r="G21" s="43"/>
      <c r="H21" s="44">
        <f>SUM(H11:H20)</f>
        <v>225.51932178399997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>
        <f>SUM(U11:U20)</f>
        <v>225170.05458399997</v>
      </c>
      <c r="V21" s="136"/>
      <c r="W21" s="136"/>
      <c r="X21" s="136"/>
    </row>
    <row r="22" spans="1:24">
      <c r="A22" s="141"/>
      <c r="B22" s="12" t="s">
        <v>28</v>
      </c>
      <c r="C22" s="28"/>
      <c r="D22" s="11"/>
      <c r="E22" s="35"/>
      <c r="F22" s="36"/>
      <c r="G22" s="36"/>
      <c r="H22" s="37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4" ht="25.5" customHeight="1">
      <c r="A23" s="141" t="s">
        <v>176</v>
      </c>
      <c r="B23" s="11" t="s">
        <v>149</v>
      </c>
      <c r="C23" s="28" t="s">
        <v>30</v>
      </c>
      <c r="D23" s="11" t="s">
        <v>29</v>
      </c>
      <c r="E23" s="36">
        <v>844.95</v>
      </c>
      <c r="F23" s="36">
        <f>SUM(E23*52/1000)</f>
        <v>43.937400000000004</v>
      </c>
      <c r="G23" s="36">
        <v>166.65</v>
      </c>
      <c r="H23" s="37">
        <f>SUM(F23*G23/1000)</f>
        <v>7.3221677100000004</v>
      </c>
      <c r="I23" s="31">
        <v>0</v>
      </c>
      <c r="J23" s="31">
        <v>0</v>
      </c>
      <c r="K23" s="31">
        <v>0</v>
      </c>
      <c r="L23" s="31">
        <v>0</v>
      </c>
      <c r="M23" s="31">
        <f>F23/6*G23</f>
        <v>1220.3612850000002</v>
      </c>
      <c r="N23" s="31">
        <f>F23/6*G23</f>
        <v>1220.3612850000002</v>
      </c>
      <c r="O23" s="31">
        <f>F23/6*G23</f>
        <v>1220.3612850000002</v>
      </c>
      <c r="P23" s="31">
        <f>F23/6*G23</f>
        <v>1220.3612850000002</v>
      </c>
      <c r="Q23" s="31">
        <f>F23/6*G23</f>
        <v>1220.3612850000002</v>
      </c>
      <c r="R23" s="31">
        <f>F23/6*G23</f>
        <v>1220.3612850000002</v>
      </c>
      <c r="S23" s="31">
        <v>0</v>
      </c>
      <c r="T23" s="31">
        <v>0</v>
      </c>
      <c r="U23" s="31">
        <f t="shared" ref="U23:U31" si="16">SUM(I23:T23)</f>
        <v>7322.1677100000006</v>
      </c>
    </row>
    <row r="24" spans="1:24" ht="38.25" customHeight="1">
      <c r="A24" s="141" t="s">
        <v>177</v>
      </c>
      <c r="B24" s="11" t="s">
        <v>150</v>
      </c>
      <c r="C24" s="28" t="s">
        <v>30</v>
      </c>
      <c r="D24" s="11" t="s">
        <v>31</v>
      </c>
      <c r="E24" s="36">
        <v>260.13</v>
      </c>
      <c r="F24" s="36">
        <f>SUM(E24*78/1000)</f>
        <v>20.290140000000001</v>
      </c>
      <c r="G24" s="36">
        <v>276.48</v>
      </c>
      <c r="H24" s="37">
        <f t="shared" ref="H24:H31" si="17">SUM(F24*G24/1000)</f>
        <v>5.6098179072000001</v>
      </c>
      <c r="I24" s="31">
        <v>0</v>
      </c>
      <c r="J24" s="31">
        <v>0</v>
      </c>
      <c r="K24" s="31">
        <v>0</v>
      </c>
      <c r="L24" s="31">
        <v>0</v>
      </c>
      <c r="M24" s="31">
        <f>F24/6*G24</f>
        <v>934.96965120000016</v>
      </c>
      <c r="N24" s="31">
        <f t="shared" ref="N24:N27" si="18">F24/6*G24</f>
        <v>934.96965120000016</v>
      </c>
      <c r="O24" s="31">
        <f t="shared" ref="O24:O27" si="19">F24/6*G24</f>
        <v>934.96965120000016</v>
      </c>
      <c r="P24" s="31">
        <f t="shared" ref="P24:P27" si="20">F24/6*G24</f>
        <v>934.96965120000016</v>
      </c>
      <c r="Q24" s="31">
        <f t="shared" ref="Q24:Q27" si="21">F24/6*G24</f>
        <v>934.96965120000016</v>
      </c>
      <c r="R24" s="31">
        <f t="shared" ref="R24:R27" si="22">F24/6*G24</f>
        <v>934.96965120000016</v>
      </c>
      <c r="S24" s="31">
        <v>0</v>
      </c>
      <c r="T24" s="31">
        <v>0</v>
      </c>
      <c r="U24" s="31">
        <f t="shared" si="16"/>
        <v>5609.8179072000012</v>
      </c>
    </row>
    <row r="25" spans="1:24">
      <c r="A25" s="141" t="s">
        <v>178</v>
      </c>
      <c r="B25" s="11" t="s">
        <v>32</v>
      </c>
      <c r="C25" s="28" t="s">
        <v>30</v>
      </c>
      <c r="D25" s="11" t="s">
        <v>33</v>
      </c>
      <c r="E25" s="36">
        <v>844.95</v>
      </c>
      <c r="F25" s="36">
        <f>SUM(E25/1000)</f>
        <v>0.84495000000000009</v>
      </c>
      <c r="G25" s="36">
        <v>3228.73</v>
      </c>
      <c r="H25" s="37">
        <f t="shared" si="17"/>
        <v>2.7281154135000003</v>
      </c>
      <c r="I25" s="31">
        <v>0</v>
      </c>
      <c r="J25" s="31">
        <v>0</v>
      </c>
      <c r="K25" s="31">
        <v>0</v>
      </c>
      <c r="L25" s="31">
        <v>0</v>
      </c>
      <c r="M25" s="31">
        <f>F25*G25</f>
        <v>2728.1154135000002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f t="shared" si="16"/>
        <v>2728.1154135000002</v>
      </c>
    </row>
    <row r="26" spans="1:24">
      <c r="A26" s="141" t="s">
        <v>179</v>
      </c>
      <c r="B26" s="11" t="s">
        <v>112</v>
      </c>
      <c r="C26" s="28" t="s">
        <v>60</v>
      </c>
      <c r="D26" s="11" t="s">
        <v>36</v>
      </c>
      <c r="E26" s="36">
        <v>8</v>
      </c>
      <c r="F26" s="36">
        <v>12.4</v>
      </c>
      <c r="G26" s="36">
        <v>1391.86</v>
      </c>
      <c r="H26" s="37">
        <v>17.259</v>
      </c>
      <c r="I26" s="31">
        <v>0</v>
      </c>
      <c r="J26" s="31">
        <v>0</v>
      </c>
      <c r="K26" s="31">
        <v>0</v>
      </c>
      <c r="L26" s="31">
        <v>0</v>
      </c>
      <c r="M26" s="31">
        <f>F26/6*G26</f>
        <v>2876.5106666666666</v>
      </c>
      <c r="N26" s="31">
        <f t="shared" si="18"/>
        <v>2876.5106666666666</v>
      </c>
      <c r="O26" s="31">
        <f t="shared" si="19"/>
        <v>2876.5106666666666</v>
      </c>
      <c r="P26" s="31">
        <f t="shared" si="20"/>
        <v>2876.5106666666666</v>
      </c>
      <c r="Q26" s="31">
        <f t="shared" si="21"/>
        <v>2876.5106666666666</v>
      </c>
      <c r="R26" s="31">
        <f t="shared" si="22"/>
        <v>2876.5106666666666</v>
      </c>
      <c r="S26" s="31">
        <v>0</v>
      </c>
      <c r="T26" s="31">
        <v>0</v>
      </c>
      <c r="U26" s="31">
        <f t="shared" si="16"/>
        <v>17259.063999999998</v>
      </c>
    </row>
    <row r="27" spans="1:24">
      <c r="A27" s="141" t="s">
        <v>180</v>
      </c>
      <c r="B27" s="11" t="s">
        <v>34</v>
      </c>
      <c r="C27" s="28" t="s">
        <v>35</v>
      </c>
      <c r="D27" s="11" t="s">
        <v>36</v>
      </c>
      <c r="E27" s="46">
        <v>0.33333333333333331</v>
      </c>
      <c r="F27" s="36">
        <f>155/3</f>
        <v>51.666666666666664</v>
      </c>
      <c r="G27" s="36">
        <v>60.6</v>
      </c>
      <c r="H27" s="37">
        <f>SUM(G27*155/3/1000)</f>
        <v>3.1309999999999998</v>
      </c>
      <c r="I27" s="31">
        <v>0</v>
      </c>
      <c r="J27" s="31">
        <v>0</v>
      </c>
      <c r="K27" s="31">
        <v>0</v>
      </c>
      <c r="L27" s="31">
        <v>0</v>
      </c>
      <c r="M27" s="31">
        <f>F27/6*G27</f>
        <v>521.83333333333337</v>
      </c>
      <c r="N27" s="31">
        <f t="shared" si="18"/>
        <v>521.83333333333337</v>
      </c>
      <c r="O27" s="31">
        <f t="shared" si="19"/>
        <v>521.83333333333337</v>
      </c>
      <c r="P27" s="31">
        <f t="shared" si="20"/>
        <v>521.83333333333337</v>
      </c>
      <c r="Q27" s="31">
        <f t="shared" si="21"/>
        <v>521.83333333333337</v>
      </c>
      <c r="R27" s="31">
        <f t="shared" si="22"/>
        <v>521.83333333333337</v>
      </c>
      <c r="S27" s="31">
        <v>0</v>
      </c>
      <c r="T27" s="31">
        <v>0</v>
      </c>
      <c r="U27" s="31">
        <f t="shared" si="16"/>
        <v>3131.0000000000005</v>
      </c>
    </row>
    <row r="28" spans="1:24" ht="12.75" customHeight="1">
      <c r="A28" s="141" t="s">
        <v>181</v>
      </c>
      <c r="B28" s="11" t="s">
        <v>37</v>
      </c>
      <c r="C28" s="28" t="s">
        <v>38</v>
      </c>
      <c r="D28" s="11" t="s">
        <v>39</v>
      </c>
      <c r="E28" s="47">
        <v>0.1</v>
      </c>
      <c r="F28" s="36">
        <f>SUM(E28*365)</f>
        <v>36.5</v>
      </c>
      <c r="G28" s="36">
        <v>157.18</v>
      </c>
      <c r="H28" s="37">
        <f t="shared" si="17"/>
        <v>5.737070000000001</v>
      </c>
      <c r="I28" s="31">
        <f>F28/12*G28</f>
        <v>478.08916666666664</v>
      </c>
      <c r="J28" s="31">
        <f>F28/12*G28</f>
        <v>478.08916666666664</v>
      </c>
      <c r="K28" s="31">
        <f>F28/12*G28</f>
        <v>478.08916666666664</v>
      </c>
      <c r="L28" s="31">
        <f>F28/12*G28</f>
        <v>478.08916666666664</v>
      </c>
      <c r="M28" s="31">
        <f>F28/12*G28</f>
        <v>478.08916666666664</v>
      </c>
      <c r="N28" s="31">
        <f>F28/12*G28</f>
        <v>478.08916666666664</v>
      </c>
      <c r="O28" s="31">
        <f>F28/12*G28</f>
        <v>478.08916666666664</v>
      </c>
      <c r="P28" s="31">
        <f>F28/12*G28</f>
        <v>478.08916666666664</v>
      </c>
      <c r="Q28" s="31">
        <f>F28/12*G28</f>
        <v>478.08916666666664</v>
      </c>
      <c r="R28" s="31">
        <f>F28/12*G28</f>
        <v>478.08916666666664</v>
      </c>
      <c r="S28" s="31">
        <f>F28/12*G28</f>
        <v>478.08916666666664</v>
      </c>
      <c r="T28" s="31">
        <f>F28/12*G28</f>
        <v>478.08916666666664</v>
      </c>
      <c r="U28" s="31">
        <f t="shared" si="16"/>
        <v>5737.07</v>
      </c>
    </row>
    <row r="29" spans="1:24" ht="12.75" customHeight="1">
      <c r="A29" s="141" t="s">
        <v>182</v>
      </c>
      <c r="B29" s="11" t="s">
        <v>151</v>
      </c>
      <c r="C29" s="28" t="s">
        <v>38</v>
      </c>
      <c r="D29" s="11" t="s">
        <v>40</v>
      </c>
      <c r="E29" s="35"/>
      <c r="F29" s="36">
        <v>3</v>
      </c>
      <c r="G29" s="36">
        <v>204.32</v>
      </c>
      <c r="H29" s="37">
        <f t="shared" si="17"/>
        <v>0.61296000000000006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f t="shared" si="16"/>
        <v>0</v>
      </c>
    </row>
    <row r="30" spans="1:24" ht="13.5" customHeight="1">
      <c r="A30" s="141" t="s">
        <v>135</v>
      </c>
      <c r="B30" s="11" t="s">
        <v>152</v>
      </c>
      <c r="C30" s="28" t="s">
        <v>41</v>
      </c>
      <c r="D30" s="11" t="s">
        <v>40</v>
      </c>
      <c r="E30" s="35"/>
      <c r="F30" s="36">
        <v>2</v>
      </c>
      <c r="G30" s="36">
        <v>1214.73</v>
      </c>
      <c r="H30" s="37">
        <f t="shared" si="17"/>
        <v>2.4294600000000002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f t="shared" si="16"/>
        <v>0</v>
      </c>
    </row>
    <row r="31" spans="1:24">
      <c r="A31" s="141"/>
      <c r="B31" s="48" t="s">
        <v>42</v>
      </c>
      <c r="C31" s="28" t="s">
        <v>43</v>
      </c>
      <c r="D31" s="48" t="s">
        <v>39</v>
      </c>
      <c r="E31" s="35">
        <v>4591.2</v>
      </c>
      <c r="F31" s="36">
        <f>SUM(E31*12)</f>
        <v>55094.399999999994</v>
      </c>
      <c r="G31" s="36">
        <v>5.85</v>
      </c>
      <c r="H31" s="37">
        <f t="shared" si="17"/>
        <v>322.30223999999993</v>
      </c>
      <c r="I31" s="31">
        <f>F31/12*G31</f>
        <v>26858.519999999997</v>
      </c>
      <c r="J31" s="31">
        <f>F31/12*G31</f>
        <v>26858.519999999997</v>
      </c>
      <c r="K31" s="31">
        <f>F31/12*G31</f>
        <v>26858.519999999997</v>
      </c>
      <c r="L31" s="31">
        <f>F31/12*G31</f>
        <v>26858.519999999997</v>
      </c>
      <c r="M31" s="31">
        <f>F31/12*G31</f>
        <v>26858.519999999997</v>
      </c>
      <c r="N31" s="31">
        <f>F31/12*G31</f>
        <v>26858.519999999997</v>
      </c>
      <c r="O31" s="31">
        <f>F31/12*G31</f>
        <v>26858.519999999997</v>
      </c>
      <c r="P31" s="31">
        <f>F31/12*G31</f>
        <v>26858.519999999997</v>
      </c>
      <c r="Q31" s="31">
        <f t="shared" ref="Q31" si="23">F31/12*G31</f>
        <v>26858.519999999997</v>
      </c>
      <c r="R31" s="31">
        <f t="shared" ref="R31" si="24">F31/12*G31</f>
        <v>26858.519999999997</v>
      </c>
      <c r="S31" s="31">
        <f t="shared" ref="S31" si="25">F31/12*G31</f>
        <v>26858.519999999997</v>
      </c>
      <c r="T31" s="31">
        <f t="shared" ref="T31" si="26">F31/12*G31</f>
        <v>26858.519999999997</v>
      </c>
      <c r="U31" s="31">
        <f t="shared" si="16"/>
        <v>322302.24</v>
      </c>
    </row>
    <row r="32" spans="1:24" s="19" customFormat="1">
      <c r="A32" s="142"/>
      <c r="B32" s="20" t="s">
        <v>27</v>
      </c>
      <c r="C32" s="41"/>
      <c r="D32" s="20"/>
      <c r="E32" s="42"/>
      <c r="F32" s="43"/>
      <c r="G32" s="43"/>
      <c r="H32" s="49">
        <f>SUM(H23:H31)</f>
        <v>367.13183103069991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>
        <f>SUM(U23:U31)</f>
        <v>364089.47503069998</v>
      </c>
      <c r="V32" s="136"/>
      <c r="W32" s="136"/>
      <c r="X32" s="136"/>
    </row>
    <row r="33" spans="1:24">
      <c r="A33" s="141"/>
      <c r="B33" s="12" t="s">
        <v>45</v>
      </c>
      <c r="C33" s="28"/>
      <c r="D33" s="11"/>
      <c r="E33" s="35"/>
      <c r="F33" s="36"/>
      <c r="G33" s="36"/>
      <c r="H33" s="37" t="s">
        <v>44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4" ht="12.75" customHeight="1">
      <c r="A34" s="141" t="s">
        <v>135</v>
      </c>
      <c r="B34" s="13" t="s">
        <v>46</v>
      </c>
      <c r="C34" s="28" t="s">
        <v>41</v>
      </c>
      <c r="D34" s="11"/>
      <c r="E34" s="35"/>
      <c r="F34" s="36">
        <v>10</v>
      </c>
      <c r="G34" s="36">
        <v>1632.6</v>
      </c>
      <c r="H34" s="37">
        <f t="shared" ref="H34:H40" si="27">SUM(F34*G34/1000)</f>
        <v>16.326000000000001</v>
      </c>
      <c r="I34" s="31">
        <f>F34/6*G34</f>
        <v>2721</v>
      </c>
      <c r="J34" s="31">
        <f>F34/6*G34</f>
        <v>2721</v>
      </c>
      <c r="K34" s="31">
        <f>F34/6*G34</f>
        <v>2721</v>
      </c>
      <c r="L34" s="31">
        <f>F34/6*G34</f>
        <v>2721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f>F34/6*G34</f>
        <v>2721</v>
      </c>
      <c r="T34" s="31">
        <f>F34/6*G34</f>
        <v>2721</v>
      </c>
      <c r="U34" s="31">
        <f t="shared" ref="U34:U40" si="28">SUM(I34:T34)</f>
        <v>16326</v>
      </c>
    </row>
    <row r="35" spans="1:24" s="1" customFormat="1" ht="25.5">
      <c r="A35" s="143" t="s">
        <v>183</v>
      </c>
      <c r="B35" s="13" t="s">
        <v>114</v>
      </c>
      <c r="C35" s="50" t="s">
        <v>47</v>
      </c>
      <c r="D35" s="13" t="s">
        <v>113</v>
      </c>
      <c r="E35" s="51">
        <v>254.8</v>
      </c>
      <c r="F35" s="51">
        <f>SUM(E35*30/1000)</f>
        <v>7.6440000000000001</v>
      </c>
      <c r="G35" s="51">
        <v>2247.8000000000002</v>
      </c>
      <c r="H35" s="37">
        <f t="shared" si="27"/>
        <v>17.182183200000004</v>
      </c>
      <c r="I35" s="52">
        <f>F35/6*G35</f>
        <v>2863.6972000000001</v>
      </c>
      <c r="J35" s="52">
        <f>F35/6*G35</f>
        <v>2863.6972000000001</v>
      </c>
      <c r="K35" s="31">
        <f t="shared" ref="K35:K40" si="29">F35/6*G35</f>
        <v>2863.6972000000001</v>
      </c>
      <c r="L35" s="31">
        <f t="shared" ref="L35:L40" si="30">F35/6*G35</f>
        <v>2863.6972000000001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f t="shared" ref="S35:S40" si="31">F35/6*G35</f>
        <v>2863.6972000000001</v>
      </c>
      <c r="T35" s="31">
        <f t="shared" ref="T35:T40" si="32">F35/6*G35</f>
        <v>2863.6972000000001</v>
      </c>
      <c r="U35" s="31">
        <f t="shared" si="28"/>
        <v>17182.183199999999</v>
      </c>
      <c r="V35" s="137"/>
      <c r="W35" s="137"/>
      <c r="X35" s="137"/>
    </row>
    <row r="36" spans="1:24">
      <c r="A36" s="141" t="s">
        <v>135</v>
      </c>
      <c r="B36" s="11" t="s">
        <v>103</v>
      </c>
      <c r="C36" s="28" t="s">
        <v>67</v>
      </c>
      <c r="D36" s="11" t="s">
        <v>40</v>
      </c>
      <c r="E36" s="35"/>
      <c r="F36" s="51">
        <v>40</v>
      </c>
      <c r="G36" s="36">
        <v>213.2</v>
      </c>
      <c r="H36" s="37">
        <f t="shared" si="27"/>
        <v>8.5280000000000005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f t="shared" si="28"/>
        <v>0</v>
      </c>
    </row>
    <row r="37" spans="1:24" ht="24.75" customHeight="1">
      <c r="A37" s="141" t="s">
        <v>184</v>
      </c>
      <c r="B37" s="11" t="s">
        <v>153</v>
      </c>
      <c r="C37" s="28" t="s">
        <v>47</v>
      </c>
      <c r="D37" s="11" t="s">
        <v>48</v>
      </c>
      <c r="E37" s="36">
        <v>260.13</v>
      </c>
      <c r="F37" s="51">
        <f>SUM(E37*155/1000)</f>
        <v>40.320149999999998</v>
      </c>
      <c r="G37" s="36">
        <v>374.95</v>
      </c>
      <c r="H37" s="37">
        <f t="shared" si="27"/>
        <v>15.118040242499999</v>
      </c>
      <c r="I37" s="31">
        <f>F37/6*G37</f>
        <v>2519.6733737499999</v>
      </c>
      <c r="J37" s="31">
        <f>F37/6*G37</f>
        <v>2519.6733737499999</v>
      </c>
      <c r="K37" s="31">
        <f t="shared" si="29"/>
        <v>2519.6733737499999</v>
      </c>
      <c r="L37" s="31">
        <f t="shared" si="30"/>
        <v>2519.6733737499999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f t="shared" si="31"/>
        <v>2519.6733737499999</v>
      </c>
      <c r="T37" s="31">
        <f t="shared" si="32"/>
        <v>2519.6733737499999</v>
      </c>
      <c r="U37" s="31">
        <f t="shared" si="28"/>
        <v>15118.040242499999</v>
      </c>
    </row>
    <row r="38" spans="1:24" ht="51" customHeight="1">
      <c r="A38" s="141" t="s">
        <v>185</v>
      </c>
      <c r="B38" s="11" t="s">
        <v>154</v>
      </c>
      <c r="C38" s="28" t="s">
        <v>30</v>
      </c>
      <c r="D38" s="11" t="s">
        <v>115</v>
      </c>
      <c r="E38" s="36">
        <v>132.72999999999999</v>
      </c>
      <c r="F38" s="51">
        <f>SUM(E38*35/1000)</f>
        <v>4.6455499999999992</v>
      </c>
      <c r="G38" s="36">
        <v>6203.7</v>
      </c>
      <c r="H38" s="37">
        <f t="shared" si="27"/>
        <v>28.819598534999994</v>
      </c>
      <c r="I38" s="31">
        <f>F38/6*G38</f>
        <v>4803.266422499999</v>
      </c>
      <c r="J38" s="31">
        <f>F38/6*G38</f>
        <v>4803.266422499999</v>
      </c>
      <c r="K38" s="31">
        <f t="shared" si="29"/>
        <v>4803.266422499999</v>
      </c>
      <c r="L38" s="31">
        <f t="shared" si="30"/>
        <v>4803.266422499999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f t="shared" si="31"/>
        <v>4803.266422499999</v>
      </c>
      <c r="T38" s="31">
        <f t="shared" si="32"/>
        <v>4803.266422499999</v>
      </c>
      <c r="U38" s="31">
        <f t="shared" si="28"/>
        <v>28819.59853499999</v>
      </c>
    </row>
    <row r="39" spans="1:24" ht="12.75" customHeight="1">
      <c r="A39" s="141" t="s">
        <v>186</v>
      </c>
      <c r="B39" s="11" t="s">
        <v>155</v>
      </c>
      <c r="C39" s="28" t="s">
        <v>30</v>
      </c>
      <c r="D39" s="11" t="s">
        <v>291</v>
      </c>
      <c r="E39" s="36">
        <v>254.8</v>
      </c>
      <c r="F39" s="51">
        <f>SUM(E39*15/1000)</f>
        <v>3.8220000000000001</v>
      </c>
      <c r="G39" s="36">
        <v>458.28</v>
      </c>
      <c r="H39" s="37">
        <f t="shared" si="27"/>
        <v>1.75154616</v>
      </c>
      <c r="I39" s="31">
        <v>0</v>
      </c>
      <c r="J39" s="31">
        <v>0</v>
      </c>
      <c r="K39" s="31">
        <f>F39/2*G39</f>
        <v>875.77307999999994</v>
      </c>
      <c r="L39" s="31">
        <f>F39/2*G39</f>
        <v>875.77307999999994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f t="shared" si="28"/>
        <v>1751.5461599999999</v>
      </c>
    </row>
    <row r="40" spans="1:24" s="2" customFormat="1">
      <c r="A40" s="143"/>
      <c r="B40" s="13" t="s">
        <v>156</v>
      </c>
      <c r="C40" s="50" t="s">
        <v>38</v>
      </c>
      <c r="D40" s="13"/>
      <c r="E40" s="47"/>
      <c r="F40" s="51">
        <v>0.9</v>
      </c>
      <c r="G40" s="51">
        <v>853.06</v>
      </c>
      <c r="H40" s="37">
        <f t="shared" si="27"/>
        <v>0.76775400000000005</v>
      </c>
      <c r="I40" s="52">
        <f>F40/6*G40</f>
        <v>127.95899999999999</v>
      </c>
      <c r="J40" s="52">
        <f>F40/6*G40</f>
        <v>127.95899999999999</v>
      </c>
      <c r="K40" s="31">
        <f t="shared" si="29"/>
        <v>127.95899999999999</v>
      </c>
      <c r="L40" s="31">
        <f t="shared" si="30"/>
        <v>127.95899999999999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f t="shared" si="31"/>
        <v>127.95899999999999</v>
      </c>
      <c r="T40" s="31">
        <f t="shared" si="32"/>
        <v>127.95899999999999</v>
      </c>
      <c r="U40" s="31">
        <f t="shared" si="28"/>
        <v>767.75399999999991</v>
      </c>
      <c r="V40" s="136"/>
      <c r="W40" s="136"/>
      <c r="X40" s="136"/>
    </row>
    <row r="41" spans="1:24" s="19" customFormat="1">
      <c r="A41" s="142"/>
      <c r="B41" s="20" t="s">
        <v>27</v>
      </c>
      <c r="C41" s="41"/>
      <c r="D41" s="20"/>
      <c r="E41" s="42"/>
      <c r="F41" s="43" t="s">
        <v>44</v>
      </c>
      <c r="G41" s="43"/>
      <c r="H41" s="49">
        <f>SUM(H34:H40)</f>
        <v>88.493122137499995</v>
      </c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>
        <f>SUM(U34:U40)</f>
        <v>79965.122137499988</v>
      </c>
      <c r="V41" s="136"/>
      <c r="W41" s="136"/>
      <c r="X41" s="136"/>
    </row>
    <row r="42" spans="1:24">
      <c r="A42" s="141"/>
      <c r="B42" s="14" t="s">
        <v>49</v>
      </c>
      <c r="C42" s="28"/>
      <c r="D42" s="11"/>
      <c r="E42" s="35"/>
      <c r="F42" s="36"/>
      <c r="G42" s="36"/>
      <c r="H42" s="37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4">
      <c r="A43" s="141" t="s">
        <v>187</v>
      </c>
      <c r="B43" s="11" t="s">
        <v>196</v>
      </c>
      <c r="C43" s="28" t="s">
        <v>30</v>
      </c>
      <c r="D43" s="11" t="s">
        <v>50</v>
      </c>
      <c r="E43" s="35">
        <v>1795.9</v>
      </c>
      <c r="F43" s="36">
        <f>SUM(E43*2/1000)</f>
        <v>3.5918000000000001</v>
      </c>
      <c r="G43" s="53">
        <v>865.61</v>
      </c>
      <c r="H43" s="37">
        <f t="shared" ref="H43:H52" si="33">SUM(F43*G43/1000)</f>
        <v>3.1090979980000002</v>
      </c>
      <c r="I43" s="31">
        <v>0</v>
      </c>
      <c r="J43" s="31">
        <v>0</v>
      </c>
      <c r="K43" s="31">
        <v>0</v>
      </c>
      <c r="L43" s="31">
        <v>0</v>
      </c>
      <c r="M43" s="31">
        <f>F43/2*G43</f>
        <v>1554.5489990000001</v>
      </c>
      <c r="N43" s="31">
        <v>0</v>
      </c>
      <c r="O43" s="31">
        <v>0</v>
      </c>
      <c r="P43" s="31">
        <v>0</v>
      </c>
      <c r="Q43" s="31">
        <f>F43/2*G43</f>
        <v>1554.5489990000001</v>
      </c>
      <c r="R43" s="31">
        <v>0</v>
      </c>
      <c r="S43" s="31">
        <v>0</v>
      </c>
      <c r="T43" s="31">
        <v>0</v>
      </c>
      <c r="U43" s="31">
        <f t="shared" ref="U43:U52" si="34">SUM(I43:T43)</f>
        <v>3109.0979980000002</v>
      </c>
    </row>
    <row r="44" spans="1:24">
      <c r="A44" s="141" t="s">
        <v>188</v>
      </c>
      <c r="B44" s="11" t="s">
        <v>51</v>
      </c>
      <c r="C44" s="28" t="s">
        <v>30</v>
      </c>
      <c r="D44" s="11" t="s">
        <v>50</v>
      </c>
      <c r="E44" s="35">
        <v>104</v>
      </c>
      <c r="F44" s="36">
        <f>SUM(E44*2/1000)</f>
        <v>0.20799999999999999</v>
      </c>
      <c r="G44" s="53">
        <v>619.46</v>
      </c>
      <c r="H44" s="37">
        <f t="shared" si="33"/>
        <v>0.12884767999999999</v>
      </c>
      <c r="I44" s="31">
        <v>0</v>
      </c>
      <c r="J44" s="31">
        <v>0</v>
      </c>
      <c r="K44" s="31">
        <v>0</v>
      </c>
      <c r="L44" s="31">
        <v>0</v>
      </c>
      <c r="M44" s="31">
        <f t="shared" ref="M44:M47" si="35">F44/2*G44</f>
        <v>64.423839999999998</v>
      </c>
      <c r="N44" s="31">
        <v>0</v>
      </c>
      <c r="O44" s="31">
        <v>0</v>
      </c>
      <c r="P44" s="31">
        <v>0</v>
      </c>
      <c r="Q44" s="31">
        <f t="shared" ref="Q44:Q47" si="36">F44/2*G44</f>
        <v>64.423839999999998</v>
      </c>
      <c r="R44" s="31">
        <v>0</v>
      </c>
      <c r="S44" s="31">
        <v>0</v>
      </c>
      <c r="T44" s="31">
        <v>0</v>
      </c>
      <c r="U44" s="31">
        <f t="shared" si="34"/>
        <v>128.84768</v>
      </c>
    </row>
    <row r="45" spans="1:24" ht="12.75" customHeight="1">
      <c r="A45" s="141" t="s">
        <v>189</v>
      </c>
      <c r="B45" s="11" t="s">
        <v>52</v>
      </c>
      <c r="C45" s="28" t="s">
        <v>30</v>
      </c>
      <c r="D45" s="11" t="s">
        <v>50</v>
      </c>
      <c r="E45" s="35">
        <v>1996.87</v>
      </c>
      <c r="F45" s="36">
        <f>SUM(E45*2/1000)</f>
        <v>3.9937399999999998</v>
      </c>
      <c r="G45" s="53">
        <v>619.46</v>
      </c>
      <c r="H45" s="37">
        <f t="shared" si="33"/>
        <v>2.4739621804</v>
      </c>
      <c r="I45" s="31">
        <v>0</v>
      </c>
      <c r="J45" s="31">
        <v>0</v>
      </c>
      <c r="K45" s="31">
        <v>0</v>
      </c>
      <c r="L45" s="31">
        <v>0</v>
      </c>
      <c r="M45" s="31">
        <f t="shared" si="35"/>
        <v>1236.9810901999999</v>
      </c>
      <c r="N45" s="31">
        <v>0</v>
      </c>
      <c r="O45" s="31">
        <v>0</v>
      </c>
      <c r="P45" s="31">
        <v>0</v>
      </c>
      <c r="Q45" s="31">
        <f t="shared" si="36"/>
        <v>1236.9810901999999</v>
      </c>
      <c r="R45" s="31">
        <v>0</v>
      </c>
      <c r="S45" s="31">
        <v>0</v>
      </c>
      <c r="T45" s="31">
        <v>0</v>
      </c>
      <c r="U45" s="31">
        <f t="shared" si="34"/>
        <v>2473.9621803999999</v>
      </c>
    </row>
    <row r="46" spans="1:24">
      <c r="A46" s="141" t="s">
        <v>190</v>
      </c>
      <c r="B46" s="11" t="s">
        <v>53</v>
      </c>
      <c r="C46" s="28" t="s">
        <v>30</v>
      </c>
      <c r="D46" s="11" t="s">
        <v>50</v>
      </c>
      <c r="E46" s="35">
        <v>2630.35</v>
      </c>
      <c r="F46" s="36">
        <f>SUM(E46*2/1000)</f>
        <v>5.2606999999999999</v>
      </c>
      <c r="G46" s="53">
        <v>648.64</v>
      </c>
      <c r="H46" s="37">
        <f t="shared" si="33"/>
        <v>3.4123004479999999</v>
      </c>
      <c r="I46" s="31">
        <v>0</v>
      </c>
      <c r="J46" s="31">
        <v>0</v>
      </c>
      <c r="K46" s="31">
        <v>0</v>
      </c>
      <c r="L46" s="31">
        <v>0</v>
      </c>
      <c r="M46" s="31">
        <f t="shared" si="35"/>
        <v>1706.150224</v>
      </c>
      <c r="N46" s="31">
        <v>0</v>
      </c>
      <c r="O46" s="31">
        <v>0</v>
      </c>
      <c r="P46" s="31">
        <v>0</v>
      </c>
      <c r="Q46" s="31">
        <f t="shared" si="36"/>
        <v>1706.150224</v>
      </c>
      <c r="R46" s="31">
        <v>0</v>
      </c>
      <c r="S46" s="31">
        <v>0</v>
      </c>
      <c r="T46" s="31">
        <v>0</v>
      </c>
      <c r="U46" s="31">
        <f t="shared" si="34"/>
        <v>3412.300448</v>
      </c>
    </row>
    <row r="47" spans="1:24">
      <c r="A47" s="141" t="s">
        <v>191</v>
      </c>
      <c r="B47" s="11" t="s">
        <v>105</v>
      </c>
      <c r="C47" s="28" t="s">
        <v>106</v>
      </c>
      <c r="D47" s="11" t="s">
        <v>50</v>
      </c>
      <c r="E47" s="35">
        <v>131.47</v>
      </c>
      <c r="F47" s="36">
        <f>SUM(E47*2/100)</f>
        <v>2.6294</v>
      </c>
      <c r="G47" s="53">
        <v>77.84</v>
      </c>
      <c r="H47" s="37">
        <f t="shared" si="33"/>
        <v>0.20467249599999998</v>
      </c>
      <c r="I47" s="31">
        <v>0</v>
      </c>
      <c r="J47" s="31">
        <v>0</v>
      </c>
      <c r="K47" s="31">
        <v>0</v>
      </c>
      <c r="L47" s="31">
        <v>0</v>
      </c>
      <c r="M47" s="31">
        <f t="shared" si="35"/>
        <v>102.336248</v>
      </c>
      <c r="N47" s="31">
        <v>0</v>
      </c>
      <c r="O47" s="31">
        <v>0</v>
      </c>
      <c r="P47" s="31">
        <v>0</v>
      </c>
      <c r="Q47" s="31">
        <f t="shared" si="36"/>
        <v>102.336248</v>
      </c>
      <c r="R47" s="31">
        <v>0</v>
      </c>
      <c r="S47" s="31">
        <v>0</v>
      </c>
      <c r="T47" s="31">
        <v>0</v>
      </c>
      <c r="U47" s="31">
        <f t="shared" si="34"/>
        <v>204.672496</v>
      </c>
    </row>
    <row r="48" spans="1:24" ht="25.5">
      <c r="A48" s="141" t="s">
        <v>192</v>
      </c>
      <c r="B48" s="11" t="s">
        <v>54</v>
      </c>
      <c r="C48" s="28" t="s">
        <v>30</v>
      </c>
      <c r="D48" s="11" t="s">
        <v>55</v>
      </c>
      <c r="E48" s="35">
        <v>2872.4</v>
      </c>
      <c r="F48" s="36">
        <f>SUM(E48*5/1000)</f>
        <v>14.362</v>
      </c>
      <c r="G48" s="53">
        <v>1297.28</v>
      </c>
      <c r="H48" s="37">
        <f t="shared" si="33"/>
        <v>18.631535359999997</v>
      </c>
      <c r="I48" s="31">
        <f>F48/5*G48</f>
        <v>3726.3070719999996</v>
      </c>
      <c r="J48" s="31">
        <f>F48/5*G48</f>
        <v>3726.3070719999996</v>
      </c>
      <c r="K48" s="31">
        <v>0</v>
      </c>
      <c r="L48" s="31">
        <v>0</v>
      </c>
      <c r="M48" s="31">
        <f>F48/5*G48</f>
        <v>3726.3070719999996</v>
      </c>
      <c r="N48" s="31">
        <v>0</v>
      </c>
      <c r="O48" s="31">
        <v>0</v>
      </c>
      <c r="P48" s="31">
        <v>0</v>
      </c>
      <c r="Q48" s="31">
        <f>F48/5*G48</f>
        <v>3726.3070719999996</v>
      </c>
      <c r="R48" s="31">
        <v>0</v>
      </c>
      <c r="S48" s="31">
        <v>0</v>
      </c>
      <c r="T48" s="31">
        <f>F48/5*G48</f>
        <v>3726.3070719999996</v>
      </c>
      <c r="U48" s="31">
        <f t="shared" si="34"/>
        <v>18631.535359999998</v>
      </c>
    </row>
    <row r="49" spans="1:24" ht="38.25" customHeight="1">
      <c r="A49" s="141" t="s">
        <v>193</v>
      </c>
      <c r="B49" s="11" t="s">
        <v>56</v>
      </c>
      <c r="C49" s="28" t="s">
        <v>30</v>
      </c>
      <c r="D49" s="11" t="s">
        <v>50</v>
      </c>
      <c r="E49" s="35">
        <v>2872.4</v>
      </c>
      <c r="F49" s="36">
        <f>SUM(E49*2/1000)</f>
        <v>5.7448000000000006</v>
      </c>
      <c r="G49" s="53">
        <v>1297.28</v>
      </c>
      <c r="H49" s="37">
        <f t="shared" si="33"/>
        <v>7.4526141440000009</v>
      </c>
      <c r="I49" s="31">
        <v>0</v>
      </c>
      <c r="J49" s="31">
        <v>0</v>
      </c>
      <c r="K49" s="31">
        <v>0</v>
      </c>
      <c r="L49" s="31">
        <v>0</v>
      </c>
      <c r="M49" s="31">
        <f>F49/2*G49</f>
        <v>3726.3070720000005</v>
      </c>
      <c r="N49" s="31">
        <v>0</v>
      </c>
      <c r="O49" s="31">
        <v>0</v>
      </c>
      <c r="P49" s="31">
        <v>0</v>
      </c>
      <c r="Q49" s="31">
        <v>0</v>
      </c>
      <c r="R49" s="31">
        <f t="shared" ref="R49:R51" si="37">F49/2*G49</f>
        <v>3726.3070720000005</v>
      </c>
      <c r="S49" s="31">
        <v>0</v>
      </c>
      <c r="T49" s="31">
        <v>0</v>
      </c>
      <c r="U49" s="31">
        <f t="shared" si="34"/>
        <v>7452.614144000001</v>
      </c>
    </row>
    <row r="50" spans="1:24" ht="25.5" customHeight="1">
      <c r="A50" s="141" t="s">
        <v>194</v>
      </c>
      <c r="B50" s="11" t="s">
        <v>57</v>
      </c>
      <c r="C50" s="28" t="s">
        <v>58</v>
      </c>
      <c r="D50" s="11" t="s">
        <v>50</v>
      </c>
      <c r="E50" s="35">
        <v>40</v>
      </c>
      <c r="F50" s="36">
        <f>SUM(E50*2/100)</f>
        <v>0.8</v>
      </c>
      <c r="G50" s="53">
        <v>2918.89</v>
      </c>
      <c r="H50" s="37">
        <f t="shared" si="33"/>
        <v>2.3351120000000001</v>
      </c>
      <c r="I50" s="31">
        <v>0</v>
      </c>
      <c r="J50" s="31">
        <v>0</v>
      </c>
      <c r="K50" s="31">
        <v>0</v>
      </c>
      <c r="L50" s="31">
        <v>0</v>
      </c>
      <c r="M50" s="31">
        <f>F50/2*G50</f>
        <v>1167.556</v>
      </c>
      <c r="N50" s="31">
        <v>0</v>
      </c>
      <c r="O50" s="31">
        <v>0</v>
      </c>
      <c r="P50" s="31">
        <v>0</v>
      </c>
      <c r="Q50" s="31">
        <v>0</v>
      </c>
      <c r="R50" s="31">
        <f t="shared" si="37"/>
        <v>1167.556</v>
      </c>
      <c r="S50" s="31">
        <v>0</v>
      </c>
      <c r="T50" s="31">
        <v>0</v>
      </c>
      <c r="U50" s="31">
        <f t="shared" si="34"/>
        <v>2335.1120000000001</v>
      </c>
    </row>
    <row r="51" spans="1:24">
      <c r="A51" s="141" t="s">
        <v>195</v>
      </c>
      <c r="B51" s="11" t="s">
        <v>59</v>
      </c>
      <c r="C51" s="28" t="s">
        <v>60</v>
      </c>
      <c r="D51" s="11" t="s">
        <v>50</v>
      </c>
      <c r="E51" s="35">
        <v>1</v>
      </c>
      <c r="F51" s="36">
        <v>0.02</v>
      </c>
      <c r="G51" s="53">
        <v>6042.12</v>
      </c>
      <c r="H51" s="37">
        <f t="shared" si="33"/>
        <v>0.1208424</v>
      </c>
      <c r="I51" s="31">
        <v>0</v>
      </c>
      <c r="J51" s="31">
        <v>0</v>
      </c>
      <c r="K51" s="31">
        <v>0</v>
      </c>
      <c r="L51" s="31">
        <v>0</v>
      </c>
      <c r="M51" s="31">
        <f>F51/2*G51</f>
        <v>60.421199999999999</v>
      </c>
      <c r="N51" s="31">
        <v>0</v>
      </c>
      <c r="O51" s="31">
        <v>0</v>
      </c>
      <c r="P51" s="31">
        <v>0</v>
      </c>
      <c r="Q51" s="31">
        <v>0</v>
      </c>
      <c r="R51" s="31">
        <f t="shared" si="37"/>
        <v>60.421199999999999</v>
      </c>
      <c r="S51" s="31">
        <v>0</v>
      </c>
      <c r="T51" s="31">
        <v>0</v>
      </c>
      <c r="U51" s="31">
        <f t="shared" si="34"/>
        <v>120.8424</v>
      </c>
    </row>
    <row r="52" spans="1:24" ht="13.5" customHeight="1">
      <c r="A52" s="141" t="s">
        <v>62</v>
      </c>
      <c r="B52" s="11" t="s">
        <v>63</v>
      </c>
      <c r="C52" s="28" t="s">
        <v>35</v>
      </c>
      <c r="D52" s="11" t="s">
        <v>98</v>
      </c>
      <c r="E52" s="35">
        <v>160</v>
      </c>
      <c r="F52" s="36">
        <f>SUM(E52)*3</f>
        <v>480</v>
      </c>
      <c r="G52" s="54">
        <v>70.209999999999994</v>
      </c>
      <c r="H52" s="37">
        <f t="shared" si="33"/>
        <v>33.700799999999994</v>
      </c>
      <c r="I52" s="31">
        <f>E52*G52</f>
        <v>11233.599999999999</v>
      </c>
      <c r="J52" s="31">
        <v>0</v>
      </c>
      <c r="K52" s="31">
        <v>0</v>
      </c>
      <c r="L52" s="31">
        <v>0</v>
      </c>
      <c r="M52" s="31">
        <v>0</v>
      </c>
      <c r="N52" s="31">
        <f>E52*G52</f>
        <v>11233.599999999999</v>
      </c>
      <c r="O52" s="31">
        <v>0</v>
      </c>
      <c r="P52" s="31">
        <v>0</v>
      </c>
      <c r="Q52" s="31">
        <v>0</v>
      </c>
      <c r="R52" s="31">
        <f>E52*G52</f>
        <v>11233.599999999999</v>
      </c>
      <c r="S52" s="31">
        <v>0</v>
      </c>
      <c r="T52" s="31">
        <v>0</v>
      </c>
      <c r="U52" s="31">
        <f t="shared" si="34"/>
        <v>33700.799999999996</v>
      </c>
    </row>
    <row r="53" spans="1:24" s="21" customFormat="1">
      <c r="A53" s="144"/>
      <c r="B53" s="20" t="s">
        <v>27</v>
      </c>
      <c r="C53" s="55"/>
      <c r="D53" s="20"/>
      <c r="E53" s="56"/>
      <c r="F53" s="57"/>
      <c r="G53" s="57"/>
      <c r="H53" s="49">
        <f>SUM(H43:H52)</f>
        <v>71.569784706399986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>
        <f>SUM(U43:U52)</f>
        <v>71569.784706399994</v>
      </c>
      <c r="V53" s="136"/>
      <c r="W53" s="136"/>
      <c r="X53" s="136"/>
    </row>
    <row r="54" spans="1:24">
      <c r="A54" s="141"/>
      <c r="B54" s="12" t="s">
        <v>64</v>
      </c>
      <c r="C54" s="28"/>
      <c r="D54" s="11"/>
      <c r="E54" s="35"/>
      <c r="F54" s="36"/>
      <c r="G54" s="36"/>
      <c r="H54" s="37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4" ht="38.25">
      <c r="A55" s="149" t="s">
        <v>197</v>
      </c>
      <c r="B55" s="11" t="s">
        <v>157</v>
      </c>
      <c r="C55" s="28" t="s">
        <v>13</v>
      </c>
      <c r="D55" s="11" t="s">
        <v>107</v>
      </c>
      <c r="E55" s="35">
        <v>239.59</v>
      </c>
      <c r="F55" s="36">
        <f>E55*6/100</f>
        <v>14.375399999999999</v>
      </c>
      <c r="G55" s="59">
        <v>1654.04</v>
      </c>
      <c r="H55" s="37">
        <f>F55*G55/1000</f>
        <v>23.777486615999997</v>
      </c>
      <c r="I55" s="31">
        <f>F55/6*G55</f>
        <v>3962.9144359999996</v>
      </c>
      <c r="J55" s="31">
        <f>F55/6*G55</f>
        <v>3962.9144359999996</v>
      </c>
      <c r="K55" s="31">
        <f>F55/6*G55</f>
        <v>3962.9144359999996</v>
      </c>
      <c r="L55" s="31">
        <f>F55/6*G55</f>
        <v>3962.9144359999996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f>F55/6*G55</f>
        <v>3962.9144359999996</v>
      </c>
      <c r="T55" s="31">
        <f>F55/6*G55</f>
        <v>3962.9144359999996</v>
      </c>
      <c r="U55" s="31">
        <f t="shared" ref="U55:U80" si="38">SUM(I55:T55)</f>
        <v>23777.486615999998</v>
      </c>
    </row>
    <row r="56" spans="1:24" ht="12.75" customHeight="1">
      <c r="A56" s="145"/>
      <c r="B56" s="23" t="s">
        <v>65</v>
      </c>
      <c r="C56" s="26"/>
      <c r="D56" s="22"/>
      <c r="E56" s="60"/>
      <c r="F56" s="61"/>
      <c r="G56" s="62"/>
      <c r="H56" s="63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4" ht="12.75" customHeight="1">
      <c r="A57" s="145" t="s">
        <v>198</v>
      </c>
      <c r="B57" s="22" t="s">
        <v>108</v>
      </c>
      <c r="C57" s="26" t="s">
        <v>24</v>
      </c>
      <c r="D57" s="22" t="s">
        <v>33</v>
      </c>
      <c r="E57" s="60">
        <v>2686</v>
      </c>
      <c r="F57" s="61">
        <f>E57/100</f>
        <v>26.86</v>
      </c>
      <c r="G57" s="64">
        <v>848.37</v>
      </c>
      <c r="H57" s="63">
        <f>G57*F57/1000</f>
        <v>22.787218199999998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f t="shared" si="38"/>
        <v>0</v>
      </c>
    </row>
    <row r="58" spans="1:24" ht="12.75" customHeight="1">
      <c r="A58" s="145"/>
      <c r="B58" s="22" t="s">
        <v>116</v>
      </c>
      <c r="C58" s="26" t="s">
        <v>66</v>
      </c>
      <c r="D58" s="22" t="s">
        <v>97</v>
      </c>
      <c r="E58" s="60">
        <v>343</v>
      </c>
      <c r="F58" s="61">
        <v>4116</v>
      </c>
      <c r="G58" s="65">
        <v>2.6</v>
      </c>
      <c r="H58" s="63">
        <f>F58*G58</f>
        <v>10701.6</v>
      </c>
      <c r="I58" s="31">
        <f>F58/12*G58</f>
        <v>891.80000000000007</v>
      </c>
      <c r="J58" s="31">
        <f>F58/12*G58</f>
        <v>891.80000000000007</v>
      </c>
      <c r="K58" s="31">
        <f>F58/12*G58</f>
        <v>891.80000000000007</v>
      </c>
      <c r="L58" s="31">
        <f>F58/12*G58</f>
        <v>891.80000000000007</v>
      </c>
      <c r="M58" s="31">
        <f>F58/12*G58</f>
        <v>891.80000000000007</v>
      </c>
      <c r="N58" s="31">
        <f>F58/12*G58</f>
        <v>891.80000000000007</v>
      </c>
      <c r="O58" s="31">
        <f>F58/12*G58</f>
        <v>891.80000000000007</v>
      </c>
      <c r="P58" s="31">
        <f>F58/12*G58</f>
        <v>891.80000000000007</v>
      </c>
      <c r="Q58" s="31">
        <f>F58/12*G58</f>
        <v>891.80000000000007</v>
      </c>
      <c r="R58" s="31">
        <f>F58/12*G58</f>
        <v>891.80000000000007</v>
      </c>
      <c r="S58" s="31">
        <f>F58/12*G58</f>
        <v>891.80000000000007</v>
      </c>
      <c r="T58" s="31">
        <f>F58/12*G58</f>
        <v>891.80000000000007</v>
      </c>
      <c r="U58" s="31">
        <f t="shared" si="38"/>
        <v>10701.599999999999</v>
      </c>
    </row>
    <row r="59" spans="1:24" ht="12.75" customHeight="1">
      <c r="A59" s="145"/>
      <c r="B59" s="23" t="s">
        <v>117</v>
      </c>
      <c r="C59" s="26"/>
      <c r="D59" s="22"/>
      <c r="E59" s="60"/>
      <c r="F59" s="63"/>
      <c r="G59" s="53"/>
      <c r="H59" s="66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4" ht="12.75" customHeight="1">
      <c r="A60" s="145" t="s">
        <v>199</v>
      </c>
      <c r="B60" s="22" t="s">
        <v>118</v>
      </c>
      <c r="C60" s="26" t="s">
        <v>35</v>
      </c>
      <c r="D60" s="22" t="s">
        <v>40</v>
      </c>
      <c r="E60" s="60">
        <v>3</v>
      </c>
      <c r="F60" s="61">
        <v>3</v>
      </c>
      <c r="G60" s="65">
        <v>254.16</v>
      </c>
      <c r="H60" s="63">
        <v>0.76200000000000001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f t="shared" si="38"/>
        <v>0</v>
      </c>
    </row>
    <row r="61" spans="1:24">
      <c r="A61" s="145"/>
      <c r="B61" s="15" t="s">
        <v>68</v>
      </c>
      <c r="C61" s="26"/>
      <c r="D61" s="22"/>
      <c r="E61" s="60"/>
      <c r="F61" s="61"/>
      <c r="G61" s="61"/>
      <c r="H61" s="63" t="s">
        <v>44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4" ht="12.75" customHeight="1">
      <c r="A62" s="67" t="s">
        <v>200</v>
      </c>
      <c r="B62" s="16" t="s">
        <v>69</v>
      </c>
      <c r="C62" s="67" t="s">
        <v>61</v>
      </c>
      <c r="D62" s="9" t="s">
        <v>40</v>
      </c>
      <c r="E62" s="39">
        <v>15</v>
      </c>
      <c r="F62" s="36">
        <v>15</v>
      </c>
      <c r="G62" s="53">
        <v>237.74</v>
      </c>
      <c r="H62" s="68">
        <f t="shared" ref="H62:H75" si="39">SUM(F62*G62/1000)</f>
        <v>3.5661000000000005</v>
      </c>
      <c r="I62" s="31">
        <v>0</v>
      </c>
      <c r="J62" s="31">
        <v>0</v>
      </c>
      <c r="K62" s="31">
        <f>G62</f>
        <v>237.74</v>
      </c>
      <c r="L62" s="31">
        <v>0</v>
      </c>
      <c r="M62" s="31">
        <v>0</v>
      </c>
      <c r="N62" s="31">
        <f>G62</f>
        <v>237.74</v>
      </c>
      <c r="O62" s="31">
        <v>0</v>
      </c>
      <c r="P62" s="31">
        <f>G62*3</f>
        <v>713.22</v>
      </c>
      <c r="Q62" s="31">
        <f>G62*5</f>
        <v>1188.7</v>
      </c>
      <c r="R62" s="31">
        <f>G62*2</f>
        <v>475.48</v>
      </c>
      <c r="S62" s="31">
        <v>0</v>
      </c>
      <c r="T62" s="31">
        <v>0</v>
      </c>
      <c r="U62" s="31">
        <f t="shared" si="38"/>
        <v>2852.88</v>
      </c>
    </row>
    <row r="63" spans="1:24" ht="12.75" customHeight="1">
      <c r="A63" s="67" t="s">
        <v>201</v>
      </c>
      <c r="B63" s="16" t="s">
        <v>70</v>
      </c>
      <c r="C63" s="67" t="s">
        <v>61</v>
      </c>
      <c r="D63" s="9" t="s">
        <v>40</v>
      </c>
      <c r="E63" s="39">
        <v>5</v>
      </c>
      <c r="F63" s="36">
        <v>5</v>
      </c>
      <c r="G63" s="53">
        <v>81.510000000000005</v>
      </c>
      <c r="H63" s="68">
        <f t="shared" si="39"/>
        <v>0.40755000000000002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f t="shared" si="38"/>
        <v>0</v>
      </c>
    </row>
    <row r="64" spans="1:24" s="2" customFormat="1">
      <c r="A64" s="69" t="s">
        <v>202</v>
      </c>
      <c r="B64" s="16" t="s">
        <v>71</v>
      </c>
      <c r="C64" s="69" t="s">
        <v>72</v>
      </c>
      <c r="D64" s="9" t="s">
        <v>33</v>
      </c>
      <c r="E64" s="35">
        <v>24123</v>
      </c>
      <c r="F64" s="54">
        <f>SUM(E64/100)</f>
        <v>241.23</v>
      </c>
      <c r="G64" s="53">
        <v>226.79</v>
      </c>
      <c r="H64" s="68">
        <f t="shared" si="39"/>
        <v>54.708551699999994</v>
      </c>
      <c r="I64" s="52">
        <v>0</v>
      </c>
      <c r="J64" s="52">
        <v>0</v>
      </c>
      <c r="K64" s="31">
        <v>0</v>
      </c>
      <c r="L64" s="31">
        <v>0</v>
      </c>
      <c r="M64" s="31">
        <f>F64*G64</f>
        <v>54708.551699999996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f t="shared" si="38"/>
        <v>54708.551699999996</v>
      </c>
      <c r="V64" s="136"/>
      <c r="W64" s="136"/>
      <c r="X64" s="136"/>
    </row>
    <row r="65" spans="1:24" ht="12.75" customHeight="1">
      <c r="A65" s="67" t="s">
        <v>203</v>
      </c>
      <c r="B65" s="16" t="s">
        <v>73</v>
      </c>
      <c r="C65" s="67" t="s">
        <v>74</v>
      </c>
      <c r="D65" s="9"/>
      <c r="E65" s="35">
        <v>24123</v>
      </c>
      <c r="F65" s="53">
        <f>SUM(E65/1000)</f>
        <v>24.123000000000001</v>
      </c>
      <c r="G65" s="53">
        <v>176.61</v>
      </c>
      <c r="H65" s="68">
        <f t="shared" si="39"/>
        <v>4.2603630300000006</v>
      </c>
      <c r="I65" s="31">
        <v>0</v>
      </c>
      <c r="J65" s="31">
        <v>0</v>
      </c>
      <c r="K65" s="31">
        <v>0</v>
      </c>
      <c r="L65" s="31">
        <v>0</v>
      </c>
      <c r="M65" s="31">
        <f t="shared" ref="M65:M68" si="40">F65*G65</f>
        <v>4260.3630300000004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f t="shared" si="38"/>
        <v>4260.3630300000004</v>
      </c>
    </row>
    <row r="66" spans="1:24">
      <c r="A66" s="67" t="s">
        <v>204</v>
      </c>
      <c r="B66" s="16" t="s">
        <v>75</v>
      </c>
      <c r="C66" s="67" t="s">
        <v>76</v>
      </c>
      <c r="D66" s="9" t="s">
        <v>33</v>
      </c>
      <c r="E66" s="35">
        <v>2730</v>
      </c>
      <c r="F66" s="53">
        <f>SUM(E66/100)</f>
        <v>27.3</v>
      </c>
      <c r="G66" s="53">
        <v>2217.7800000000002</v>
      </c>
      <c r="H66" s="68">
        <f t="shared" si="39"/>
        <v>60.545394000000009</v>
      </c>
      <c r="I66" s="31">
        <v>0</v>
      </c>
      <c r="J66" s="31">
        <v>0</v>
      </c>
      <c r="K66" s="31">
        <v>0</v>
      </c>
      <c r="L66" s="31">
        <v>0</v>
      </c>
      <c r="M66" s="31">
        <f>F66*G66</f>
        <v>60545.394000000008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f t="shared" si="38"/>
        <v>60545.394000000008</v>
      </c>
    </row>
    <row r="67" spans="1:24">
      <c r="A67" s="67"/>
      <c r="B67" s="17" t="s">
        <v>99</v>
      </c>
      <c r="C67" s="67" t="s">
        <v>38</v>
      </c>
      <c r="D67" s="9"/>
      <c r="E67" s="35">
        <v>23</v>
      </c>
      <c r="F67" s="53">
        <f>SUM(E67)</f>
        <v>23</v>
      </c>
      <c r="G67" s="53">
        <v>42.67</v>
      </c>
      <c r="H67" s="68">
        <f t="shared" si="39"/>
        <v>0.98141000000000012</v>
      </c>
      <c r="I67" s="31">
        <v>0</v>
      </c>
      <c r="J67" s="31">
        <v>0</v>
      </c>
      <c r="K67" s="31">
        <v>0</v>
      </c>
      <c r="L67" s="31">
        <v>0</v>
      </c>
      <c r="M67" s="31">
        <f t="shared" si="40"/>
        <v>981.41000000000008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f t="shared" si="38"/>
        <v>981.41000000000008</v>
      </c>
    </row>
    <row r="68" spans="1:24" ht="12.75" customHeight="1">
      <c r="A68" s="150"/>
      <c r="B68" s="17" t="s">
        <v>100</v>
      </c>
      <c r="C68" s="67" t="s">
        <v>38</v>
      </c>
      <c r="D68" s="9"/>
      <c r="E68" s="35">
        <v>23</v>
      </c>
      <c r="F68" s="53">
        <f>SUM(E68)</f>
        <v>23</v>
      </c>
      <c r="G68" s="53">
        <v>39.81</v>
      </c>
      <c r="H68" s="68">
        <f t="shared" si="39"/>
        <v>0.91563000000000005</v>
      </c>
      <c r="I68" s="31">
        <v>0</v>
      </c>
      <c r="J68" s="31">
        <v>0</v>
      </c>
      <c r="K68" s="31">
        <v>0</v>
      </c>
      <c r="L68" s="31">
        <v>0</v>
      </c>
      <c r="M68" s="31">
        <f t="shared" si="40"/>
        <v>915.63000000000011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f t="shared" si="38"/>
        <v>915.63000000000011</v>
      </c>
    </row>
    <row r="69" spans="1:24">
      <c r="A69" s="67" t="s">
        <v>205</v>
      </c>
      <c r="B69" s="9" t="s">
        <v>77</v>
      </c>
      <c r="C69" s="67" t="s">
        <v>78</v>
      </c>
      <c r="D69" s="9" t="s">
        <v>33</v>
      </c>
      <c r="E69" s="39">
        <v>10</v>
      </c>
      <c r="F69" s="36">
        <f>SUM(E69)</f>
        <v>10</v>
      </c>
      <c r="G69" s="53">
        <v>53.32</v>
      </c>
      <c r="H69" s="68">
        <f t="shared" si="39"/>
        <v>0.53320000000000001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f>G69*F69</f>
        <v>533.20000000000005</v>
      </c>
      <c r="R69" s="31">
        <v>0</v>
      </c>
      <c r="S69" s="31">
        <v>0</v>
      </c>
      <c r="T69" s="31">
        <v>0</v>
      </c>
      <c r="U69" s="31">
        <f t="shared" si="38"/>
        <v>533.20000000000005</v>
      </c>
    </row>
    <row r="70" spans="1:24">
      <c r="A70" s="67"/>
      <c r="B70" s="18" t="s">
        <v>79</v>
      </c>
      <c r="C70" s="67"/>
      <c r="D70" s="9"/>
      <c r="E70" s="39"/>
      <c r="F70" s="53"/>
      <c r="G70" s="53"/>
      <c r="H70" s="68" t="s">
        <v>44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4">
      <c r="A71" s="67" t="s">
        <v>206</v>
      </c>
      <c r="B71" s="9" t="s">
        <v>110</v>
      </c>
      <c r="C71" s="67" t="s">
        <v>109</v>
      </c>
      <c r="D71" s="9"/>
      <c r="E71" s="39">
        <v>2</v>
      </c>
      <c r="F71" s="62">
        <v>0.2</v>
      </c>
      <c r="G71" s="53">
        <v>536.23</v>
      </c>
      <c r="H71" s="68">
        <v>0.251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f>G71*0.4</f>
        <v>214.49200000000002</v>
      </c>
      <c r="S71" s="31">
        <v>0</v>
      </c>
      <c r="T71" s="31">
        <v>0</v>
      </c>
      <c r="U71" s="31">
        <f t="shared" si="38"/>
        <v>214.49200000000002</v>
      </c>
    </row>
    <row r="72" spans="1:24">
      <c r="A72" s="67" t="s">
        <v>207</v>
      </c>
      <c r="B72" s="9" t="s">
        <v>80</v>
      </c>
      <c r="C72" s="67" t="s">
        <v>35</v>
      </c>
      <c r="D72" s="9"/>
      <c r="E72" s="39">
        <v>1</v>
      </c>
      <c r="F72" s="36">
        <f>SUM(E72)</f>
        <v>1</v>
      </c>
      <c r="G72" s="53">
        <v>383.25</v>
      </c>
      <c r="H72" s="68">
        <f t="shared" si="39"/>
        <v>0.38324999999999998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f t="shared" si="38"/>
        <v>0</v>
      </c>
    </row>
    <row r="73" spans="1:24">
      <c r="A73" s="67" t="s">
        <v>208</v>
      </c>
      <c r="B73" s="9" t="s">
        <v>101</v>
      </c>
      <c r="C73" s="67" t="s">
        <v>35</v>
      </c>
      <c r="D73" s="9"/>
      <c r="E73" s="39">
        <v>2</v>
      </c>
      <c r="F73" s="53">
        <v>2</v>
      </c>
      <c r="G73" s="53">
        <v>911.85</v>
      </c>
      <c r="H73" s="68">
        <f>F73*G73/1000</f>
        <v>1.8237000000000001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f t="shared" si="38"/>
        <v>0</v>
      </c>
    </row>
    <row r="74" spans="1:24">
      <c r="A74" s="67"/>
      <c r="B74" s="70" t="s">
        <v>81</v>
      </c>
      <c r="C74" s="67"/>
      <c r="D74" s="9"/>
      <c r="E74" s="39"/>
      <c r="F74" s="53"/>
      <c r="G74" s="53" t="s">
        <v>44</v>
      </c>
      <c r="H74" s="68" t="s">
        <v>44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4" s="2" customFormat="1">
      <c r="A75" s="69" t="s">
        <v>82</v>
      </c>
      <c r="B75" s="71" t="s">
        <v>83</v>
      </c>
      <c r="C75" s="69" t="s">
        <v>76</v>
      </c>
      <c r="D75" s="16"/>
      <c r="E75" s="72"/>
      <c r="F75" s="54">
        <v>1.35</v>
      </c>
      <c r="G75" s="54">
        <v>2949.85</v>
      </c>
      <c r="H75" s="68">
        <f t="shared" si="39"/>
        <v>3.9822975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31">
        <f t="shared" si="38"/>
        <v>0</v>
      </c>
      <c r="V75" s="136"/>
      <c r="W75" s="136"/>
      <c r="X75" s="136"/>
    </row>
    <row r="76" spans="1:24" s="21" customFormat="1">
      <c r="A76" s="73"/>
      <c r="B76" s="20" t="s">
        <v>27</v>
      </c>
      <c r="C76" s="74"/>
      <c r="D76" s="75"/>
      <c r="E76" s="76"/>
      <c r="F76" s="58"/>
      <c r="G76" s="58"/>
      <c r="H76" s="77">
        <f>SUM(H55:H75)</f>
        <v>10881.285151046004</v>
      </c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>
        <f>SUM(U55:U75)</f>
        <v>159491.00734600003</v>
      </c>
      <c r="V76" s="136"/>
      <c r="W76" s="136"/>
      <c r="X76" s="136"/>
    </row>
    <row r="77" spans="1:24">
      <c r="A77" s="146" t="s">
        <v>132</v>
      </c>
      <c r="B77" s="11" t="s">
        <v>133</v>
      </c>
      <c r="C77" s="79"/>
      <c r="D77" s="80"/>
      <c r="E77" s="123"/>
      <c r="F77" s="81">
        <v>1</v>
      </c>
      <c r="G77" s="82">
        <v>21010.2</v>
      </c>
      <c r="H77" s="68">
        <f>G77*F77/1000</f>
        <v>21.010200000000001</v>
      </c>
      <c r="I77" s="31">
        <v>0</v>
      </c>
      <c r="J77" s="31">
        <v>0</v>
      </c>
      <c r="K77" s="31">
        <v>0</v>
      </c>
      <c r="L77" s="31">
        <v>0</v>
      </c>
      <c r="M77" s="119">
        <v>0</v>
      </c>
      <c r="N77" s="119">
        <v>7520.24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f t="shared" si="38"/>
        <v>7520.24</v>
      </c>
    </row>
    <row r="78" spans="1:24" ht="12.75" customHeight="1">
      <c r="A78" s="147"/>
      <c r="B78" s="78" t="s">
        <v>84</v>
      </c>
      <c r="C78" s="67" t="s">
        <v>85</v>
      </c>
      <c r="D78" s="83"/>
      <c r="E78" s="53">
        <v>4591.2</v>
      </c>
      <c r="F78" s="53">
        <f>SUM(E78*12)</f>
        <v>55094.399999999994</v>
      </c>
      <c r="G78" s="84">
        <v>2.54</v>
      </c>
      <c r="H78" s="68">
        <f>SUM(F78*G78/1000)</f>
        <v>139.93977599999999</v>
      </c>
      <c r="I78" s="31">
        <f>F78/12*G78</f>
        <v>11661.647999999999</v>
      </c>
      <c r="J78" s="31">
        <f>F78/12*G78</f>
        <v>11661.647999999999</v>
      </c>
      <c r="K78" s="31">
        <f>F78/12*G78</f>
        <v>11661.647999999999</v>
      </c>
      <c r="L78" s="31">
        <f>F78/12*G78</f>
        <v>11661.647999999999</v>
      </c>
      <c r="M78" s="119">
        <f>F78/12*G78</f>
        <v>11661.647999999999</v>
      </c>
      <c r="N78" s="119">
        <f>F78/12*G78</f>
        <v>11661.647999999999</v>
      </c>
      <c r="O78" s="31">
        <f>F78/12*G78</f>
        <v>11661.647999999999</v>
      </c>
      <c r="P78" s="31">
        <f>F78/12*G78</f>
        <v>11661.647999999999</v>
      </c>
      <c r="Q78" s="31">
        <f>F78/12*G78</f>
        <v>11661.647999999999</v>
      </c>
      <c r="R78" s="31">
        <f>F78/12*G78</f>
        <v>11661.647999999999</v>
      </c>
      <c r="S78" s="31">
        <f>F78/12*G78</f>
        <v>11661.647999999999</v>
      </c>
      <c r="T78" s="31">
        <f>F78/12*G78</f>
        <v>11661.647999999999</v>
      </c>
      <c r="U78" s="31">
        <f t="shared" si="38"/>
        <v>139939.77599999998</v>
      </c>
    </row>
    <row r="79" spans="1:24" s="19" customFormat="1">
      <c r="A79" s="85"/>
      <c r="B79" s="20" t="s">
        <v>27</v>
      </c>
      <c r="C79" s="86"/>
      <c r="D79" s="87"/>
      <c r="E79" s="88"/>
      <c r="F79" s="45"/>
      <c r="G79" s="89"/>
      <c r="H79" s="90">
        <f>SUM(H77:H78)</f>
        <v>160.94997599999999</v>
      </c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>
        <f>SUM(U77:U78)</f>
        <v>147460.01599999997</v>
      </c>
      <c r="V79" s="136"/>
      <c r="W79" s="136"/>
      <c r="X79" s="136"/>
    </row>
    <row r="80" spans="1:24" ht="25.5" customHeight="1">
      <c r="A80" s="25"/>
      <c r="B80" s="9" t="s">
        <v>86</v>
      </c>
      <c r="C80" s="67"/>
      <c r="D80" s="24"/>
      <c r="E80" s="35">
        <f>E78</f>
        <v>4591.2</v>
      </c>
      <c r="F80" s="53">
        <f>E80*12</f>
        <v>55094.399999999994</v>
      </c>
      <c r="G80" s="53">
        <v>2.0499999999999998</v>
      </c>
      <c r="H80" s="68">
        <f>F80*G80/1000</f>
        <v>112.94351999999998</v>
      </c>
      <c r="I80" s="31">
        <f>F80/12*G80</f>
        <v>9411.9599999999991</v>
      </c>
      <c r="J80" s="31">
        <f>F80/12*G80</f>
        <v>9411.9599999999991</v>
      </c>
      <c r="K80" s="31">
        <f>F80/12*G80</f>
        <v>9411.9599999999991</v>
      </c>
      <c r="L80" s="31">
        <f>F80/12*G80</f>
        <v>9411.9599999999991</v>
      </c>
      <c r="M80" s="31">
        <f>F80/12*G80</f>
        <v>9411.9599999999991</v>
      </c>
      <c r="N80" s="31">
        <f>F80/12*G80</f>
        <v>9411.9599999999991</v>
      </c>
      <c r="O80" s="31">
        <f>F80/12*G80</f>
        <v>9411.9599999999991</v>
      </c>
      <c r="P80" s="31">
        <f>F80/12*G80</f>
        <v>9411.9599999999991</v>
      </c>
      <c r="Q80" s="31">
        <f>F80/12*G80</f>
        <v>9411.9599999999991</v>
      </c>
      <c r="R80" s="31">
        <f>F80/12*G80</f>
        <v>9411.9599999999991</v>
      </c>
      <c r="S80" s="31">
        <f>F80/12*G80</f>
        <v>9411.9599999999991</v>
      </c>
      <c r="T80" s="31">
        <f t="shared" ref="T80" si="41">F80/12*G80</f>
        <v>9411.9599999999991</v>
      </c>
      <c r="U80" s="31">
        <f t="shared" si="38"/>
        <v>112943.51999999996</v>
      </c>
    </row>
    <row r="81" spans="1:27" s="19" customFormat="1">
      <c r="A81" s="85"/>
      <c r="B81" s="91" t="s">
        <v>87</v>
      </c>
      <c r="C81" s="92"/>
      <c r="D81" s="91"/>
      <c r="E81" s="45"/>
      <c r="F81" s="45"/>
      <c r="G81" s="45"/>
      <c r="H81" s="77">
        <f>H80</f>
        <v>112.94351999999998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124">
        <f>U80</f>
        <v>112943.51999999996</v>
      </c>
      <c r="V81" s="136"/>
      <c r="W81" s="136"/>
      <c r="X81" s="136"/>
    </row>
    <row r="82" spans="1:27" s="19" customFormat="1">
      <c r="A82" s="85"/>
      <c r="B82" s="91" t="s">
        <v>88</v>
      </c>
      <c r="C82" s="93"/>
      <c r="D82" s="94"/>
      <c r="E82" s="95"/>
      <c r="F82" s="95"/>
      <c r="G82" s="95"/>
      <c r="H82" s="77">
        <f>SUM(H81+H79+H76+H53+H41+H32+H21)</f>
        <v>11907.892706704604</v>
      </c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124">
        <f>SUM(U81+U79+U76+U53+U41+U32+U21)</f>
        <v>1160688.9798045999</v>
      </c>
      <c r="V82" s="136"/>
      <c r="W82" s="136"/>
      <c r="X82" s="136"/>
    </row>
    <row r="83" spans="1:27">
      <c r="A83" s="25"/>
      <c r="B83" s="24" t="s">
        <v>89</v>
      </c>
      <c r="C83" s="67"/>
      <c r="D83" s="24"/>
      <c r="E83" s="53"/>
      <c r="F83" s="53"/>
      <c r="G83" s="53" t="s">
        <v>90</v>
      </c>
      <c r="H83" s="96">
        <f>E80</f>
        <v>4591.2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7" s="19" customFormat="1">
      <c r="A84" s="85"/>
      <c r="B84" s="94" t="s">
        <v>91</v>
      </c>
      <c r="C84" s="93"/>
      <c r="D84" s="94"/>
      <c r="E84" s="95"/>
      <c r="F84" s="95"/>
      <c r="G84" s="95"/>
      <c r="H84" s="97">
        <f>SUM(H82/H83/12*1000)</f>
        <v>216.13617185602538</v>
      </c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125"/>
      <c r="V84" s="136"/>
      <c r="W84" s="136"/>
      <c r="X84" s="136"/>
    </row>
    <row r="85" spans="1:27">
      <c r="A85" s="25"/>
      <c r="B85" s="24"/>
      <c r="C85" s="67"/>
      <c r="D85" s="24"/>
      <c r="E85" s="53"/>
      <c r="F85" s="53"/>
      <c r="G85" s="53"/>
      <c r="H85" s="98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126"/>
    </row>
    <row r="86" spans="1:27">
      <c r="A86" s="25"/>
      <c r="B86" s="70" t="s">
        <v>92</v>
      </c>
      <c r="C86" s="67"/>
      <c r="D86" s="24"/>
      <c r="E86" s="53"/>
      <c r="F86" s="53"/>
      <c r="G86" s="53"/>
      <c r="H86" s="53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7" s="19" customFormat="1" ht="12.75" customHeight="1">
      <c r="A87" s="151" t="s">
        <v>232</v>
      </c>
      <c r="B87" s="152" t="s">
        <v>231</v>
      </c>
      <c r="C87" s="151" t="s">
        <v>216</v>
      </c>
      <c r="D87" s="132"/>
      <c r="E87" s="53"/>
      <c r="F87" s="53">
        <f>134/3</f>
        <v>44.666666666666664</v>
      </c>
      <c r="G87" s="53">
        <v>1120.8900000000001</v>
      </c>
      <c r="H87" s="68">
        <f t="shared" ref="H87:H94" si="42">G87*F87/1000</f>
        <v>50.066420000000001</v>
      </c>
      <c r="I87" s="31">
        <f>G87*((3+15)/3)</f>
        <v>6725.34</v>
      </c>
      <c r="J87" s="31">
        <v>0</v>
      </c>
      <c r="K87" s="31">
        <f>G87*((15)/3)</f>
        <v>5604.4500000000007</v>
      </c>
      <c r="L87" s="31">
        <f>G87*((10)/3)</f>
        <v>3736.3000000000006</v>
      </c>
      <c r="M87" s="31">
        <v>0</v>
      </c>
      <c r="N87" s="31">
        <f>G87*((10+15+10)/3)</f>
        <v>13077.050000000001</v>
      </c>
      <c r="O87" s="31">
        <v>0</v>
      </c>
      <c r="P87" s="31">
        <f>G87*((15+10+15)/3)</f>
        <v>14945.200000000003</v>
      </c>
      <c r="Q87" s="31">
        <f>G87*2</f>
        <v>2241.7800000000002</v>
      </c>
      <c r="R87" s="31">
        <v>0</v>
      </c>
      <c r="S87" s="31">
        <f>G87*((10)/3)</f>
        <v>3736.3000000000006</v>
      </c>
      <c r="T87" s="31">
        <v>0</v>
      </c>
      <c r="U87" s="31">
        <f t="shared" ref="U87:U126" si="43">SUM(I87:T87)</f>
        <v>50066.420000000006</v>
      </c>
      <c r="V87" s="136"/>
      <c r="W87" s="136"/>
      <c r="X87" s="136"/>
    </row>
    <row r="88" spans="1:27" s="19" customFormat="1" ht="25.5" customHeight="1">
      <c r="A88" s="155" t="s">
        <v>210</v>
      </c>
      <c r="B88" s="154" t="s">
        <v>227</v>
      </c>
      <c r="C88" s="155" t="s">
        <v>139</v>
      </c>
      <c r="D88" s="132"/>
      <c r="E88" s="53"/>
      <c r="F88" s="53">
        <v>6</v>
      </c>
      <c r="G88" s="53">
        <v>666.24</v>
      </c>
      <c r="H88" s="68">
        <f t="shared" si="42"/>
        <v>3.9974400000000001</v>
      </c>
      <c r="I88" s="31">
        <f>G88*4</f>
        <v>2664.96</v>
      </c>
      <c r="J88" s="31">
        <v>0</v>
      </c>
      <c r="K88" s="31">
        <v>0</v>
      </c>
      <c r="L88" s="31">
        <f>G88*2</f>
        <v>1332.48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f t="shared" si="43"/>
        <v>3997.44</v>
      </c>
      <c r="V88" s="136"/>
      <c r="W88" s="136"/>
      <c r="X88" s="136"/>
    </row>
    <row r="89" spans="1:27" s="19" customFormat="1" ht="25.5">
      <c r="A89" s="129" t="s">
        <v>194</v>
      </c>
      <c r="B89" s="130" t="s">
        <v>164</v>
      </c>
      <c r="C89" s="129" t="s">
        <v>58</v>
      </c>
      <c r="D89" s="132"/>
      <c r="E89" s="53"/>
      <c r="F89" s="53">
        <v>0.11</v>
      </c>
      <c r="G89" s="53">
        <v>3581.13</v>
      </c>
      <c r="H89" s="68">
        <f t="shared" si="42"/>
        <v>0.39392430000000001</v>
      </c>
      <c r="I89" s="31">
        <f>G89*0.01</f>
        <v>35.811300000000003</v>
      </c>
      <c r="J89" s="31">
        <f>G89*0.01</f>
        <v>35.811300000000003</v>
      </c>
      <c r="K89" s="31">
        <v>0</v>
      </c>
      <c r="L89" s="31">
        <f>G89*0.01</f>
        <v>35.811300000000003</v>
      </c>
      <c r="M89" s="31">
        <v>0</v>
      </c>
      <c r="N89" s="31">
        <f>G89*0.01</f>
        <v>35.811300000000003</v>
      </c>
      <c r="O89" s="31">
        <f>G89*0.01</f>
        <v>35.811300000000003</v>
      </c>
      <c r="P89" s="31">
        <v>0</v>
      </c>
      <c r="Q89" s="31">
        <f>G89*0.01</f>
        <v>35.811300000000003</v>
      </c>
      <c r="R89" s="31">
        <v>0</v>
      </c>
      <c r="S89" s="31">
        <f>G89*0.03</f>
        <v>107.43389999999999</v>
      </c>
      <c r="T89" s="31">
        <f>G89*0.02</f>
        <v>71.622600000000006</v>
      </c>
      <c r="U89" s="31">
        <f t="shared" si="43"/>
        <v>393.92430000000002</v>
      </c>
      <c r="V89" s="136"/>
      <c r="W89" s="136"/>
      <c r="X89" s="136"/>
    </row>
    <row r="90" spans="1:27" s="19" customFormat="1" ht="25.5">
      <c r="A90" s="133" t="s">
        <v>214</v>
      </c>
      <c r="B90" s="134" t="s">
        <v>161</v>
      </c>
      <c r="C90" s="135" t="s">
        <v>61</v>
      </c>
      <c r="D90" s="132"/>
      <c r="E90" s="53"/>
      <c r="F90" s="53">
        <v>5</v>
      </c>
      <c r="G90" s="53">
        <v>83.36</v>
      </c>
      <c r="H90" s="68">
        <f t="shared" si="42"/>
        <v>0.4168</v>
      </c>
      <c r="I90" s="31">
        <f>G90*2</f>
        <v>166.72</v>
      </c>
      <c r="J90" s="31">
        <f>G90</f>
        <v>83.36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f>G90</f>
        <v>83.36</v>
      </c>
      <c r="T90" s="31">
        <f>G90</f>
        <v>83.36</v>
      </c>
      <c r="U90" s="31">
        <f t="shared" si="43"/>
        <v>416.8</v>
      </c>
      <c r="V90" s="136"/>
      <c r="W90" s="136"/>
      <c r="X90" s="136"/>
    </row>
    <row r="91" spans="1:27" s="19" customFormat="1">
      <c r="A91" s="133" t="s">
        <v>219</v>
      </c>
      <c r="B91" s="134" t="s">
        <v>220</v>
      </c>
      <c r="C91" s="135" t="s">
        <v>61</v>
      </c>
      <c r="D91" s="132"/>
      <c r="E91" s="53"/>
      <c r="F91" s="53">
        <v>1</v>
      </c>
      <c r="G91" s="53">
        <v>1012.53</v>
      </c>
      <c r="H91" s="68">
        <f t="shared" si="42"/>
        <v>1.0125299999999999</v>
      </c>
      <c r="I91" s="31">
        <f>G91</f>
        <v>1012.53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f t="shared" si="43"/>
        <v>1012.53</v>
      </c>
      <c r="V91" s="136"/>
      <c r="W91" s="136"/>
      <c r="X91" s="136"/>
    </row>
    <row r="92" spans="1:27" s="19" customFormat="1" ht="25.5">
      <c r="A92" s="131" t="s">
        <v>211</v>
      </c>
      <c r="B92" s="130" t="s">
        <v>146</v>
      </c>
      <c r="C92" s="129" t="s">
        <v>61</v>
      </c>
      <c r="D92" s="24"/>
      <c r="E92" s="53"/>
      <c r="F92" s="53">
        <v>1</v>
      </c>
      <c r="G92" s="53">
        <v>2297.02</v>
      </c>
      <c r="H92" s="68">
        <f t="shared" si="42"/>
        <v>2.2970199999999998</v>
      </c>
      <c r="I92" s="31">
        <f>G92</f>
        <v>2297.02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f t="shared" si="43"/>
        <v>2297.02</v>
      </c>
      <c r="V92" s="136"/>
      <c r="W92" s="136"/>
      <c r="X92" s="136"/>
    </row>
    <row r="93" spans="1:27" s="19" customFormat="1">
      <c r="A93" s="129" t="s">
        <v>222</v>
      </c>
      <c r="B93" s="130" t="s">
        <v>221</v>
      </c>
      <c r="C93" s="129" t="s">
        <v>61</v>
      </c>
      <c r="D93" s="24"/>
      <c r="E93" s="53"/>
      <c r="F93" s="53">
        <v>3</v>
      </c>
      <c r="G93" s="53">
        <v>190.86</v>
      </c>
      <c r="H93" s="68">
        <f t="shared" si="42"/>
        <v>0.57258000000000009</v>
      </c>
      <c r="I93" s="31">
        <f>G93*3</f>
        <v>572.58000000000004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f t="shared" si="43"/>
        <v>572.58000000000004</v>
      </c>
      <c r="V93" s="136"/>
      <c r="W93" s="136"/>
      <c r="X93" s="136"/>
    </row>
    <row r="94" spans="1:27" ht="25.5">
      <c r="A94" s="156" t="s">
        <v>140</v>
      </c>
      <c r="B94" s="154" t="s">
        <v>228</v>
      </c>
      <c r="C94" s="155" t="s">
        <v>141</v>
      </c>
      <c r="D94" s="132"/>
      <c r="E94" s="53"/>
      <c r="F94" s="53">
        <v>18</v>
      </c>
      <c r="G94" s="53">
        <v>1187</v>
      </c>
      <c r="H94" s="68">
        <f t="shared" si="42"/>
        <v>21.366</v>
      </c>
      <c r="I94" s="31">
        <v>0</v>
      </c>
      <c r="J94" s="31">
        <f>G94*5</f>
        <v>5935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f>G94</f>
        <v>1187</v>
      </c>
      <c r="Q94" s="31">
        <f>G94*5</f>
        <v>5935</v>
      </c>
      <c r="R94" s="31">
        <f>G94*(3+4)</f>
        <v>8309</v>
      </c>
      <c r="S94" s="31">
        <v>0</v>
      </c>
      <c r="T94" s="31">
        <v>0</v>
      </c>
      <c r="U94" s="31">
        <f t="shared" si="43"/>
        <v>21366</v>
      </c>
      <c r="Y94" s="136"/>
      <c r="Z94" s="136"/>
      <c r="AA94" s="136"/>
    </row>
    <row r="95" spans="1:27" ht="25.5">
      <c r="A95" s="157" t="s">
        <v>135</v>
      </c>
      <c r="B95" s="158" t="s">
        <v>145</v>
      </c>
      <c r="C95" s="159" t="s">
        <v>137</v>
      </c>
      <c r="D95" s="132"/>
      <c r="E95" s="53"/>
      <c r="F95" s="53">
        <v>1</v>
      </c>
      <c r="G95" s="53">
        <v>403.69</v>
      </c>
      <c r="H95" s="68">
        <f t="shared" ref="H95:H101" si="44">G95*F95/1000</f>
        <v>0.40368999999999999</v>
      </c>
      <c r="I95" s="31">
        <v>0</v>
      </c>
      <c r="J95" s="31">
        <f>G95</f>
        <v>403.69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f t="shared" si="43"/>
        <v>403.69</v>
      </c>
    </row>
    <row r="96" spans="1:27" ht="25.5">
      <c r="A96" s="157" t="s">
        <v>135</v>
      </c>
      <c r="B96" s="158" t="s">
        <v>136</v>
      </c>
      <c r="C96" s="159" t="s">
        <v>137</v>
      </c>
      <c r="D96" s="132"/>
      <c r="E96" s="53"/>
      <c r="F96" s="53">
        <v>1</v>
      </c>
      <c r="G96" s="53">
        <v>1934.94</v>
      </c>
      <c r="H96" s="68">
        <f t="shared" si="44"/>
        <v>1.9349400000000001</v>
      </c>
      <c r="I96" s="31">
        <v>0</v>
      </c>
      <c r="J96" s="31">
        <f>G96</f>
        <v>1934.94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f t="shared" si="43"/>
        <v>1934.94</v>
      </c>
    </row>
    <row r="97" spans="1:24" ht="25.5">
      <c r="A97" s="131" t="s">
        <v>230</v>
      </c>
      <c r="B97" s="130" t="s">
        <v>229</v>
      </c>
      <c r="C97" s="129" t="s">
        <v>61</v>
      </c>
      <c r="D97" s="132"/>
      <c r="E97" s="53"/>
      <c r="F97" s="53">
        <v>1</v>
      </c>
      <c r="G97" s="53">
        <v>300.58</v>
      </c>
      <c r="H97" s="68">
        <f t="shared" si="44"/>
        <v>0.30057999999999996</v>
      </c>
      <c r="I97" s="31">
        <v>0</v>
      </c>
      <c r="J97" s="31">
        <f>G97</f>
        <v>300.58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f t="shared" si="43"/>
        <v>300.58</v>
      </c>
    </row>
    <row r="98" spans="1:24" s="19" customFormat="1">
      <c r="A98" s="160" t="s">
        <v>135</v>
      </c>
      <c r="B98" s="132" t="s">
        <v>143</v>
      </c>
      <c r="C98" s="161" t="s">
        <v>144</v>
      </c>
      <c r="D98" s="24"/>
      <c r="E98" s="53"/>
      <c r="F98" s="53">
        <v>16</v>
      </c>
      <c r="G98" s="53">
        <v>1582</v>
      </c>
      <c r="H98" s="68">
        <f t="shared" si="44"/>
        <v>25.312000000000001</v>
      </c>
      <c r="I98" s="31">
        <v>0</v>
      </c>
      <c r="J98" s="31">
        <f>G98*2</f>
        <v>3164</v>
      </c>
      <c r="K98" s="31">
        <f>G98*6</f>
        <v>9492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f>G98*2</f>
        <v>3164</v>
      </c>
      <c r="S98" s="31">
        <v>0</v>
      </c>
      <c r="T98" s="31">
        <f>G98*(3.5+2.5)</f>
        <v>9492</v>
      </c>
      <c r="U98" s="31">
        <f t="shared" si="43"/>
        <v>25312</v>
      </c>
      <c r="V98" s="136"/>
      <c r="W98" s="136"/>
      <c r="X98" s="136"/>
    </row>
    <row r="99" spans="1:24" s="19" customFormat="1" ht="25.5">
      <c r="A99" s="129" t="s">
        <v>235</v>
      </c>
      <c r="B99" s="130" t="s">
        <v>233</v>
      </c>
      <c r="C99" s="129" t="s">
        <v>234</v>
      </c>
      <c r="D99" s="24"/>
      <c r="E99" s="53"/>
      <c r="F99" s="53">
        <v>3</v>
      </c>
      <c r="G99" s="53">
        <v>663.38</v>
      </c>
      <c r="H99" s="68">
        <f t="shared" si="44"/>
        <v>1.9901399999999998</v>
      </c>
      <c r="I99" s="31">
        <v>0</v>
      </c>
      <c r="J99" s="31">
        <v>0</v>
      </c>
      <c r="K99" s="31">
        <f>G99</f>
        <v>663.38</v>
      </c>
      <c r="L99" s="31">
        <f>G99</f>
        <v>663.38</v>
      </c>
      <c r="M99" s="31">
        <v>0</v>
      </c>
      <c r="N99" s="31">
        <v>0</v>
      </c>
      <c r="O99" s="31">
        <v>0</v>
      </c>
      <c r="P99" s="31">
        <f>G99</f>
        <v>663.38</v>
      </c>
      <c r="Q99" s="31">
        <v>0</v>
      </c>
      <c r="R99" s="31">
        <v>0</v>
      </c>
      <c r="S99" s="31">
        <v>0</v>
      </c>
      <c r="T99" s="31">
        <v>0</v>
      </c>
      <c r="U99" s="31">
        <f t="shared" si="43"/>
        <v>1990.1399999999999</v>
      </c>
      <c r="V99" s="136"/>
      <c r="W99" s="136"/>
      <c r="X99" s="136"/>
    </row>
    <row r="100" spans="1:24" ht="24.75" customHeight="1">
      <c r="A100" s="156" t="s">
        <v>236</v>
      </c>
      <c r="B100" s="154" t="s">
        <v>158</v>
      </c>
      <c r="C100" s="155" t="s">
        <v>139</v>
      </c>
      <c r="D100" s="132"/>
      <c r="E100" s="53"/>
      <c r="F100" s="53">
        <v>2</v>
      </c>
      <c r="G100" s="54">
        <v>506.98</v>
      </c>
      <c r="H100" s="68">
        <f t="shared" si="44"/>
        <v>1.01396</v>
      </c>
      <c r="I100" s="31">
        <v>0</v>
      </c>
      <c r="J100" s="31">
        <v>0</v>
      </c>
      <c r="K100" s="31">
        <f>G100</f>
        <v>506.98</v>
      </c>
      <c r="L100" s="31">
        <v>0</v>
      </c>
      <c r="M100" s="31">
        <v>0</v>
      </c>
      <c r="N100" s="31">
        <f>G100</f>
        <v>506.98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f t="shared" si="43"/>
        <v>1013.96</v>
      </c>
      <c r="V100"/>
      <c r="W100"/>
      <c r="X100"/>
    </row>
    <row r="101" spans="1:24" ht="12.75" customHeight="1">
      <c r="A101" s="129" t="s">
        <v>237</v>
      </c>
      <c r="B101" s="130" t="s">
        <v>238</v>
      </c>
      <c r="C101" s="129" t="s">
        <v>139</v>
      </c>
      <c r="D101" s="132"/>
      <c r="E101" s="53"/>
      <c r="F101" s="53">
        <v>2</v>
      </c>
      <c r="G101" s="54">
        <v>440.8</v>
      </c>
      <c r="H101" s="68">
        <f t="shared" si="44"/>
        <v>0.88160000000000005</v>
      </c>
      <c r="I101" s="31">
        <v>0</v>
      </c>
      <c r="J101" s="31">
        <v>0</v>
      </c>
      <c r="K101" s="31">
        <f>G101</f>
        <v>440.8</v>
      </c>
      <c r="L101" s="31">
        <v>0</v>
      </c>
      <c r="M101" s="31">
        <f>G101</f>
        <v>440.8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f t="shared" si="43"/>
        <v>881.6</v>
      </c>
      <c r="V101"/>
      <c r="W101"/>
      <c r="X101"/>
    </row>
    <row r="102" spans="1:24" ht="12.75" customHeight="1">
      <c r="A102" s="157" t="s">
        <v>239</v>
      </c>
      <c r="B102" s="163" t="s">
        <v>240</v>
      </c>
      <c r="C102" s="155" t="s">
        <v>61</v>
      </c>
      <c r="D102" s="132"/>
      <c r="E102" s="53"/>
      <c r="F102" s="53">
        <v>2</v>
      </c>
      <c r="G102" s="53">
        <v>189.7</v>
      </c>
      <c r="H102" s="68">
        <f>G102*F102/1000</f>
        <v>0.37939999999999996</v>
      </c>
      <c r="I102" s="31">
        <v>0</v>
      </c>
      <c r="J102" s="31">
        <v>0</v>
      </c>
      <c r="K102" s="31">
        <f>G102</f>
        <v>189.7</v>
      </c>
      <c r="L102" s="31">
        <v>0</v>
      </c>
      <c r="M102" s="31">
        <f>G102</f>
        <v>189.7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f t="shared" si="43"/>
        <v>379.4</v>
      </c>
      <c r="V102"/>
      <c r="W102"/>
      <c r="X102"/>
    </row>
    <row r="103" spans="1:24" ht="13.5" customHeight="1">
      <c r="A103" s="141" t="s">
        <v>241</v>
      </c>
      <c r="B103" s="11" t="s">
        <v>242</v>
      </c>
      <c r="C103" s="28" t="s">
        <v>35</v>
      </c>
      <c r="D103" s="132"/>
      <c r="E103" s="53"/>
      <c r="F103" s="36">
        <v>1</v>
      </c>
      <c r="G103" s="54">
        <v>86.15</v>
      </c>
      <c r="H103" s="68">
        <f>G103*F103/1000</f>
        <v>8.6150000000000004E-2</v>
      </c>
      <c r="I103" s="31">
        <f>E103*G103</f>
        <v>0</v>
      </c>
      <c r="J103" s="31">
        <v>0</v>
      </c>
      <c r="K103" s="31">
        <f>G103</f>
        <v>86.15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f t="shared" si="43"/>
        <v>86.15</v>
      </c>
    </row>
    <row r="104" spans="1:24" s="19" customFormat="1">
      <c r="A104" s="155" t="s">
        <v>212</v>
      </c>
      <c r="B104" s="163" t="s">
        <v>147</v>
      </c>
      <c r="C104" s="156" t="s">
        <v>148</v>
      </c>
      <c r="D104" s="24"/>
      <c r="E104" s="53"/>
      <c r="F104" s="53">
        <f>2/10</f>
        <v>0.2</v>
      </c>
      <c r="G104" s="53">
        <v>14148.8</v>
      </c>
      <c r="H104" s="68">
        <f t="shared" ref="H104:H111" si="45">G104*F104/1000</f>
        <v>2.8297600000000003</v>
      </c>
      <c r="I104" s="31">
        <v>0</v>
      </c>
      <c r="J104" s="31">
        <v>0</v>
      </c>
      <c r="K104" s="31">
        <f>G104*0.1</f>
        <v>1414.88</v>
      </c>
      <c r="L104" s="31">
        <f>G104*0.1</f>
        <v>1414.88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f t="shared" si="43"/>
        <v>2829.76</v>
      </c>
      <c r="V104" s="136"/>
      <c r="W104" s="136"/>
      <c r="X104" s="136"/>
    </row>
    <row r="105" spans="1:24" s="19" customFormat="1">
      <c r="A105" s="129" t="s">
        <v>247</v>
      </c>
      <c r="B105" s="130" t="s">
        <v>246</v>
      </c>
      <c r="C105" s="129" t="s">
        <v>61</v>
      </c>
      <c r="D105" s="24"/>
      <c r="E105" s="53"/>
      <c r="F105" s="53">
        <v>1</v>
      </c>
      <c r="G105" s="53">
        <v>86.58</v>
      </c>
      <c r="H105" s="68">
        <f t="shared" si="45"/>
        <v>8.6580000000000004E-2</v>
      </c>
      <c r="I105" s="31">
        <v>0</v>
      </c>
      <c r="J105" s="31">
        <v>0</v>
      </c>
      <c r="K105" s="31">
        <v>0</v>
      </c>
      <c r="L105" s="31">
        <f>G105</f>
        <v>86.58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f t="shared" si="43"/>
        <v>86.58</v>
      </c>
      <c r="V105" s="136"/>
      <c r="W105" s="136"/>
      <c r="X105" s="136"/>
    </row>
    <row r="106" spans="1:24" s="19" customFormat="1">
      <c r="A106" s="129" t="s">
        <v>250</v>
      </c>
      <c r="B106" s="130" t="s">
        <v>248</v>
      </c>
      <c r="C106" s="129" t="s">
        <v>249</v>
      </c>
      <c r="D106" s="24"/>
      <c r="E106" s="53"/>
      <c r="F106" s="53">
        <v>1</v>
      </c>
      <c r="G106" s="53">
        <v>37.97</v>
      </c>
      <c r="H106" s="68">
        <f t="shared" si="45"/>
        <v>3.7969999999999997E-2</v>
      </c>
      <c r="I106" s="31">
        <v>0</v>
      </c>
      <c r="J106" s="31">
        <v>0</v>
      </c>
      <c r="K106" s="31">
        <v>0</v>
      </c>
      <c r="L106" s="31">
        <f>G106</f>
        <v>37.97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f t="shared" si="43"/>
        <v>37.97</v>
      </c>
      <c r="V106" s="136"/>
      <c r="W106" s="136"/>
      <c r="X106" s="136"/>
    </row>
    <row r="107" spans="1:24" s="19" customFormat="1" ht="25.5">
      <c r="A107" s="155" t="s">
        <v>195</v>
      </c>
      <c r="B107" s="154" t="s">
        <v>163</v>
      </c>
      <c r="C107" s="155" t="s">
        <v>162</v>
      </c>
      <c r="D107" s="132"/>
      <c r="E107" s="53"/>
      <c r="F107" s="53">
        <f>1/100</f>
        <v>0.01</v>
      </c>
      <c r="G107" s="53">
        <v>7412.92</v>
      </c>
      <c r="H107" s="68">
        <f>G107*F107/1000</f>
        <v>7.4129199999999992E-2</v>
      </c>
      <c r="I107" s="31">
        <v>0</v>
      </c>
      <c r="J107" s="31">
        <v>0</v>
      </c>
      <c r="K107" s="31">
        <v>0</v>
      </c>
      <c r="L107" s="31">
        <f>G107*0.01</f>
        <v>74.129199999999997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f t="shared" si="43"/>
        <v>74.129199999999997</v>
      </c>
      <c r="V107" s="136"/>
      <c r="W107" s="136"/>
      <c r="X107" s="136"/>
    </row>
    <row r="108" spans="1:24" ht="51">
      <c r="A108" s="164" t="s">
        <v>289</v>
      </c>
      <c r="B108" s="130" t="s">
        <v>290</v>
      </c>
      <c r="C108" s="129" t="s">
        <v>166</v>
      </c>
      <c r="D108" s="9"/>
      <c r="E108" s="39"/>
      <c r="F108" s="53">
        <f>8.5/10</f>
        <v>0.85</v>
      </c>
      <c r="G108" s="53">
        <v>7586.09</v>
      </c>
      <c r="H108" s="68">
        <f t="shared" ref="H108" si="46">G108*F108/1000</f>
        <v>6.4481764999999998</v>
      </c>
      <c r="I108" s="165">
        <v>0</v>
      </c>
      <c r="J108" s="165">
        <v>0</v>
      </c>
      <c r="K108" s="165">
        <v>0</v>
      </c>
      <c r="L108" s="165">
        <f>G108*0.85</f>
        <v>6448.1764999999996</v>
      </c>
      <c r="M108" s="165">
        <v>0</v>
      </c>
      <c r="N108" s="165">
        <v>0</v>
      </c>
      <c r="O108" s="165">
        <v>0</v>
      </c>
      <c r="P108" s="165">
        <v>0</v>
      </c>
      <c r="Q108" s="165">
        <v>0</v>
      </c>
      <c r="R108" s="165">
        <v>0</v>
      </c>
      <c r="S108" s="165">
        <v>0</v>
      </c>
      <c r="T108" s="165">
        <v>0</v>
      </c>
      <c r="U108" s="31">
        <f t="shared" si="43"/>
        <v>6448.1764999999996</v>
      </c>
      <c r="V108"/>
      <c r="W108"/>
      <c r="X108"/>
    </row>
    <row r="109" spans="1:24" s="19" customFormat="1" ht="25.5">
      <c r="A109" s="164" t="s">
        <v>244</v>
      </c>
      <c r="B109" s="130" t="s">
        <v>245</v>
      </c>
      <c r="C109" s="131" t="s">
        <v>243</v>
      </c>
      <c r="D109" s="24"/>
      <c r="E109" s="53"/>
      <c r="F109" s="53">
        <f>4/10</f>
        <v>0.4</v>
      </c>
      <c r="G109" s="53">
        <v>4459.13</v>
      </c>
      <c r="H109" s="68">
        <f t="shared" si="45"/>
        <v>1.783652</v>
      </c>
      <c r="I109" s="31">
        <v>0</v>
      </c>
      <c r="J109" s="31">
        <v>0</v>
      </c>
      <c r="K109" s="31">
        <v>0</v>
      </c>
      <c r="L109" s="31">
        <v>0</v>
      </c>
      <c r="M109" s="31">
        <f>G109*(2/10)</f>
        <v>891.82600000000002</v>
      </c>
      <c r="N109" s="31">
        <f>G109*0.2</f>
        <v>891.82600000000002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f t="shared" si="43"/>
        <v>1783.652</v>
      </c>
      <c r="V109" s="136"/>
      <c r="W109" s="136"/>
      <c r="X109" s="136"/>
    </row>
    <row r="110" spans="1:24" s="19" customFormat="1">
      <c r="A110" s="129" t="s">
        <v>258</v>
      </c>
      <c r="B110" s="130" t="s">
        <v>259</v>
      </c>
      <c r="C110" s="129" t="s">
        <v>142</v>
      </c>
      <c r="D110" s="24"/>
      <c r="E110" s="53"/>
      <c r="F110" s="53">
        <v>1</v>
      </c>
      <c r="G110" s="53">
        <v>237.44</v>
      </c>
      <c r="H110" s="68">
        <f t="shared" si="45"/>
        <v>0.23743999999999998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f>G110</f>
        <v>237.44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f t="shared" si="43"/>
        <v>237.44</v>
      </c>
      <c r="V110" s="136"/>
      <c r="W110" s="136"/>
      <c r="X110" s="136"/>
    </row>
    <row r="111" spans="1:24">
      <c r="A111" s="155" t="s">
        <v>135</v>
      </c>
      <c r="B111" s="154" t="s">
        <v>292</v>
      </c>
      <c r="C111" s="155" t="s">
        <v>38</v>
      </c>
      <c r="D111" s="9"/>
      <c r="E111" s="39"/>
      <c r="F111" s="53">
        <f>(4.52+1.48+20.31+90.98+2.1)-(12.79*6)</f>
        <v>42.650000000000006</v>
      </c>
      <c r="G111" s="53">
        <v>42.61</v>
      </c>
      <c r="H111" s="53">
        <f t="shared" si="45"/>
        <v>1.8173165000000002</v>
      </c>
      <c r="I111" s="165">
        <v>0</v>
      </c>
      <c r="J111" s="165">
        <v>0</v>
      </c>
      <c r="K111" s="165">
        <v>0</v>
      </c>
      <c r="L111" s="165">
        <v>0</v>
      </c>
      <c r="M111" s="165">
        <v>0</v>
      </c>
      <c r="N111" s="31">
        <f>G111*F111</f>
        <v>1817.3165000000001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f t="shared" si="43"/>
        <v>1817.3165000000001</v>
      </c>
      <c r="V111"/>
      <c r="W111"/>
      <c r="X111"/>
    </row>
    <row r="112" spans="1:24" s="19" customFormat="1" ht="25.5">
      <c r="A112" s="155" t="s">
        <v>213</v>
      </c>
      <c r="B112" s="154" t="s">
        <v>159</v>
      </c>
      <c r="C112" s="155" t="s">
        <v>61</v>
      </c>
      <c r="D112" s="132"/>
      <c r="E112" s="53"/>
      <c r="F112" s="53">
        <v>2</v>
      </c>
      <c r="G112" s="53">
        <v>189.88</v>
      </c>
      <c r="H112" s="68">
        <f>G112*F112/1000</f>
        <v>0.37975999999999999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f>G112</f>
        <v>189.88</v>
      </c>
      <c r="P112" s="31">
        <v>0</v>
      </c>
      <c r="Q112" s="31">
        <v>0</v>
      </c>
      <c r="R112" s="31">
        <f>G112</f>
        <v>189.88</v>
      </c>
      <c r="S112" s="31">
        <v>0</v>
      </c>
      <c r="T112" s="31">
        <v>0</v>
      </c>
      <c r="U112" s="31">
        <f t="shared" si="43"/>
        <v>379.76</v>
      </c>
      <c r="V112" s="136"/>
      <c r="W112" s="136"/>
      <c r="X112" s="136"/>
    </row>
    <row r="113" spans="1:27" ht="12.75" customHeight="1">
      <c r="A113" s="131" t="s">
        <v>251</v>
      </c>
      <c r="B113" s="130" t="s">
        <v>252</v>
      </c>
      <c r="C113" s="129" t="s">
        <v>61</v>
      </c>
      <c r="D113" s="132"/>
      <c r="E113" s="53"/>
      <c r="F113" s="53">
        <v>2</v>
      </c>
      <c r="G113" s="53">
        <v>510.84</v>
      </c>
      <c r="H113" s="68">
        <f t="shared" ref="H113" si="47">G113*F113/1000</f>
        <v>1.0216799999999999</v>
      </c>
      <c r="I113" s="31">
        <v>0</v>
      </c>
      <c r="J113" s="31">
        <v>0</v>
      </c>
      <c r="K113" s="165">
        <v>0</v>
      </c>
      <c r="L113" s="31">
        <v>0</v>
      </c>
      <c r="M113" s="165">
        <v>0</v>
      </c>
      <c r="N113" s="165">
        <v>0</v>
      </c>
      <c r="O113" s="165">
        <f>G113</f>
        <v>510.84</v>
      </c>
      <c r="P113" s="31">
        <v>0</v>
      </c>
      <c r="Q113" s="31">
        <v>0</v>
      </c>
      <c r="R113" s="31">
        <v>0</v>
      </c>
      <c r="S113" s="31">
        <v>0</v>
      </c>
      <c r="T113" s="31">
        <f>G113</f>
        <v>510.84</v>
      </c>
      <c r="U113" s="31">
        <f t="shared" si="43"/>
        <v>1021.68</v>
      </c>
      <c r="V113"/>
      <c r="W113"/>
      <c r="X113"/>
    </row>
    <row r="114" spans="1:27" ht="25.5">
      <c r="A114" s="156" t="s">
        <v>209</v>
      </c>
      <c r="B114" s="154" t="s">
        <v>138</v>
      </c>
      <c r="C114" s="155" t="s">
        <v>139</v>
      </c>
      <c r="D114" s="132"/>
      <c r="E114" s="53"/>
      <c r="F114" s="53">
        <v>4</v>
      </c>
      <c r="G114" s="53">
        <v>589.84</v>
      </c>
      <c r="H114" s="68">
        <f>G114*F114/1000</f>
        <v>2.3593600000000001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f>G114*3</f>
        <v>1769.52</v>
      </c>
      <c r="Q114" s="31">
        <v>0</v>
      </c>
      <c r="R114" s="31">
        <f>G114</f>
        <v>589.84</v>
      </c>
      <c r="S114" s="31">
        <v>0</v>
      </c>
      <c r="T114" s="31">
        <v>0</v>
      </c>
      <c r="U114" s="31">
        <f t="shared" si="43"/>
        <v>2359.36</v>
      </c>
    </row>
    <row r="115" spans="1:27" ht="12.75" customHeight="1">
      <c r="A115" s="156" t="s">
        <v>236</v>
      </c>
      <c r="B115" s="154" t="s">
        <v>253</v>
      </c>
      <c r="C115" s="155" t="s">
        <v>139</v>
      </c>
      <c r="D115" s="132"/>
      <c r="E115" s="53"/>
      <c r="F115" s="53">
        <v>2</v>
      </c>
      <c r="G115" s="54">
        <v>760.76</v>
      </c>
      <c r="H115" s="68">
        <f>G115*F115/1000</f>
        <v>1.52152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f>G115</f>
        <v>760.76</v>
      </c>
      <c r="Q115" s="31">
        <v>0</v>
      </c>
      <c r="R115" s="31">
        <f>G115</f>
        <v>760.76</v>
      </c>
      <c r="S115" s="31">
        <v>0</v>
      </c>
      <c r="T115" s="31">
        <v>0</v>
      </c>
      <c r="U115" s="31">
        <f t="shared" si="43"/>
        <v>1521.52</v>
      </c>
      <c r="V115"/>
      <c r="W115"/>
      <c r="X115"/>
    </row>
    <row r="116" spans="1:27" ht="25.5">
      <c r="A116" s="156" t="s">
        <v>140</v>
      </c>
      <c r="B116" s="154" t="s">
        <v>254</v>
      </c>
      <c r="C116" s="155" t="s">
        <v>141</v>
      </c>
      <c r="D116" s="132"/>
      <c r="E116" s="53"/>
      <c r="F116" s="53">
        <v>1.5</v>
      </c>
      <c r="G116" s="53">
        <v>1272</v>
      </c>
      <c r="H116" s="68">
        <f t="shared" ref="H116:H119" si="48">G116*F116/1000</f>
        <v>1.9079999999999999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f>G116*0.5</f>
        <v>636</v>
      </c>
      <c r="Q116" s="31">
        <f>G116</f>
        <v>1272</v>
      </c>
      <c r="R116" s="31">
        <v>0</v>
      </c>
      <c r="S116" s="31">
        <v>0</v>
      </c>
      <c r="T116" s="31">
        <v>0</v>
      </c>
      <c r="U116" s="31">
        <f t="shared" si="43"/>
        <v>1908</v>
      </c>
      <c r="Y116" s="136"/>
      <c r="Z116" s="136"/>
      <c r="AA116" s="136"/>
    </row>
    <row r="117" spans="1:27" ht="38.25">
      <c r="A117" s="129" t="s">
        <v>255</v>
      </c>
      <c r="B117" s="130" t="s">
        <v>256</v>
      </c>
      <c r="C117" s="129" t="s">
        <v>257</v>
      </c>
      <c r="D117" s="132"/>
      <c r="E117" s="53"/>
      <c r="F117" s="53">
        <v>1</v>
      </c>
      <c r="G117" s="53">
        <v>54.17</v>
      </c>
      <c r="H117" s="68">
        <f t="shared" si="48"/>
        <v>5.4170000000000003E-2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f>G117</f>
        <v>54.17</v>
      </c>
      <c r="Q117" s="31">
        <v>0</v>
      </c>
      <c r="R117" s="31">
        <v>0</v>
      </c>
      <c r="S117" s="31">
        <v>0</v>
      </c>
      <c r="T117" s="31">
        <v>0</v>
      </c>
      <c r="U117" s="31">
        <f t="shared" si="43"/>
        <v>54.17</v>
      </c>
      <c r="V117"/>
      <c r="W117"/>
      <c r="X117"/>
    </row>
    <row r="118" spans="1:27" ht="12.75" customHeight="1">
      <c r="A118" s="131" t="s">
        <v>263</v>
      </c>
      <c r="B118" s="130" t="s">
        <v>262</v>
      </c>
      <c r="C118" s="129" t="s">
        <v>139</v>
      </c>
      <c r="D118" s="132"/>
      <c r="E118" s="53"/>
      <c r="F118" s="53">
        <v>1</v>
      </c>
      <c r="G118" s="53">
        <v>5450.56</v>
      </c>
      <c r="H118" s="68">
        <f t="shared" si="48"/>
        <v>5.4505600000000003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f>G118</f>
        <v>5450.56</v>
      </c>
      <c r="S118" s="31">
        <v>0</v>
      </c>
      <c r="T118" s="31">
        <v>0</v>
      </c>
      <c r="U118" s="31">
        <f t="shared" si="43"/>
        <v>5450.56</v>
      </c>
      <c r="V118"/>
      <c r="W118"/>
      <c r="X118"/>
    </row>
    <row r="119" spans="1:27" ht="25.5">
      <c r="A119" s="156" t="s">
        <v>140</v>
      </c>
      <c r="B119" s="154" t="s">
        <v>260</v>
      </c>
      <c r="C119" s="155" t="s">
        <v>141</v>
      </c>
      <c r="D119" s="132"/>
      <c r="E119" s="53"/>
      <c r="F119" s="53">
        <v>0.5</v>
      </c>
      <c r="G119" s="53">
        <v>1964</v>
      </c>
      <c r="H119" s="68">
        <f t="shared" si="48"/>
        <v>0.98199999999999998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f>G119*0.5</f>
        <v>982</v>
      </c>
      <c r="S119" s="31">
        <v>0</v>
      </c>
      <c r="T119" s="31">
        <v>0</v>
      </c>
      <c r="U119" s="31">
        <f t="shared" si="43"/>
        <v>982</v>
      </c>
    </row>
    <row r="120" spans="1:27" ht="25.5">
      <c r="A120" s="156" t="s">
        <v>140</v>
      </c>
      <c r="B120" s="154" t="s">
        <v>261</v>
      </c>
      <c r="C120" s="155" t="s">
        <v>141</v>
      </c>
      <c r="D120" s="132"/>
      <c r="E120" s="53"/>
      <c r="F120" s="53">
        <v>1</v>
      </c>
      <c r="G120" s="53">
        <v>2121</v>
      </c>
      <c r="H120" s="68">
        <f t="shared" ref="H120:H125" si="49">G120*F120/1000</f>
        <v>2.121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f>G120</f>
        <v>2121</v>
      </c>
      <c r="S120" s="31">
        <v>0</v>
      </c>
      <c r="T120" s="31">
        <v>0</v>
      </c>
      <c r="U120" s="31">
        <f t="shared" si="43"/>
        <v>2121</v>
      </c>
    </row>
    <row r="121" spans="1:27" ht="25.5" customHeight="1">
      <c r="A121" s="129" t="s">
        <v>264</v>
      </c>
      <c r="B121" s="130" t="s">
        <v>265</v>
      </c>
      <c r="C121" s="129" t="s">
        <v>139</v>
      </c>
      <c r="D121" s="24"/>
      <c r="E121" s="53"/>
      <c r="F121" s="53">
        <v>2</v>
      </c>
      <c r="G121" s="53">
        <v>727.73</v>
      </c>
      <c r="H121" s="68">
        <f t="shared" si="49"/>
        <v>1.45546</v>
      </c>
      <c r="I121" s="165">
        <v>0</v>
      </c>
      <c r="J121" s="165">
        <v>0</v>
      </c>
      <c r="K121" s="165">
        <v>0</v>
      </c>
      <c r="L121" s="165">
        <v>0</v>
      </c>
      <c r="M121" s="165">
        <v>0</v>
      </c>
      <c r="N121" s="165">
        <v>0</v>
      </c>
      <c r="O121" s="165">
        <v>0</v>
      </c>
      <c r="P121" s="165">
        <v>0</v>
      </c>
      <c r="Q121" s="165">
        <v>0</v>
      </c>
      <c r="R121" s="165">
        <f>G121*2</f>
        <v>1455.46</v>
      </c>
      <c r="S121" s="165">
        <v>0</v>
      </c>
      <c r="T121" s="31">
        <v>0</v>
      </c>
      <c r="U121" s="31">
        <f t="shared" si="43"/>
        <v>1455.46</v>
      </c>
      <c r="V121"/>
      <c r="W121"/>
      <c r="X121"/>
    </row>
    <row r="122" spans="1:27" ht="12.75" customHeight="1">
      <c r="A122" s="155" t="s">
        <v>160</v>
      </c>
      <c r="B122" s="154" t="s">
        <v>266</v>
      </c>
      <c r="C122" s="155" t="s">
        <v>61</v>
      </c>
      <c r="D122" s="24"/>
      <c r="E122" s="53"/>
      <c r="F122" s="53">
        <v>5</v>
      </c>
      <c r="G122" s="53">
        <v>62</v>
      </c>
      <c r="H122" s="68">
        <f t="shared" si="49"/>
        <v>0.31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f>G122*(4+1)</f>
        <v>310</v>
      </c>
      <c r="S122" s="31">
        <v>0</v>
      </c>
      <c r="T122" s="31">
        <v>0</v>
      </c>
      <c r="U122" s="31">
        <f t="shared" si="43"/>
        <v>310</v>
      </c>
      <c r="V122"/>
      <c r="W122"/>
      <c r="X122"/>
    </row>
    <row r="123" spans="1:27">
      <c r="A123" s="155" t="s">
        <v>160</v>
      </c>
      <c r="B123" s="154" t="s">
        <v>268</v>
      </c>
      <c r="C123" s="155" t="s">
        <v>61</v>
      </c>
      <c r="D123" s="24"/>
      <c r="E123" s="53"/>
      <c r="F123" s="53">
        <v>3</v>
      </c>
      <c r="G123" s="53">
        <v>46</v>
      </c>
      <c r="H123" s="68">
        <f t="shared" si="49"/>
        <v>0.13800000000000001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f>G123*(2+1)</f>
        <v>138</v>
      </c>
      <c r="S123" s="31">
        <v>0</v>
      </c>
      <c r="T123" s="31">
        <v>0</v>
      </c>
      <c r="U123" s="31">
        <f t="shared" si="43"/>
        <v>138</v>
      </c>
      <c r="Y123" s="136"/>
      <c r="Z123" s="136"/>
      <c r="AA123" s="136"/>
    </row>
    <row r="124" spans="1:27" ht="25.5" customHeight="1">
      <c r="A124" s="129" t="s">
        <v>269</v>
      </c>
      <c r="B124" s="130" t="s">
        <v>270</v>
      </c>
      <c r="C124" s="129" t="s">
        <v>234</v>
      </c>
      <c r="D124" s="24"/>
      <c r="E124" s="53"/>
      <c r="F124" s="53">
        <v>2</v>
      </c>
      <c r="G124" s="53">
        <v>616.24</v>
      </c>
      <c r="H124" s="68">
        <f t="shared" si="49"/>
        <v>1.23248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f>G124*2</f>
        <v>1232.48</v>
      </c>
      <c r="S124" s="31">
        <v>0</v>
      </c>
      <c r="T124" s="31">
        <v>0</v>
      </c>
      <c r="U124" s="31">
        <f t="shared" si="43"/>
        <v>1232.48</v>
      </c>
      <c r="V124"/>
      <c r="W124"/>
      <c r="X124"/>
    </row>
    <row r="125" spans="1:27" ht="12.75" customHeight="1">
      <c r="A125" s="155" t="s">
        <v>160</v>
      </c>
      <c r="B125" s="154" t="s">
        <v>271</v>
      </c>
      <c r="C125" s="155" t="s">
        <v>61</v>
      </c>
      <c r="D125" s="24"/>
      <c r="E125" s="53"/>
      <c r="F125" s="53">
        <v>2</v>
      </c>
      <c r="G125" s="53">
        <v>22</v>
      </c>
      <c r="H125" s="68">
        <f t="shared" si="49"/>
        <v>4.3999999999999997E-2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f>G125*2</f>
        <v>44</v>
      </c>
      <c r="S125" s="31">
        <v>0</v>
      </c>
      <c r="T125" s="31">
        <v>0</v>
      </c>
      <c r="U125" s="31">
        <f t="shared" si="43"/>
        <v>44</v>
      </c>
      <c r="V125"/>
      <c r="W125"/>
      <c r="X125"/>
    </row>
    <row r="126" spans="1:27">
      <c r="A126" s="155" t="s">
        <v>272</v>
      </c>
      <c r="B126" s="154" t="s">
        <v>273</v>
      </c>
      <c r="C126" s="155" t="s">
        <v>142</v>
      </c>
      <c r="D126" s="132"/>
      <c r="E126" s="53"/>
      <c r="F126" s="53">
        <v>1</v>
      </c>
      <c r="G126" s="53">
        <v>195.85</v>
      </c>
      <c r="H126" s="68">
        <f>G126*F126/1000</f>
        <v>0.19585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f>G126</f>
        <v>195.85</v>
      </c>
      <c r="S126" s="31">
        <v>0</v>
      </c>
      <c r="T126" s="31">
        <v>0</v>
      </c>
      <c r="U126" s="31">
        <f t="shared" si="43"/>
        <v>195.85</v>
      </c>
      <c r="V126"/>
      <c r="W126"/>
      <c r="X126"/>
    </row>
    <row r="127" spans="1:27" ht="25.5">
      <c r="A127" s="129" t="s">
        <v>274</v>
      </c>
      <c r="B127" s="130" t="s">
        <v>275</v>
      </c>
      <c r="C127" s="129" t="s">
        <v>139</v>
      </c>
      <c r="D127" s="24"/>
      <c r="E127" s="53"/>
      <c r="F127" s="53">
        <v>6</v>
      </c>
      <c r="G127" s="53">
        <v>1046.06</v>
      </c>
      <c r="H127" s="68">
        <f t="shared" ref="H127:H130" si="50">G127*F127/1000</f>
        <v>6.2763599999999995</v>
      </c>
      <c r="I127" s="165">
        <v>0</v>
      </c>
      <c r="J127" s="165">
        <v>0</v>
      </c>
      <c r="K127" s="165">
        <v>0</v>
      </c>
      <c r="L127" s="165">
        <v>0</v>
      </c>
      <c r="M127" s="165">
        <v>0</v>
      </c>
      <c r="N127" s="165">
        <v>0</v>
      </c>
      <c r="O127" s="165">
        <v>0</v>
      </c>
      <c r="P127" s="165">
        <v>0</v>
      </c>
      <c r="Q127" s="165">
        <v>0</v>
      </c>
      <c r="R127" s="165">
        <f>G127*6</f>
        <v>6276.36</v>
      </c>
      <c r="S127" s="165">
        <v>0</v>
      </c>
      <c r="T127" s="31">
        <v>0</v>
      </c>
      <c r="U127" s="31">
        <f t="shared" ref="U127:U134" si="51">SUM(I127:T127)</f>
        <v>6276.36</v>
      </c>
      <c r="V127"/>
      <c r="W127"/>
      <c r="X127"/>
    </row>
    <row r="128" spans="1:27">
      <c r="A128" s="155" t="s">
        <v>160</v>
      </c>
      <c r="B128" s="154" t="s">
        <v>276</v>
      </c>
      <c r="C128" s="155" t="s">
        <v>61</v>
      </c>
      <c r="D128" s="9"/>
      <c r="E128" s="39"/>
      <c r="F128" s="53">
        <v>3</v>
      </c>
      <c r="G128" s="53">
        <v>140</v>
      </c>
      <c r="H128" s="68">
        <f t="shared" si="50"/>
        <v>0.42</v>
      </c>
      <c r="I128" s="165">
        <v>0</v>
      </c>
      <c r="J128" s="165">
        <v>0</v>
      </c>
      <c r="K128" s="165">
        <v>0</v>
      </c>
      <c r="L128" s="165">
        <v>0</v>
      </c>
      <c r="M128" s="165">
        <v>0</v>
      </c>
      <c r="N128" s="165">
        <v>0</v>
      </c>
      <c r="O128" s="165">
        <v>0</v>
      </c>
      <c r="P128" s="165">
        <v>0</v>
      </c>
      <c r="Q128" s="165">
        <v>0</v>
      </c>
      <c r="R128" s="165">
        <f>G128*3</f>
        <v>420</v>
      </c>
      <c r="S128" s="165">
        <v>0</v>
      </c>
      <c r="T128" s="165">
        <v>0</v>
      </c>
      <c r="U128" s="31">
        <f t="shared" si="51"/>
        <v>420</v>
      </c>
      <c r="V128"/>
      <c r="W128"/>
      <c r="X128"/>
    </row>
    <row r="129" spans="1:27" ht="12.75" customHeight="1">
      <c r="A129" s="155" t="s">
        <v>160</v>
      </c>
      <c r="B129" s="154" t="s">
        <v>277</v>
      </c>
      <c r="C129" s="155" t="s">
        <v>61</v>
      </c>
      <c r="D129" s="24"/>
      <c r="E129" s="53"/>
      <c r="F129" s="53">
        <v>3</v>
      </c>
      <c r="G129" s="53">
        <v>118</v>
      </c>
      <c r="H129" s="68">
        <f t="shared" si="50"/>
        <v>0.35399999999999998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165">
        <f>G129*3</f>
        <v>354</v>
      </c>
      <c r="S129" s="31">
        <v>0</v>
      </c>
      <c r="T129" s="31">
        <v>0</v>
      </c>
      <c r="U129" s="31">
        <f t="shared" si="51"/>
        <v>354</v>
      </c>
      <c r="V129"/>
      <c r="W129"/>
      <c r="X129"/>
    </row>
    <row r="130" spans="1:27" ht="12.75" customHeight="1">
      <c r="A130" s="155" t="s">
        <v>160</v>
      </c>
      <c r="B130" s="154" t="s">
        <v>278</v>
      </c>
      <c r="C130" s="155" t="s">
        <v>61</v>
      </c>
      <c r="D130" s="24"/>
      <c r="E130" s="53"/>
      <c r="F130" s="53">
        <v>3</v>
      </c>
      <c r="G130" s="53">
        <v>40</v>
      </c>
      <c r="H130" s="68">
        <f t="shared" si="50"/>
        <v>0.12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165">
        <f>G130*3</f>
        <v>120</v>
      </c>
      <c r="S130" s="31">
        <v>0</v>
      </c>
      <c r="T130" s="31">
        <v>0</v>
      </c>
      <c r="U130" s="31">
        <f t="shared" si="51"/>
        <v>120</v>
      </c>
      <c r="V130"/>
      <c r="W130"/>
      <c r="X130"/>
    </row>
    <row r="131" spans="1:27" ht="12.75" customHeight="1">
      <c r="A131" s="129" t="s">
        <v>160</v>
      </c>
      <c r="B131" s="130" t="s">
        <v>279</v>
      </c>
      <c r="C131" s="129" t="s">
        <v>61</v>
      </c>
      <c r="D131" s="132"/>
      <c r="E131" s="53"/>
      <c r="F131" s="53">
        <v>3</v>
      </c>
      <c r="G131" s="53">
        <v>108</v>
      </c>
      <c r="H131" s="68">
        <f>G131*F131/1000</f>
        <v>0.32400000000000001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165">
        <f>G131*3</f>
        <v>324</v>
      </c>
      <c r="S131" s="165">
        <v>0</v>
      </c>
      <c r="T131" s="31">
        <v>0</v>
      </c>
      <c r="U131" s="31">
        <f t="shared" si="51"/>
        <v>324</v>
      </c>
      <c r="V131"/>
      <c r="W131"/>
      <c r="X131"/>
    </row>
    <row r="132" spans="1:27">
      <c r="A132" s="155" t="s">
        <v>160</v>
      </c>
      <c r="B132" s="154" t="s">
        <v>267</v>
      </c>
      <c r="C132" s="155" t="s">
        <v>61</v>
      </c>
      <c r="D132" s="24"/>
      <c r="E132" s="53"/>
      <c r="F132" s="53">
        <v>1</v>
      </c>
      <c r="G132" s="53">
        <v>82</v>
      </c>
      <c r="H132" s="68">
        <f t="shared" ref="H132:H134" si="52">G132*F132/1000</f>
        <v>8.2000000000000003E-2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f>G132</f>
        <v>82</v>
      </c>
      <c r="S132" s="31">
        <v>0</v>
      </c>
      <c r="T132" s="31">
        <v>0</v>
      </c>
      <c r="U132" s="31">
        <f t="shared" si="51"/>
        <v>82</v>
      </c>
      <c r="Y132" s="136"/>
      <c r="Z132" s="136"/>
      <c r="AA132" s="136"/>
    </row>
    <row r="133" spans="1:27">
      <c r="A133" s="155" t="s">
        <v>160</v>
      </c>
      <c r="B133" s="154" t="s">
        <v>281</v>
      </c>
      <c r="C133" s="155" t="s">
        <v>61</v>
      </c>
      <c r="D133" s="9"/>
      <c r="E133" s="39"/>
      <c r="F133" s="53">
        <v>1</v>
      </c>
      <c r="G133" s="53">
        <v>42</v>
      </c>
      <c r="H133" s="68">
        <f t="shared" si="52"/>
        <v>4.2000000000000003E-2</v>
      </c>
      <c r="I133" s="165">
        <v>0</v>
      </c>
      <c r="J133" s="165">
        <v>0</v>
      </c>
      <c r="K133" s="165">
        <v>0</v>
      </c>
      <c r="L133" s="165">
        <v>0</v>
      </c>
      <c r="M133" s="165">
        <v>0</v>
      </c>
      <c r="N133" s="165">
        <v>0</v>
      </c>
      <c r="O133" s="165">
        <v>0</v>
      </c>
      <c r="P133" s="165">
        <v>0</v>
      </c>
      <c r="Q133" s="165">
        <v>0</v>
      </c>
      <c r="R133" s="31">
        <f>G133</f>
        <v>42</v>
      </c>
      <c r="S133" s="31">
        <v>0</v>
      </c>
      <c r="T133" s="31">
        <v>0</v>
      </c>
      <c r="U133" s="31">
        <f t="shared" si="51"/>
        <v>42</v>
      </c>
      <c r="V133"/>
      <c r="W133"/>
      <c r="X133"/>
    </row>
    <row r="134" spans="1:27">
      <c r="A134" s="155" t="s">
        <v>160</v>
      </c>
      <c r="B134" s="154" t="s">
        <v>280</v>
      </c>
      <c r="C134" s="155" t="s">
        <v>61</v>
      </c>
      <c r="D134" s="9"/>
      <c r="E134" s="39"/>
      <c r="F134" s="53">
        <v>1</v>
      </c>
      <c r="G134" s="53">
        <v>70</v>
      </c>
      <c r="H134" s="68">
        <f t="shared" si="52"/>
        <v>7.0000000000000007E-2</v>
      </c>
      <c r="I134" s="165">
        <v>0</v>
      </c>
      <c r="J134" s="165">
        <v>0</v>
      </c>
      <c r="K134" s="165">
        <v>0</v>
      </c>
      <c r="L134" s="165">
        <v>0</v>
      </c>
      <c r="M134" s="165">
        <v>0</v>
      </c>
      <c r="N134" s="165">
        <v>0</v>
      </c>
      <c r="O134" s="165">
        <v>0</v>
      </c>
      <c r="P134" s="165">
        <v>0</v>
      </c>
      <c r="Q134" s="165">
        <v>0</v>
      </c>
      <c r="R134" s="31">
        <f>G134</f>
        <v>70</v>
      </c>
      <c r="S134" s="31">
        <v>0</v>
      </c>
      <c r="T134" s="31">
        <v>0</v>
      </c>
      <c r="U134" s="31">
        <f t="shared" si="51"/>
        <v>70</v>
      </c>
      <c r="V134"/>
      <c r="W134"/>
      <c r="X134"/>
    </row>
    <row r="135" spans="1:27">
      <c r="A135" s="131" t="s">
        <v>219</v>
      </c>
      <c r="B135" s="130" t="s">
        <v>282</v>
      </c>
      <c r="C135" s="129" t="s">
        <v>61</v>
      </c>
      <c r="D135" s="24"/>
      <c r="E135" s="53"/>
      <c r="F135" s="53">
        <v>1</v>
      </c>
      <c r="G135" s="53">
        <v>1202.53</v>
      </c>
      <c r="H135" s="53">
        <f>G135*F135/1000</f>
        <v>1.2025299999999999</v>
      </c>
      <c r="I135" s="165">
        <v>0</v>
      </c>
      <c r="J135" s="165">
        <v>0</v>
      </c>
      <c r="K135" s="165">
        <v>0</v>
      </c>
      <c r="L135" s="165">
        <v>0</v>
      </c>
      <c r="M135" s="165">
        <v>0</v>
      </c>
      <c r="N135" s="165">
        <v>0</v>
      </c>
      <c r="O135" s="165">
        <v>0</v>
      </c>
      <c r="P135" s="165">
        <v>0</v>
      </c>
      <c r="Q135" s="31">
        <v>0</v>
      </c>
      <c r="R135" s="31">
        <f t="shared" ref="R135" si="53">G135</f>
        <v>1202.53</v>
      </c>
      <c r="S135" s="31">
        <v>0</v>
      </c>
      <c r="T135" s="31">
        <v>0</v>
      </c>
      <c r="U135" s="31">
        <f t="shared" ref="U135:U139" si="54">SUM(I135:T135)</f>
        <v>1202.53</v>
      </c>
      <c r="Y135" s="136"/>
    </row>
    <row r="136" spans="1:27" ht="25.5" customHeight="1">
      <c r="A136" s="129" t="s">
        <v>215</v>
      </c>
      <c r="B136" s="130" t="s">
        <v>165</v>
      </c>
      <c r="C136" s="129" t="s">
        <v>166</v>
      </c>
      <c r="D136" s="24"/>
      <c r="E136" s="53"/>
      <c r="F136" s="53">
        <f>4.5/10</f>
        <v>0.45</v>
      </c>
      <c r="G136" s="53">
        <v>5945.91</v>
      </c>
      <c r="H136" s="53">
        <f>G136*F136/1000</f>
        <v>2.6756595000000001</v>
      </c>
      <c r="I136" s="165">
        <v>0</v>
      </c>
      <c r="J136" s="165">
        <v>0</v>
      </c>
      <c r="K136" s="165">
        <v>0</v>
      </c>
      <c r="L136" s="165">
        <v>0</v>
      </c>
      <c r="M136" s="165">
        <v>0</v>
      </c>
      <c r="N136" s="165">
        <v>0</v>
      </c>
      <c r="O136" s="165">
        <v>0</v>
      </c>
      <c r="P136" s="165">
        <v>0</v>
      </c>
      <c r="Q136" s="31">
        <v>0</v>
      </c>
      <c r="R136" s="31">
        <f>G136*F136</f>
        <v>2675.6595000000002</v>
      </c>
      <c r="S136" s="31">
        <v>0</v>
      </c>
      <c r="T136" s="31">
        <v>0</v>
      </c>
      <c r="U136" s="31">
        <f t="shared" si="54"/>
        <v>2675.6595000000002</v>
      </c>
      <c r="Y136" s="136"/>
    </row>
    <row r="137" spans="1:27" ht="12.75" customHeight="1">
      <c r="A137" s="155" t="s">
        <v>132</v>
      </c>
      <c r="B137" s="154" t="s">
        <v>286</v>
      </c>
      <c r="C137" s="155" t="s">
        <v>285</v>
      </c>
      <c r="D137" s="168"/>
      <c r="E137" s="169"/>
      <c r="F137" s="162">
        <v>15</v>
      </c>
      <c r="G137" s="162">
        <f>103656/303</f>
        <v>342.0990099009901</v>
      </c>
      <c r="H137" s="170">
        <f t="shared" ref="H137" si="55">G137*F137/1000</f>
        <v>5.1314851485148507</v>
      </c>
      <c r="I137" s="165">
        <v>0</v>
      </c>
      <c r="J137" s="165">
        <v>0</v>
      </c>
      <c r="K137" s="165">
        <v>0</v>
      </c>
      <c r="L137" s="165">
        <v>0</v>
      </c>
      <c r="M137" s="165">
        <v>0</v>
      </c>
      <c r="N137" s="165">
        <v>0</v>
      </c>
      <c r="O137" s="165">
        <v>0</v>
      </c>
      <c r="P137" s="165">
        <v>0</v>
      </c>
      <c r="Q137" s="165">
        <v>0</v>
      </c>
      <c r="R137" s="165">
        <f>G137*15</f>
        <v>5131.4851485148511</v>
      </c>
      <c r="S137" s="165">
        <v>0</v>
      </c>
      <c r="T137" s="165">
        <v>0</v>
      </c>
      <c r="U137" s="31">
        <f t="shared" si="54"/>
        <v>5131.4851485148511</v>
      </c>
      <c r="V137"/>
      <c r="W137"/>
      <c r="X137"/>
    </row>
    <row r="138" spans="1:27" ht="12.75" customHeight="1">
      <c r="A138" s="164" t="s">
        <v>283</v>
      </c>
      <c r="B138" s="166" t="s">
        <v>284</v>
      </c>
      <c r="C138" s="167" t="s">
        <v>20</v>
      </c>
      <c r="D138" s="24"/>
      <c r="E138" s="53"/>
      <c r="F138" s="53">
        <f>3.125/10</f>
        <v>0.3125</v>
      </c>
      <c r="G138" s="53">
        <v>3014.35</v>
      </c>
      <c r="H138" s="53">
        <f>G138*F138/1000</f>
        <v>0.94198437499999998</v>
      </c>
      <c r="I138" s="165">
        <v>0</v>
      </c>
      <c r="J138" s="165">
        <v>0</v>
      </c>
      <c r="K138" s="165">
        <v>0</v>
      </c>
      <c r="L138" s="165">
        <v>0</v>
      </c>
      <c r="M138" s="165">
        <v>0</v>
      </c>
      <c r="N138" s="165">
        <v>0</v>
      </c>
      <c r="O138" s="165">
        <v>0</v>
      </c>
      <c r="P138" s="165">
        <v>0</v>
      </c>
      <c r="Q138" s="31">
        <v>0</v>
      </c>
      <c r="R138" s="31">
        <v>0</v>
      </c>
      <c r="S138" s="31">
        <f>G138*F138</f>
        <v>941.984375</v>
      </c>
      <c r="T138" s="31">
        <v>0</v>
      </c>
      <c r="U138" s="31">
        <f t="shared" si="54"/>
        <v>941.984375</v>
      </c>
      <c r="Y138" s="136"/>
    </row>
    <row r="139" spans="1:27">
      <c r="A139" s="155" t="s">
        <v>135</v>
      </c>
      <c r="B139" s="154" t="s">
        <v>293</v>
      </c>
      <c r="C139" s="155" t="s">
        <v>38</v>
      </c>
      <c r="D139" s="9"/>
      <c r="E139" s="39"/>
      <c r="F139" s="53">
        <f>(14.6+11.12+34.24+33.55)-(12.79*6)</f>
        <v>16.769999999999996</v>
      </c>
      <c r="G139" s="53">
        <v>44.31</v>
      </c>
      <c r="H139" s="53">
        <f t="shared" ref="H139" si="56">G139*F139/1000</f>
        <v>0.74307869999999987</v>
      </c>
      <c r="I139" s="165">
        <v>0</v>
      </c>
      <c r="J139" s="165">
        <v>0</v>
      </c>
      <c r="K139" s="165">
        <v>0</v>
      </c>
      <c r="L139" s="165">
        <v>0</v>
      </c>
      <c r="M139" s="165">
        <v>0</v>
      </c>
      <c r="N139" s="165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f>G139*F139</f>
        <v>743.07869999999991</v>
      </c>
      <c r="U139" s="31">
        <f t="shared" si="54"/>
        <v>743.07869999999991</v>
      </c>
      <c r="V139"/>
      <c r="W139"/>
      <c r="X139"/>
    </row>
    <row r="140" spans="1:27">
      <c r="A140" s="99"/>
      <c r="B140" s="100" t="s">
        <v>93</v>
      </c>
      <c r="C140" s="99"/>
      <c r="D140" s="99"/>
      <c r="E140" s="95"/>
      <c r="F140" s="95"/>
      <c r="G140" s="95"/>
      <c r="H140" s="90">
        <f>SUM(H86:H139)</f>
        <v>163.29713622351494</v>
      </c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45">
        <f>SUM(U86:U139)</f>
        <v>163297.13622351488</v>
      </c>
    </row>
    <row r="141" spans="1:27" ht="12" customHeight="1">
      <c r="A141" s="101"/>
      <c r="B141" s="102"/>
      <c r="C141" s="101"/>
      <c r="D141" s="101"/>
      <c r="E141" s="53"/>
      <c r="F141" s="53"/>
      <c r="G141" s="53"/>
      <c r="H141" s="103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127"/>
    </row>
    <row r="142" spans="1:27" s="19" customFormat="1" ht="25.5">
      <c r="A142" s="25"/>
      <c r="B142" s="18" t="s">
        <v>94</v>
      </c>
      <c r="C142" s="67"/>
      <c r="D142" s="24"/>
      <c r="E142" s="53"/>
      <c r="F142" s="53"/>
      <c r="G142" s="53"/>
      <c r="H142" s="104">
        <f>H140/E143/12*1000</f>
        <v>2.9639516216442132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127"/>
      <c r="V142" s="136"/>
      <c r="W142" s="136"/>
      <c r="X142" s="136"/>
    </row>
    <row r="143" spans="1:27">
      <c r="A143" s="105"/>
      <c r="B143" s="106" t="s">
        <v>95</v>
      </c>
      <c r="C143" s="107"/>
      <c r="D143" s="106"/>
      <c r="E143" s="148">
        <v>4591.2</v>
      </c>
      <c r="F143" s="108">
        <f>SUM(E143*12)</f>
        <v>55094.399999999994</v>
      </c>
      <c r="G143" s="109">
        <f>H84+H142</f>
        <v>219.1001234776696</v>
      </c>
      <c r="H143" s="110">
        <f>SUM(F143*G143/1000)</f>
        <v>12071.189842928119</v>
      </c>
      <c r="I143" s="95">
        <f>SUM(I11:I142)</f>
        <v>113131.33952825003</v>
      </c>
      <c r="J143" s="95">
        <f t="shared" ref="J143:T143" si="57">SUM(J11:J142)</f>
        <v>100259.18200425</v>
      </c>
      <c r="K143" s="95">
        <f t="shared" si="57"/>
        <v>104208.32423624999</v>
      </c>
      <c r="L143" s="95">
        <f t="shared" si="57"/>
        <v>99380.973712249994</v>
      </c>
      <c r="M143" s="95">
        <f t="shared" si="57"/>
        <v>216803.05458889998</v>
      </c>
      <c r="N143" s="95">
        <f t="shared" si="57"/>
        <v>108788.66193620001</v>
      </c>
      <c r="O143" s="95">
        <f t="shared" si="57"/>
        <v>73988.166960200004</v>
      </c>
      <c r="P143" s="95">
        <f t="shared" si="57"/>
        <v>93959.908136199985</v>
      </c>
      <c r="Q143" s="95">
        <f t="shared" si="57"/>
        <v>92848.874433399993</v>
      </c>
      <c r="R143" s="95">
        <f t="shared" si="57"/>
        <v>131749.37905671482</v>
      </c>
      <c r="S143" s="95">
        <f t="shared" si="57"/>
        <v>89565.549431249994</v>
      </c>
      <c r="T143" s="95">
        <f t="shared" si="57"/>
        <v>99302.702004249993</v>
      </c>
      <c r="U143" s="45">
        <f>U82+U140</f>
        <v>1323986.1160281147</v>
      </c>
    </row>
    <row r="144" spans="1:27">
      <c r="A144" s="32"/>
      <c r="B144" s="32"/>
      <c r="C144" s="32"/>
      <c r="D144" s="32"/>
      <c r="E144" s="111"/>
      <c r="F144" s="111"/>
      <c r="G144" s="111"/>
      <c r="H144" s="111"/>
      <c r="I144" s="111"/>
      <c r="J144" s="111"/>
      <c r="K144" s="111"/>
      <c r="L144" s="111"/>
      <c r="M144" s="32"/>
      <c r="N144" s="111"/>
      <c r="O144" s="32"/>
      <c r="P144" s="32"/>
      <c r="Q144" s="32"/>
      <c r="R144" s="32"/>
      <c r="S144" s="32"/>
      <c r="T144" s="32"/>
      <c r="U144" s="32"/>
    </row>
    <row r="145" spans="1:21">
      <c r="A145" s="32"/>
      <c r="B145" s="32"/>
      <c r="C145" s="32"/>
      <c r="D145" s="32"/>
      <c r="E145" s="111"/>
      <c r="F145" s="111"/>
      <c r="G145" s="111"/>
      <c r="H145" s="111"/>
      <c r="I145" s="111"/>
      <c r="J145" s="112"/>
      <c r="K145" s="113"/>
      <c r="L145" s="112"/>
      <c r="M145" s="111"/>
      <c r="N145" s="32"/>
      <c r="O145" s="32"/>
      <c r="P145" s="32"/>
      <c r="Q145" s="32"/>
      <c r="R145" s="32"/>
      <c r="S145" s="32"/>
      <c r="T145" s="32"/>
      <c r="U145" s="32"/>
    </row>
    <row r="146" spans="1:21" ht="45">
      <c r="A146" s="32"/>
      <c r="B146" s="118" t="s">
        <v>217</v>
      </c>
      <c r="C146" s="174">
        <v>633112</v>
      </c>
      <c r="D146" s="175"/>
      <c r="E146" s="175"/>
      <c r="F146" s="176"/>
      <c r="G146" s="111"/>
      <c r="H146" s="111"/>
      <c r="I146" s="111"/>
      <c r="J146" s="112"/>
      <c r="K146" s="113"/>
      <c r="L146" s="112"/>
      <c r="M146" s="111"/>
      <c r="N146" s="32"/>
      <c r="O146" s="32"/>
      <c r="P146" s="32"/>
      <c r="Q146" s="32"/>
      <c r="R146" s="32"/>
      <c r="S146" s="32"/>
      <c r="T146" s="32"/>
      <c r="U146" s="32"/>
    </row>
    <row r="147" spans="1:21" ht="30">
      <c r="A147" s="32"/>
      <c r="B147" s="118" t="s">
        <v>223</v>
      </c>
      <c r="C147" s="174">
        <f>111571.02*12</f>
        <v>1338852.24</v>
      </c>
      <c r="D147" s="175"/>
      <c r="E147" s="175"/>
      <c r="F147" s="176"/>
      <c r="G147" s="111"/>
      <c r="H147" s="111"/>
      <c r="I147" s="111"/>
      <c r="J147" s="112"/>
      <c r="K147" s="113"/>
      <c r="L147" s="112"/>
      <c r="M147" s="111"/>
      <c r="N147" s="32"/>
      <c r="O147" s="32"/>
      <c r="P147" s="32"/>
      <c r="Q147" s="32"/>
      <c r="R147" s="32"/>
      <c r="S147" s="32"/>
      <c r="T147" s="32"/>
      <c r="U147" s="32"/>
    </row>
    <row r="148" spans="1:21" ht="30">
      <c r="A148" s="32"/>
      <c r="B148" s="118" t="s">
        <v>224</v>
      </c>
      <c r="C148" s="174">
        <f>SUM(U143-U140)</f>
        <v>1160688.9798045999</v>
      </c>
      <c r="D148" s="175"/>
      <c r="E148" s="175"/>
      <c r="F148" s="176"/>
      <c r="G148" s="111"/>
      <c r="H148" s="111"/>
      <c r="I148" s="111"/>
      <c r="J148" s="112"/>
      <c r="K148" s="113"/>
      <c r="L148" s="112"/>
      <c r="M148" s="111"/>
      <c r="N148" s="32"/>
      <c r="O148" s="32"/>
      <c r="P148" s="32"/>
      <c r="Q148" s="32"/>
      <c r="R148" s="32"/>
      <c r="S148" s="32"/>
      <c r="T148" s="32"/>
      <c r="U148" s="32"/>
    </row>
    <row r="149" spans="1:21" ht="30">
      <c r="A149" s="32"/>
      <c r="B149" s="118" t="s">
        <v>225</v>
      </c>
      <c r="C149" s="174">
        <f>SUM(U140)</f>
        <v>163297.13622351488</v>
      </c>
      <c r="D149" s="175"/>
      <c r="E149" s="175"/>
      <c r="F149" s="176"/>
      <c r="G149" s="111"/>
      <c r="H149" s="111"/>
      <c r="I149" s="111"/>
      <c r="J149" s="112"/>
      <c r="K149" s="113"/>
      <c r="L149" s="112"/>
      <c r="M149" s="111"/>
      <c r="N149" s="32"/>
      <c r="O149" s="32"/>
      <c r="P149" s="32"/>
      <c r="Q149" s="32"/>
      <c r="R149" s="32"/>
      <c r="S149" s="32"/>
      <c r="T149" s="32"/>
      <c r="U149" s="32"/>
    </row>
    <row r="150" spans="1:21" ht="18">
      <c r="A150" s="32"/>
      <c r="B150" s="122" t="s">
        <v>226</v>
      </c>
      <c r="C150" s="180">
        <f>107741.7+104819.61+130925.19+101618.35+106383.6+103023.04+121164.27+82192.07+115854.49+110053.36+110948.01+96257.22</f>
        <v>1290980.9100000001</v>
      </c>
      <c r="D150" s="178"/>
      <c r="E150" s="178"/>
      <c r="F150" s="179"/>
      <c r="G150" s="32"/>
      <c r="I150" s="114" t="s">
        <v>102</v>
      </c>
      <c r="J150" s="115"/>
      <c r="K150" s="116"/>
      <c r="L150" s="117"/>
      <c r="M150" s="114"/>
      <c r="N150" s="114"/>
      <c r="O150" s="32"/>
      <c r="P150" s="32"/>
      <c r="Q150" s="32"/>
      <c r="R150" s="32"/>
      <c r="S150" s="32"/>
      <c r="T150" s="32"/>
      <c r="U150" s="32"/>
    </row>
    <row r="151" spans="1:21" ht="78.75">
      <c r="A151" s="32"/>
      <c r="B151" s="153" t="s">
        <v>287</v>
      </c>
      <c r="C151" s="181">
        <v>297015.15999999997</v>
      </c>
      <c r="D151" s="182"/>
      <c r="E151" s="182"/>
      <c r="F151" s="183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ht="45">
      <c r="A152" s="32"/>
      <c r="B152" s="118" t="s">
        <v>288</v>
      </c>
      <c r="C152" s="177">
        <f>SUM(U143-C147)+C146</f>
        <v>618245.8760281147</v>
      </c>
      <c r="D152" s="178"/>
      <c r="E152" s="178"/>
      <c r="F152" s="179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4" spans="1:21">
      <c r="J154" s="4"/>
      <c r="K154" s="5"/>
      <c r="L154" s="5"/>
      <c r="M154" s="3"/>
    </row>
    <row r="155" spans="1:21">
      <c r="G155" s="6"/>
      <c r="H155" s="6"/>
    </row>
    <row r="156" spans="1:21">
      <c r="G156" s="7"/>
    </row>
  </sheetData>
  <mergeCells count="11">
    <mergeCell ref="C152:F152"/>
    <mergeCell ref="C147:F147"/>
    <mergeCell ref="C148:F148"/>
    <mergeCell ref="C149:F149"/>
    <mergeCell ref="C150:F150"/>
    <mergeCell ref="C151:F151"/>
    <mergeCell ref="B3:L3"/>
    <mergeCell ref="B4:L4"/>
    <mergeCell ref="B5:L5"/>
    <mergeCell ref="B6:L6"/>
    <mergeCell ref="C146:F146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Нефт.,13</vt:lpstr>
      <vt:lpstr>'Нефт.,13'!Область_печати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2019-06-26T10:44:38Z</cp:lastPrinted>
  <dcterms:created xsi:type="dcterms:W3CDTF">2014-02-05T12:20:20Z</dcterms:created>
  <dcterms:modified xsi:type="dcterms:W3CDTF">2019-06-26T10:45:23Z</dcterms:modified>
</cp:coreProperties>
</file>