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-15" windowWidth="15480" windowHeight="8100" activeTab="11"/>
  </bookViews>
  <sheets>
    <sheet name="01.17" sheetId="17" r:id="rId1"/>
    <sheet name="02.17" sheetId="27" r:id="rId2"/>
    <sheet name="03.17" sheetId="28" r:id="rId3"/>
    <sheet name="04.17" sheetId="29" r:id="rId4"/>
    <sheet name="05.17" sheetId="30" r:id="rId5"/>
    <sheet name="06.17" sheetId="31" r:id="rId6"/>
    <sheet name="07.17" sheetId="32" r:id="rId7"/>
    <sheet name="08.17" sheetId="33" r:id="rId8"/>
    <sheet name="09.17" sheetId="34" r:id="rId9"/>
    <sheet name="10.17" sheetId="35" r:id="rId10"/>
    <sheet name="11.17" sheetId="36" r:id="rId11"/>
    <sheet name="12.17" sheetId="37" r:id="rId12"/>
  </sheets>
  <definedNames>
    <definedName name="_xlnm._FilterDatabase" localSheetId="0" hidden="1">'01.17'!$I$12:$I$101</definedName>
    <definedName name="_xlnm._FilterDatabase" localSheetId="1" hidden="1">'02.17'!$I$12:$I$97</definedName>
    <definedName name="_xlnm._FilterDatabase" localSheetId="2" hidden="1">'03.17'!$I$12:$I$97</definedName>
    <definedName name="_xlnm._FilterDatabase" localSheetId="3" hidden="1">'04.17'!$I$12:$I$95</definedName>
    <definedName name="_xlnm._FilterDatabase" localSheetId="4" hidden="1">'05.17'!$I$12:$I$101</definedName>
    <definedName name="_xlnm._FilterDatabase" localSheetId="5" hidden="1">'06.17'!$I$12:$I$100</definedName>
    <definedName name="_xlnm._FilterDatabase" localSheetId="6" hidden="1">'07.17'!$I$12:$I$98</definedName>
    <definedName name="_xlnm._FilterDatabase" localSheetId="7" hidden="1">'08.17'!$I$12:$I$101</definedName>
    <definedName name="_xlnm._FilterDatabase" localSheetId="8" hidden="1">'09.17'!$I$12:$I$99</definedName>
    <definedName name="_xlnm._FilterDatabase" localSheetId="9" hidden="1">'10.17'!$I$12:$I$101</definedName>
    <definedName name="_xlnm._FilterDatabase" localSheetId="10" hidden="1">'11.17'!$I$12:$I$100</definedName>
    <definedName name="_xlnm._FilterDatabase" localSheetId="11" hidden="1">'12.17'!$I$12:$I$100</definedName>
    <definedName name="_xlnm.Print_Area" localSheetId="0">'01.17'!$A$1:$I$115</definedName>
    <definedName name="_xlnm.Print_Area" localSheetId="1">'02.17'!$A$1:$I$111</definedName>
    <definedName name="_xlnm.Print_Area" localSheetId="2">'03.17'!$A$1:$I$111</definedName>
    <definedName name="_xlnm.Print_Area" localSheetId="3">'04.17'!$A$1:$I$109</definedName>
    <definedName name="_xlnm.Print_Area" localSheetId="4">'05.17'!$A$1:$I$115</definedName>
    <definedName name="_xlnm.Print_Area" localSheetId="5">'06.17'!$A$1:$I$114</definedName>
    <definedName name="_xlnm.Print_Area" localSheetId="6">'07.17'!$A$1:$I$112</definedName>
    <definedName name="_xlnm.Print_Area" localSheetId="7">'08.17'!$A$1:$I$115</definedName>
    <definedName name="_xlnm.Print_Area" localSheetId="8">'09.17'!$A$1:$I$113</definedName>
    <definedName name="_xlnm.Print_Area" localSheetId="9">'10.17'!$A$1:$I$115</definedName>
    <definedName name="_xlnm.Print_Area" localSheetId="10">'11.17'!$A$1:$I$114</definedName>
    <definedName name="_xlnm.Print_Area" localSheetId="11">'12.17'!$A$1:$I$114</definedName>
  </definedNames>
  <calcPr calcId="124519"/>
</workbook>
</file>

<file path=xl/calcChain.xml><?xml version="1.0" encoding="utf-8"?>
<calcChain xmlns="http://schemas.openxmlformats.org/spreadsheetml/2006/main">
  <c r="I90" i="37"/>
  <c r="F90"/>
  <c r="H90" s="1"/>
  <c r="I91"/>
  <c r="I86"/>
  <c r="I86" i="36"/>
  <c r="I90" i="31" l="1"/>
  <c r="F90"/>
  <c r="H90" s="1"/>
  <c r="I91"/>
  <c r="F43" i="29" l="1"/>
  <c r="I43" s="1"/>
  <c r="F43" i="28"/>
  <c r="H43" s="1"/>
  <c r="I43"/>
  <c r="I82" i="27"/>
  <c r="I82" i="17" l="1"/>
  <c r="I88" i="37" l="1"/>
  <c r="I89"/>
  <c r="H89"/>
  <c r="F88"/>
  <c r="H88" s="1"/>
  <c r="F85"/>
  <c r="I85" s="1"/>
  <c r="F84"/>
  <c r="H84" s="1"/>
  <c r="H82"/>
  <c r="I81"/>
  <c r="H81"/>
  <c r="H79"/>
  <c r="F77"/>
  <c r="H77" s="1"/>
  <c r="F76"/>
  <c r="H76" s="1"/>
  <c r="F75"/>
  <c r="H75" s="1"/>
  <c r="H74"/>
  <c r="F74"/>
  <c r="H73"/>
  <c r="F73"/>
  <c r="H72"/>
  <c r="F72"/>
  <c r="F70"/>
  <c r="H70" s="1"/>
  <c r="I69"/>
  <c r="H69"/>
  <c r="F69"/>
  <c r="I68"/>
  <c r="F68"/>
  <c r="H68" s="1"/>
  <c r="I67"/>
  <c r="F67"/>
  <c r="H67" s="1"/>
  <c r="I66"/>
  <c r="F66"/>
  <c r="H66" s="1"/>
  <c r="I65"/>
  <c r="F65"/>
  <c r="H65" s="1"/>
  <c r="I64"/>
  <c r="F64"/>
  <c r="H64" s="1"/>
  <c r="I63"/>
  <c r="F63"/>
  <c r="H63" s="1"/>
  <c r="I62"/>
  <c r="F62"/>
  <c r="H62" s="1"/>
  <c r="H60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E42"/>
  <c r="F42" s="1"/>
  <c r="F41"/>
  <c r="I41" s="1"/>
  <c r="E40"/>
  <c r="F40" s="1"/>
  <c r="I39"/>
  <c r="H39"/>
  <c r="F38"/>
  <c r="H38" s="1"/>
  <c r="I37"/>
  <c r="H37"/>
  <c r="H35"/>
  <c r="H34"/>
  <c r="F33"/>
  <c r="I33" s="1"/>
  <c r="E33"/>
  <c r="E32"/>
  <c r="F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I17" s="1"/>
  <c r="F16"/>
  <c r="I16" s="1"/>
  <c r="H17" l="1"/>
  <c r="H18"/>
  <c r="I18"/>
  <c r="I32"/>
  <c r="H32"/>
  <c r="H40"/>
  <c r="I40"/>
  <c r="I42"/>
  <c r="H42"/>
  <c r="H16"/>
  <c r="H19"/>
  <c r="I20"/>
  <c r="H21"/>
  <c r="I22"/>
  <c r="H23"/>
  <c r="I24"/>
  <c r="H25"/>
  <c r="I26"/>
  <c r="H27"/>
  <c r="I30"/>
  <c r="H31"/>
  <c r="H33"/>
  <c r="I38"/>
  <c r="H41"/>
  <c r="I45"/>
  <c r="H46"/>
  <c r="I47"/>
  <c r="H48"/>
  <c r="I49"/>
  <c r="H50"/>
  <c r="I51"/>
  <c r="H57"/>
  <c r="H80" s="1"/>
  <c r="I70"/>
  <c r="I84"/>
  <c r="H85"/>
  <c r="H86" s="1"/>
  <c r="I93" l="1"/>
  <c r="I89" i="36" l="1"/>
  <c r="H89"/>
  <c r="H90"/>
  <c r="I90"/>
  <c r="I88"/>
  <c r="I91"/>
  <c r="F88"/>
  <c r="H88" s="1"/>
  <c r="F85"/>
  <c r="I85" s="1"/>
  <c r="F84"/>
  <c r="H84" s="1"/>
  <c r="H82"/>
  <c r="I81"/>
  <c r="H81"/>
  <c r="H79"/>
  <c r="F77"/>
  <c r="H77" s="1"/>
  <c r="F76"/>
  <c r="H76" s="1"/>
  <c r="F75"/>
  <c r="H75" s="1"/>
  <c r="F74"/>
  <c r="H74" s="1"/>
  <c r="F73"/>
  <c r="H73" s="1"/>
  <c r="F72"/>
  <c r="H72" s="1"/>
  <c r="F70"/>
  <c r="H70" s="1"/>
  <c r="I69"/>
  <c r="H69"/>
  <c r="F69"/>
  <c r="I68"/>
  <c r="F68"/>
  <c r="H68" s="1"/>
  <c r="I67"/>
  <c r="F67"/>
  <c r="H67" s="1"/>
  <c r="I66"/>
  <c r="F66"/>
  <c r="H66" s="1"/>
  <c r="I65"/>
  <c r="H65"/>
  <c r="F65"/>
  <c r="I64"/>
  <c r="F64"/>
  <c r="H64" s="1"/>
  <c r="I63"/>
  <c r="F63"/>
  <c r="H63" s="1"/>
  <c r="I62"/>
  <c r="F62"/>
  <c r="H62" s="1"/>
  <c r="H60"/>
  <c r="H58"/>
  <c r="F57"/>
  <c r="I57" s="1"/>
  <c r="I54"/>
  <c r="F54"/>
  <c r="H54" s="1"/>
  <c r="I53"/>
  <c r="H53"/>
  <c r="F53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E42"/>
  <c r="F42" s="1"/>
  <c r="F41"/>
  <c r="I41" s="1"/>
  <c r="E40"/>
  <c r="F40" s="1"/>
  <c r="H40" s="1"/>
  <c r="I39"/>
  <c r="H39"/>
  <c r="F38"/>
  <c r="H38" s="1"/>
  <c r="I37"/>
  <c r="H37"/>
  <c r="H35"/>
  <c r="H34"/>
  <c r="F33"/>
  <c r="I33" s="1"/>
  <c r="E33"/>
  <c r="E32"/>
  <c r="F32" s="1"/>
  <c r="F31"/>
  <c r="I31" s="1"/>
  <c r="F30"/>
  <c r="H30" s="1"/>
  <c r="F27"/>
  <c r="I27" s="1"/>
  <c r="F26"/>
  <c r="H26" s="1"/>
  <c r="H25"/>
  <c r="F25"/>
  <c r="I25" s="1"/>
  <c r="F24"/>
  <c r="H24" s="1"/>
  <c r="F23"/>
  <c r="I23" s="1"/>
  <c r="F22"/>
  <c r="H22" s="1"/>
  <c r="H21"/>
  <c r="F21"/>
  <c r="I21" s="1"/>
  <c r="F20"/>
  <c r="H20" s="1"/>
  <c r="F19"/>
  <c r="I19" s="1"/>
  <c r="E18"/>
  <c r="F18" s="1"/>
  <c r="H18" s="1"/>
  <c r="F17"/>
  <c r="H17" s="1"/>
  <c r="H16"/>
  <c r="F16"/>
  <c r="I16" s="1"/>
  <c r="I89" i="35"/>
  <c r="H89"/>
  <c r="I92"/>
  <c r="I91"/>
  <c r="I90"/>
  <c r="H91"/>
  <c r="H90"/>
  <c r="I88"/>
  <c r="F88"/>
  <c r="H88" s="1"/>
  <c r="I86"/>
  <c r="H19" i="36" l="1"/>
  <c r="H23"/>
  <c r="H27"/>
  <c r="H33"/>
  <c r="H57"/>
  <c r="H31"/>
  <c r="H48"/>
  <c r="H41"/>
  <c r="H46"/>
  <c r="H50"/>
  <c r="I42"/>
  <c r="H42"/>
  <c r="I32"/>
  <c r="H32"/>
  <c r="H80"/>
  <c r="I18"/>
  <c r="I20"/>
  <c r="I22"/>
  <c r="I24"/>
  <c r="I26"/>
  <c r="I30"/>
  <c r="I38"/>
  <c r="I40"/>
  <c r="I45"/>
  <c r="I47"/>
  <c r="I49"/>
  <c r="I51"/>
  <c r="I70"/>
  <c r="I84"/>
  <c r="H85"/>
  <c r="H86" s="1"/>
  <c r="I17"/>
  <c r="I93" l="1"/>
  <c r="F85" i="35" l="1"/>
  <c r="H85" s="1"/>
  <c r="H86" s="1"/>
  <c r="F84"/>
  <c r="I84" s="1"/>
  <c r="H82"/>
  <c r="I81"/>
  <c r="H81"/>
  <c r="H79"/>
  <c r="F77"/>
  <c r="H77" s="1"/>
  <c r="F76"/>
  <c r="H76" s="1"/>
  <c r="F75"/>
  <c r="H75" s="1"/>
  <c r="F74"/>
  <c r="H74" s="1"/>
  <c r="H73"/>
  <c r="F73"/>
  <c r="H72"/>
  <c r="F72"/>
  <c r="F70"/>
  <c r="I70" s="1"/>
  <c r="I69"/>
  <c r="F69"/>
  <c r="H69" s="1"/>
  <c r="I68"/>
  <c r="F68"/>
  <c r="H68" s="1"/>
  <c r="I67"/>
  <c r="H67"/>
  <c r="F67"/>
  <c r="I66"/>
  <c r="F66"/>
  <c r="H66" s="1"/>
  <c r="I65"/>
  <c r="H65"/>
  <c r="F65"/>
  <c r="I64"/>
  <c r="F64"/>
  <c r="H64" s="1"/>
  <c r="I63"/>
  <c r="F63"/>
  <c r="H63" s="1"/>
  <c r="I62"/>
  <c r="F62"/>
  <c r="H62" s="1"/>
  <c r="H60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E42"/>
  <c r="F42" s="1"/>
  <c r="F41"/>
  <c r="H41" s="1"/>
  <c r="E40"/>
  <c r="F40" s="1"/>
  <c r="I39"/>
  <c r="H39"/>
  <c r="F38"/>
  <c r="I38" s="1"/>
  <c r="I37"/>
  <c r="H37"/>
  <c r="H35"/>
  <c r="H34"/>
  <c r="F33"/>
  <c r="H33" s="1"/>
  <c r="E33"/>
  <c r="E32"/>
  <c r="F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6" i="34"/>
  <c r="I90"/>
  <c r="I88"/>
  <c r="H89"/>
  <c r="H88"/>
  <c r="I69"/>
  <c r="I63"/>
  <c r="I64"/>
  <c r="I65"/>
  <c r="I66"/>
  <c r="I67"/>
  <c r="I68"/>
  <c r="I62"/>
  <c r="I89"/>
  <c r="F85"/>
  <c r="I85" s="1"/>
  <c r="F84"/>
  <c r="H84" s="1"/>
  <c r="H82"/>
  <c r="I81"/>
  <c r="H81"/>
  <c r="H79"/>
  <c r="F77"/>
  <c r="H77" s="1"/>
  <c r="F76"/>
  <c r="H76" s="1"/>
  <c r="F75"/>
  <c r="H75" s="1"/>
  <c r="H74"/>
  <c r="F74"/>
  <c r="H73"/>
  <c r="F73"/>
  <c r="H72"/>
  <c r="F72"/>
  <c r="F70"/>
  <c r="H70" s="1"/>
  <c r="F69"/>
  <c r="H69" s="1"/>
  <c r="F68"/>
  <c r="F67"/>
  <c r="H67" s="1"/>
  <c r="F66"/>
  <c r="F65"/>
  <c r="H65" s="1"/>
  <c r="F64"/>
  <c r="F63"/>
  <c r="H63" s="1"/>
  <c r="F62"/>
  <c r="H62" s="1"/>
  <c r="H60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E42"/>
  <c r="F42" s="1"/>
  <c r="F41"/>
  <c r="I41" s="1"/>
  <c r="E40"/>
  <c r="F40" s="1"/>
  <c r="H40" s="1"/>
  <c r="I39"/>
  <c r="H39"/>
  <c r="F38"/>
  <c r="H38" s="1"/>
  <c r="I37"/>
  <c r="H37"/>
  <c r="H35"/>
  <c r="H34"/>
  <c r="F33"/>
  <c r="I33" s="1"/>
  <c r="E33"/>
  <c r="E32"/>
  <c r="F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92" i="33"/>
  <c r="I94" s="1"/>
  <c r="I91"/>
  <c r="I90"/>
  <c r="I89"/>
  <c r="H91"/>
  <c r="H90"/>
  <c r="H89"/>
  <c r="I88"/>
  <c r="F88"/>
  <c r="H88" s="1"/>
  <c r="H85"/>
  <c r="H86" s="1"/>
  <c r="F85"/>
  <c r="I85" s="1"/>
  <c r="F84"/>
  <c r="H84" s="1"/>
  <c r="H82"/>
  <c r="I81"/>
  <c r="H81"/>
  <c r="H79"/>
  <c r="H77"/>
  <c r="F77"/>
  <c r="H76"/>
  <c r="F76"/>
  <c r="H75"/>
  <c r="F75"/>
  <c r="H74"/>
  <c r="F74"/>
  <c r="H73"/>
  <c r="F73"/>
  <c r="H72"/>
  <c r="F72"/>
  <c r="F70"/>
  <c r="H70" s="1"/>
  <c r="F69"/>
  <c r="H69" s="1"/>
  <c r="H68"/>
  <c r="F68"/>
  <c r="I68" s="1"/>
  <c r="F67"/>
  <c r="H67" s="1"/>
  <c r="H66"/>
  <c r="F66"/>
  <c r="I66" s="1"/>
  <c r="F65"/>
  <c r="H65" s="1"/>
  <c r="H64"/>
  <c r="F64"/>
  <c r="I64" s="1"/>
  <c r="H63"/>
  <c r="F63"/>
  <c r="I62"/>
  <c r="F62"/>
  <c r="H62" s="1"/>
  <c r="H60"/>
  <c r="H58"/>
  <c r="H57"/>
  <c r="F57"/>
  <c r="I57" s="1"/>
  <c r="I54"/>
  <c r="F54"/>
  <c r="H54" s="1"/>
  <c r="I53"/>
  <c r="H53"/>
  <c r="F53"/>
  <c r="I52"/>
  <c r="H52"/>
  <c r="F51"/>
  <c r="H51" s="1"/>
  <c r="H50"/>
  <c r="F50"/>
  <c r="I50" s="1"/>
  <c r="F49"/>
  <c r="H49" s="1"/>
  <c r="H48"/>
  <c r="F48"/>
  <c r="I48" s="1"/>
  <c r="F47"/>
  <c r="H47" s="1"/>
  <c r="H46"/>
  <c r="F46"/>
  <c r="I46" s="1"/>
  <c r="F45"/>
  <c r="H45" s="1"/>
  <c r="I43"/>
  <c r="H43"/>
  <c r="E42"/>
  <c r="F42" s="1"/>
  <c r="H41"/>
  <c r="F41"/>
  <c r="I41" s="1"/>
  <c r="F40"/>
  <c r="H40" s="1"/>
  <c r="E40"/>
  <c r="I39"/>
  <c r="H39"/>
  <c r="F38"/>
  <c r="H38" s="1"/>
  <c r="I37"/>
  <c r="H37"/>
  <c r="H35"/>
  <c r="H34"/>
  <c r="H33"/>
  <c r="F33"/>
  <c r="I33" s="1"/>
  <c r="E33"/>
  <c r="E32"/>
  <c r="F32" s="1"/>
  <c r="H31"/>
  <c r="F31"/>
  <c r="I31" s="1"/>
  <c r="F30"/>
  <c r="H30" s="1"/>
  <c r="H27"/>
  <c r="F27"/>
  <c r="I27" s="1"/>
  <c r="F26"/>
  <c r="H26" s="1"/>
  <c r="H25"/>
  <c r="F25"/>
  <c r="I25" s="1"/>
  <c r="F24"/>
  <c r="H24" s="1"/>
  <c r="H23"/>
  <c r="F23"/>
  <c r="I23" s="1"/>
  <c r="F22"/>
  <c r="H22" s="1"/>
  <c r="H21"/>
  <c r="F21"/>
  <c r="I21" s="1"/>
  <c r="F20"/>
  <c r="H20" s="1"/>
  <c r="H19"/>
  <c r="F19"/>
  <c r="I19" s="1"/>
  <c r="F18"/>
  <c r="H18" s="1"/>
  <c r="E18"/>
  <c r="F17"/>
  <c r="H17" s="1"/>
  <c r="H16"/>
  <c r="F16"/>
  <c r="I16" s="1"/>
  <c r="I88" i="32"/>
  <c r="F88"/>
  <c r="H88" s="1"/>
  <c r="F85"/>
  <c r="I85" s="1"/>
  <c r="F84"/>
  <c r="H84" s="1"/>
  <c r="H82"/>
  <c r="I81"/>
  <c r="H81"/>
  <c r="H79"/>
  <c r="F77"/>
  <c r="H77" s="1"/>
  <c r="F76"/>
  <c r="H76" s="1"/>
  <c r="F75"/>
  <c r="H75" s="1"/>
  <c r="F74"/>
  <c r="H74" s="1"/>
  <c r="F73"/>
  <c r="H73" s="1"/>
  <c r="F72"/>
  <c r="H72" s="1"/>
  <c r="F70"/>
  <c r="H70" s="1"/>
  <c r="F69"/>
  <c r="H69" s="1"/>
  <c r="F68"/>
  <c r="I68" s="1"/>
  <c r="F67"/>
  <c r="H67" s="1"/>
  <c r="F66"/>
  <c r="I66" s="1"/>
  <c r="F65"/>
  <c r="H65" s="1"/>
  <c r="F64"/>
  <c r="I64" s="1"/>
  <c r="F63"/>
  <c r="H63" s="1"/>
  <c r="I62"/>
  <c r="F62"/>
  <c r="H62" s="1"/>
  <c r="H60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E42"/>
  <c r="F42" s="1"/>
  <c r="F41"/>
  <c r="I41" s="1"/>
  <c r="E40"/>
  <c r="F40" s="1"/>
  <c r="H40" s="1"/>
  <c r="I39"/>
  <c r="H39"/>
  <c r="F38"/>
  <c r="H38" s="1"/>
  <c r="I37"/>
  <c r="H37"/>
  <c r="H35"/>
  <c r="H34"/>
  <c r="F33"/>
  <c r="I33" s="1"/>
  <c r="E33"/>
  <c r="E32"/>
  <c r="F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89" i="31"/>
  <c r="H89"/>
  <c r="I88"/>
  <c r="I62"/>
  <c r="F88"/>
  <c r="H88" s="1"/>
  <c r="F85"/>
  <c r="I85" s="1"/>
  <c r="F84"/>
  <c r="H84" s="1"/>
  <c r="H82"/>
  <c r="I81"/>
  <c r="H81"/>
  <c r="H79"/>
  <c r="F77"/>
  <c r="H77" s="1"/>
  <c r="F76"/>
  <c r="H76" s="1"/>
  <c r="F75"/>
  <c r="H75" s="1"/>
  <c r="F74"/>
  <c r="H74" s="1"/>
  <c r="H73"/>
  <c r="F73"/>
  <c r="H72"/>
  <c r="F72"/>
  <c r="F70"/>
  <c r="H70" s="1"/>
  <c r="F69"/>
  <c r="H69" s="1"/>
  <c r="F68"/>
  <c r="I68" s="1"/>
  <c r="F67"/>
  <c r="H67" s="1"/>
  <c r="F66"/>
  <c r="I66" s="1"/>
  <c r="F65"/>
  <c r="H65" s="1"/>
  <c r="F64"/>
  <c r="I64" s="1"/>
  <c r="F63"/>
  <c r="H63" s="1"/>
  <c r="F62"/>
  <c r="H62" s="1"/>
  <c r="H60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E42"/>
  <c r="F42" s="1"/>
  <c r="F41"/>
  <c r="H41" s="1"/>
  <c r="E40"/>
  <c r="F40" s="1"/>
  <c r="I39"/>
  <c r="H39"/>
  <c r="F38"/>
  <c r="I38" s="1"/>
  <c r="I37"/>
  <c r="H37"/>
  <c r="H35"/>
  <c r="H34"/>
  <c r="F33"/>
  <c r="H33" s="1"/>
  <c r="E33"/>
  <c r="E32"/>
  <c r="F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6" i="30"/>
  <c r="I65"/>
  <c r="I66"/>
  <c r="I67"/>
  <c r="I68"/>
  <c r="I64"/>
  <c r="I18" i="35" l="1"/>
  <c r="H18"/>
  <c r="H32"/>
  <c r="I32"/>
  <c r="I40"/>
  <c r="H40"/>
  <c r="H42"/>
  <c r="I42"/>
  <c r="I16"/>
  <c r="H17"/>
  <c r="I19"/>
  <c r="H20"/>
  <c r="I21"/>
  <c r="H22"/>
  <c r="I23"/>
  <c r="H24"/>
  <c r="I25"/>
  <c r="H26"/>
  <c r="I27"/>
  <c r="H30"/>
  <c r="I31"/>
  <c r="I33"/>
  <c r="H38"/>
  <c r="I41"/>
  <c r="H45"/>
  <c r="I46"/>
  <c r="H47"/>
  <c r="I48"/>
  <c r="H49"/>
  <c r="I50"/>
  <c r="H51"/>
  <c r="I57"/>
  <c r="H70"/>
  <c r="H80" s="1"/>
  <c r="H84"/>
  <c r="I85"/>
  <c r="H16" i="34"/>
  <c r="H21"/>
  <c r="H25"/>
  <c r="H31"/>
  <c r="H33"/>
  <c r="H57"/>
  <c r="H85"/>
  <c r="H86" s="1"/>
  <c r="H19"/>
  <c r="H23"/>
  <c r="H27"/>
  <c r="H66"/>
  <c r="H64"/>
  <c r="H68"/>
  <c r="H48"/>
  <c r="H41"/>
  <c r="H46"/>
  <c r="H50"/>
  <c r="I42"/>
  <c r="H42"/>
  <c r="I32"/>
  <c r="H32"/>
  <c r="I17"/>
  <c r="I18"/>
  <c r="I20"/>
  <c r="I22"/>
  <c r="I24"/>
  <c r="I26"/>
  <c r="I30"/>
  <c r="I38"/>
  <c r="I40"/>
  <c r="I45"/>
  <c r="I47"/>
  <c r="I49"/>
  <c r="I51"/>
  <c r="I70"/>
  <c r="I84"/>
  <c r="I42" i="33"/>
  <c r="H42"/>
  <c r="I32"/>
  <c r="H32"/>
  <c r="H80"/>
  <c r="I17"/>
  <c r="I86" s="1"/>
  <c r="I18"/>
  <c r="I20"/>
  <c r="I22"/>
  <c r="I24"/>
  <c r="I26"/>
  <c r="I30"/>
  <c r="I38"/>
  <c r="I40"/>
  <c r="I45"/>
  <c r="I47"/>
  <c r="I49"/>
  <c r="I51"/>
  <c r="I65"/>
  <c r="I67"/>
  <c r="I70"/>
  <c r="I84"/>
  <c r="H19" i="32"/>
  <c r="H23"/>
  <c r="H27"/>
  <c r="H41"/>
  <c r="H46"/>
  <c r="H50"/>
  <c r="H57"/>
  <c r="H64"/>
  <c r="H68"/>
  <c r="H16"/>
  <c r="H21"/>
  <c r="H25"/>
  <c r="H31"/>
  <c r="H33"/>
  <c r="H48"/>
  <c r="H66"/>
  <c r="H85"/>
  <c r="H86" s="1"/>
  <c r="I89"/>
  <c r="I42"/>
  <c r="H42"/>
  <c r="I32"/>
  <c r="H32"/>
  <c r="H80"/>
  <c r="I17"/>
  <c r="I18"/>
  <c r="I20"/>
  <c r="I22"/>
  <c r="I24"/>
  <c r="I26"/>
  <c r="I30"/>
  <c r="I38"/>
  <c r="I40"/>
  <c r="I45"/>
  <c r="I47"/>
  <c r="I49"/>
  <c r="I51"/>
  <c r="I65"/>
  <c r="I67"/>
  <c r="I70"/>
  <c r="I84"/>
  <c r="I18" i="31"/>
  <c r="H18"/>
  <c r="H32"/>
  <c r="I32"/>
  <c r="I40"/>
  <c r="H40"/>
  <c r="H42"/>
  <c r="I42"/>
  <c r="I16"/>
  <c r="H17"/>
  <c r="I19"/>
  <c r="H20"/>
  <c r="I21"/>
  <c r="H22"/>
  <c r="I23"/>
  <c r="H24"/>
  <c r="I25"/>
  <c r="H26"/>
  <c r="I27"/>
  <c r="H30"/>
  <c r="I31"/>
  <c r="I33"/>
  <c r="H38"/>
  <c r="I41"/>
  <c r="H45"/>
  <c r="I46"/>
  <c r="H47"/>
  <c r="I48"/>
  <c r="H49"/>
  <c r="I50"/>
  <c r="H51"/>
  <c r="I57"/>
  <c r="H64"/>
  <c r="I65"/>
  <c r="H66"/>
  <c r="I67"/>
  <c r="H68"/>
  <c r="I70"/>
  <c r="I84"/>
  <c r="H85"/>
  <c r="H86" s="1"/>
  <c r="I94" i="35" l="1"/>
  <c r="I92" i="34"/>
  <c r="H80"/>
  <c r="I86" i="32"/>
  <c r="I91" s="1"/>
  <c r="I86" i="31"/>
  <c r="H80"/>
  <c r="I93"/>
  <c r="I92" i="30" l="1"/>
  <c r="I89"/>
  <c r="I90"/>
  <c r="I91"/>
  <c r="H91"/>
  <c r="H90"/>
  <c r="H89"/>
  <c r="F88"/>
  <c r="H88" s="1"/>
  <c r="F85"/>
  <c r="H85" s="1"/>
  <c r="F84"/>
  <c r="H84" s="1"/>
  <c r="H82"/>
  <c r="H81"/>
  <c r="H79"/>
  <c r="F77"/>
  <c r="H77" s="1"/>
  <c r="F76"/>
  <c r="H76" s="1"/>
  <c r="F75"/>
  <c r="H75" s="1"/>
  <c r="F74"/>
  <c r="H74" s="1"/>
  <c r="F73"/>
  <c r="H73" s="1"/>
  <c r="F72"/>
  <c r="H72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F62"/>
  <c r="H62" s="1"/>
  <c r="H60"/>
  <c r="H58"/>
  <c r="F57"/>
  <c r="H57" s="1"/>
  <c r="I45"/>
  <c r="I46"/>
  <c r="I47"/>
  <c r="I48"/>
  <c r="I49"/>
  <c r="I53"/>
  <c r="I52"/>
  <c r="F54"/>
  <c r="H54" s="1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I39"/>
  <c r="H43"/>
  <c r="E42"/>
  <c r="F42" s="1"/>
  <c r="H42" s="1"/>
  <c r="F41"/>
  <c r="H41" s="1"/>
  <c r="E40"/>
  <c r="F40" s="1"/>
  <c r="H40" s="1"/>
  <c r="H39"/>
  <c r="F38"/>
  <c r="H38" s="1"/>
  <c r="H37"/>
  <c r="H35"/>
  <c r="H34"/>
  <c r="F33"/>
  <c r="H33" s="1"/>
  <c r="E33"/>
  <c r="E32"/>
  <c r="F32" s="1"/>
  <c r="H32" s="1"/>
  <c r="F31"/>
  <c r="H31" s="1"/>
  <c r="F30"/>
  <c r="H30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H16" s="1"/>
  <c r="I70" l="1"/>
  <c r="I94" s="1"/>
  <c r="I50"/>
  <c r="I51"/>
  <c r="I41"/>
  <c r="I40"/>
  <c r="I21"/>
  <c r="I22"/>
  <c r="I24"/>
  <c r="I33"/>
  <c r="I32"/>
  <c r="I19"/>
  <c r="I20"/>
  <c r="I25"/>
  <c r="I23"/>
  <c r="I30"/>
  <c r="I31"/>
  <c r="I88" l="1"/>
  <c r="I85"/>
  <c r="I81"/>
  <c r="I54"/>
  <c r="I42"/>
  <c r="I38"/>
  <c r="I37"/>
  <c r="I26"/>
  <c r="I16"/>
  <c r="I85" i="29"/>
  <c r="I86" s="1"/>
  <c r="F85"/>
  <c r="H85" s="1"/>
  <c r="I84"/>
  <c r="H84"/>
  <c r="F81"/>
  <c r="I81" s="1"/>
  <c r="F80"/>
  <c r="H80" s="1"/>
  <c r="I78"/>
  <c r="H78"/>
  <c r="H76"/>
  <c r="H74"/>
  <c r="H73"/>
  <c r="I72"/>
  <c r="H72"/>
  <c r="H70"/>
  <c r="F69"/>
  <c r="H69" s="1"/>
  <c r="F68"/>
  <c r="H68" s="1"/>
  <c r="F67"/>
  <c r="H67" s="1"/>
  <c r="F66"/>
  <c r="H66" s="1"/>
  <c r="F65"/>
  <c r="H65" s="1"/>
  <c r="H64"/>
  <c r="I63"/>
  <c r="H63"/>
  <c r="H61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H43"/>
  <c r="F42"/>
  <c r="I42" s="1"/>
  <c r="F41"/>
  <c r="H41" s="1"/>
  <c r="H40"/>
  <c r="F39"/>
  <c r="H39" s="1"/>
  <c r="F38"/>
  <c r="I38" s="1"/>
  <c r="I37"/>
  <c r="H37"/>
  <c r="H35"/>
  <c r="H34"/>
  <c r="F33"/>
  <c r="H33" s="1"/>
  <c r="F32"/>
  <c r="H32" s="1"/>
  <c r="F31"/>
  <c r="H31" s="1"/>
  <c r="F30"/>
  <c r="H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87" i="28"/>
  <c r="I85"/>
  <c r="I84"/>
  <c r="H87"/>
  <c r="H86"/>
  <c r="H85"/>
  <c r="H84"/>
  <c r="I82"/>
  <c r="I72"/>
  <c r="I63"/>
  <c r="I53"/>
  <c r="I54"/>
  <c r="I52"/>
  <c r="I86"/>
  <c r="F81"/>
  <c r="H81" s="1"/>
  <c r="H82" s="1"/>
  <c r="F80"/>
  <c r="I80" s="1"/>
  <c r="I78"/>
  <c r="H78"/>
  <c r="H76"/>
  <c r="H74"/>
  <c r="H73"/>
  <c r="H72"/>
  <c r="H70"/>
  <c r="F69"/>
  <c r="H69" s="1"/>
  <c r="F68"/>
  <c r="H68" s="1"/>
  <c r="F67"/>
  <c r="H67" s="1"/>
  <c r="F66"/>
  <c r="H66" s="1"/>
  <c r="F65"/>
  <c r="H65" s="1"/>
  <c r="H64"/>
  <c r="H63"/>
  <c r="H61"/>
  <c r="F59"/>
  <c r="I59" s="1"/>
  <c r="I56"/>
  <c r="F56"/>
  <c r="H56" s="1"/>
  <c r="I55"/>
  <c r="F55"/>
  <c r="H55" s="1"/>
  <c r="H54"/>
  <c r="F53"/>
  <c r="H53" s="1"/>
  <c r="F52"/>
  <c r="H52" s="1"/>
  <c r="F51"/>
  <c r="I51" s="1"/>
  <c r="H50"/>
  <c r="F50"/>
  <c r="H49"/>
  <c r="F49"/>
  <c r="H48"/>
  <c r="F48"/>
  <c r="H47"/>
  <c r="F47"/>
  <c r="H46"/>
  <c r="F46"/>
  <c r="I44"/>
  <c r="H44"/>
  <c r="F42"/>
  <c r="I42" s="1"/>
  <c r="F41"/>
  <c r="H41" s="1"/>
  <c r="H40"/>
  <c r="F39"/>
  <c r="H39" s="1"/>
  <c r="F38"/>
  <c r="I38" s="1"/>
  <c r="I37"/>
  <c r="H37"/>
  <c r="H35"/>
  <c r="H34"/>
  <c r="H33"/>
  <c r="F33"/>
  <c r="H32"/>
  <c r="F32"/>
  <c r="H31"/>
  <c r="F31"/>
  <c r="H30"/>
  <c r="F30"/>
  <c r="F27"/>
  <c r="H27" s="1"/>
  <c r="H26"/>
  <c r="F26"/>
  <c r="I26" s="1"/>
  <c r="H25"/>
  <c r="F25"/>
  <c r="H24"/>
  <c r="F24"/>
  <c r="H23"/>
  <c r="F23"/>
  <c r="H22"/>
  <c r="F22"/>
  <c r="H21"/>
  <c r="F21"/>
  <c r="H20"/>
  <c r="F20"/>
  <c r="H19"/>
  <c r="F19"/>
  <c r="F18"/>
  <c r="H18" s="1"/>
  <c r="E18"/>
  <c r="F17"/>
  <c r="H17" s="1"/>
  <c r="H16"/>
  <c r="F16"/>
  <c r="I16" s="1"/>
  <c r="I87" i="27"/>
  <c r="H80" i="30" l="1"/>
  <c r="H86"/>
  <c r="I18"/>
  <c r="I17"/>
  <c r="I27"/>
  <c r="I43"/>
  <c r="I57"/>
  <c r="I84"/>
  <c r="H16" i="29"/>
  <c r="H38"/>
  <c r="H81"/>
  <c r="H82" s="1"/>
  <c r="H26"/>
  <c r="H42"/>
  <c r="H77"/>
  <c r="H53"/>
  <c r="H51"/>
  <c r="I17"/>
  <c r="I82" s="1"/>
  <c r="I18"/>
  <c r="I27"/>
  <c r="I39"/>
  <c r="I41"/>
  <c r="I52"/>
  <c r="I59"/>
  <c r="I80"/>
  <c r="I88" i="28"/>
  <c r="H51"/>
  <c r="I17"/>
  <c r="I90" s="1"/>
  <c r="I18"/>
  <c r="I27"/>
  <c r="H38"/>
  <c r="I39"/>
  <c r="I41"/>
  <c r="H42"/>
  <c r="H59"/>
  <c r="H77" s="1"/>
  <c r="H80"/>
  <c r="I81"/>
  <c r="I88" i="29" l="1"/>
  <c r="I84" i="27" l="1"/>
  <c r="H87"/>
  <c r="H86"/>
  <c r="H85"/>
  <c r="I78"/>
  <c r="I86"/>
  <c r="I85"/>
  <c r="H84"/>
  <c r="F81"/>
  <c r="I81" s="1"/>
  <c r="F80"/>
  <c r="H80" s="1"/>
  <c r="H78"/>
  <c r="H76"/>
  <c r="H74"/>
  <c r="H73"/>
  <c r="H72"/>
  <c r="H70"/>
  <c r="F69"/>
  <c r="H69" s="1"/>
  <c r="F68"/>
  <c r="H68" s="1"/>
  <c r="F67"/>
  <c r="H67" s="1"/>
  <c r="F66"/>
  <c r="H66" s="1"/>
  <c r="F65"/>
  <c r="H65" s="1"/>
  <c r="H64"/>
  <c r="H63"/>
  <c r="H61"/>
  <c r="F59"/>
  <c r="I59" s="1"/>
  <c r="I56"/>
  <c r="F56"/>
  <c r="H56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F33"/>
  <c r="H33" s="1"/>
  <c r="F32"/>
  <c r="H32" s="1"/>
  <c r="F31"/>
  <c r="H31" s="1"/>
  <c r="F30"/>
  <c r="H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F91" i="17"/>
  <c r="H91" s="1"/>
  <c r="I90"/>
  <c r="H90"/>
  <c r="I89"/>
  <c r="H89"/>
  <c r="I88"/>
  <c r="H88"/>
  <c r="I87"/>
  <c r="H87"/>
  <c r="I86"/>
  <c r="H86"/>
  <c r="I85"/>
  <c r="H85"/>
  <c r="I84"/>
  <c r="H84"/>
  <c r="F81"/>
  <c r="F80"/>
  <c r="H80" s="1"/>
  <c r="H78"/>
  <c r="H76"/>
  <c r="H74"/>
  <c r="H73"/>
  <c r="H72"/>
  <c r="H70"/>
  <c r="F69"/>
  <c r="H69" s="1"/>
  <c r="F68"/>
  <c r="H68" s="1"/>
  <c r="F67"/>
  <c r="H67" s="1"/>
  <c r="F66"/>
  <c r="H66" s="1"/>
  <c r="F65"/>
  <c r="H65" s="1"/>
  <c r="H64"/>
  <c r="H63"/>
  <c r="H61"/>
  <c r="F59"/>
  <c r="H59" s="1"/>
  <c r="I56"/>
  <c r="F56"/>
  <c r="H56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F33"/>
  <c r="H33" s="1"/>
  <c r="F32"/>
  <c r="H32" s="1"/>
  <c r="F31"/>
  <c r="H31" s="1"/>
  <c r="F30"/>
  <c r="H30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H26" i="27" l="1"/>
  <c r="H42"/>
  <c r="H81"/>
  <c r="H82" s="1"/>
  <c r="H16"/>
  <c r="H38"/>
  <c r="H51"/>
  <c r="H59"/>
  <c r="H77" s="1"/>
  <c r="I17"/>
  <c r="I18"/>
  <c r="I27"/>
  <c r="I39"/>
  <c r="I41"/>
  <c r="I43"/>
  <c r="I80"/>
  <c r="I88"/>
  <c r="I92" i="17"/>
  <c r="H16"/>
  <c r="H51"/>
  <c r="I91"/>
  <c r="H81"/>
  <c r="I81"/>
  <c r="I80"/>
  <c r="I59"/>
  <c r="H38"/>
  <c r="I39"/>
  <c r="I41"/>
  <c r="H42"/>
  <c r="I43"/>
  <c r="I27"/>
  <c r="I26"/>
  <c r="I17"/>
  <c r="I18"/>
  <c r="I90" i="27" l="1"/>
  <c r="H77" i="17" l="1"/>
  <c r="H82"/>
  <c r="I94" l="1"/>
</calcChain>
</file>

<file path=xl/sharedStrings.xml><?xml version="1.0" encoding="utf-8"?>
<sst xmlns="http://schemas.openxmlformats.org/spreadsheetml/2006/main" count="2672" uniqueCount="242">
  <si>
    <t>№ позиции</t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</si>
  <si>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</si>
  <si>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</si>
  <si>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</si>
  <si>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</si>
  <si>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</si>
  <si>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</si>
  <si>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</si>
  <si>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</si>
  <si>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</si>
  <si>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</si>
  <si>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</si>
  <si>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</si>
  <si>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</si>
  <si>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</si>
  <si>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</si>
  <si>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</si>
  <si>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</si>
  <si>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</si>
  <si>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</si>
  <si>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</si>
  <si>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</si>
  <si>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</si>
  <si>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</si>
  <si>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</si>
  <si>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</si>
  <si>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</si>
  <si>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</si>
  <si>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</si>
  <si>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</si>
  <si>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</si>
  <si>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</si>
  <si>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</si>
  <si>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</si>
  <si>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</si>
  <si>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</si>
  <si>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</si>
  <si>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</si>
  <si>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</si>
  <si>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</si>
  <si>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</si>
  <si>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</si>
  <si>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</si>
  <si>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</si>
  <si>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</si>
  <si>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</si>
  <si>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</si>
  <si>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</si>
  <si>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</si>
  <si>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</si>
  <si>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</si>
  <si>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</si>
  <si>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</si>
  <si>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</si>
  <si>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</si>
  <si>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</si>
  <si>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</si>
  <si>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</si>
  <si>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Работы по текущему ремонту и по заявкам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</si>
  <si>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</si>
  <si>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</si>
  <si>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</si>
  <si>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</si>
  <si>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</si>
  <si>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</si>
  <si>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</si>
  <si>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</si>
  <si>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</si>
  <si>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</si>
  <si>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</si>
  <si>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</si>
  <si>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</si>
  <si>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</si>
  <si>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</si>
  <si>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</si>
  <si>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</si>
  <si>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</si>
  <si>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</si>
  <si>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</si>
  <si>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</si>
  <si>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ежедневно </t>
  </si>
  <si>
    <t>ООО «Жилсервис»</t>
  </si>
  <si>
    <t>Влажное подметание лестничных клеток 1 этажа</t>
  </si>
  <si>
    <t>III. Содержание общего имущества</t>
  </si>
  <si>
    <t>генеральный директор Куканов Ю.Л.</t>
  </si>
  <si>
    <t>Сдвигание снега в дни снегопада (проезд)</t>
  </si>
  <si>
    <t>10 м2</t>
  </si>
  <si>
    <t>Влажное подметание лестничных клеток 2-5 этажа</t>
  </si>
  <si>
    <t>Мытье лестничных  площадок и маршей 1-5 этаж.</t>
  </si>
  <si>
    <t xml:space="preserve">приемки оказанных услуг и выполненных работ по содержанию и текущему ремонту
общего имущества в многоквартирном доме №4 по ул.Космонавтов пгт.Ярега
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</si>
  <si>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</si>
  <si>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</si>
  <si>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</si>
  <si>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</si>
  <si>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</si>
  <si>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</si>
  <si>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</si>
  <si>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</si>
  <si>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</si>
  <si>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</si>
  <si>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1000м2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</si>
  <si>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</si>
  <si>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</si>
  <si>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</si>
  <si>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</si>
  <si>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</si>
  <si>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</si>
  <si>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</si>
  <si>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Замена ламп ДРЛ</t>
  </si>
  <si>
    <t>Прочистка каналов</t>
  </si>
  <si>
    <t xml:space="preserve"> </t>
  </si>
  <si>
    <t xml:space="preserve">Смена сгонов у трубопроводов диаметром до 20 мм </t>
  </si>
  <si>
    <t>1 сгон</t>
  </si>
  <si>
    <t>156 раз в год</t>
  </si>
  <si>
    <t>104 раза в год</t>
  </si>
  <si>
    <t xml:space="preserve">24 раза в год </t>
  </si>
  <si>
    <t>3м</t>
  </si>
  <si>
    <t>1 соединение</t>
  </si>
  <si>
    <t>АКТ №1</t>
  </si>
  <si>
    <t>Вывоз смета,травы,ветвей и т.п.- м/ч</t>
  </si>
  <si>
    <t>12 раз за сезон</t>
  </si>
  <si>
    <t>Сдвигание снега в дни снегопада (крыльца, тротуары)</t>
  </si>
  <si>
    <t>30 раз за сезон</t>
  </si>
  <si>
    <t>Вывоз снега с придомовой территории</t>
  </si>
  <si>
    <t>1м3</t>
  </si>
  <si>
    <t>155 раз за сезон</t>
  </si>
  <si>
    <t>24 раза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</si>
  <si>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</si>
  <si>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</si>
  <si>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</si>
  <si>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</si>
  <si>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Проверка дымоходов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</si>
  <si>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</si>
  <si>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</si>
  <si>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Аварийно-диспетчерское обслуживание</t>
  </si>
  <si>
    <t>Работа автовышки</t>
  </si>
  <si>
    <t>маш/час</t>
  </si>
  <si>
    <t>Ремонт и регулировка доводчика (со стоимостью доводчика)</t>
  </si>
  <si>
    <t>1шт.</t>
  </si>
  <si>
    <t>Внеплановый осмотр электросетей, армазуры и электрооборудования на лестничных клетках</t>
  </si>
  <si>
    <t>1 шт</t>
  </si>
  <si>
    <t>III. Плановые осмотры</t>
  </si>
  <si>
    <t>IV. Содержание общего имущества</t>
  </si>
  <si>
    <t>V. Прочие услуги</t>
  </si>
  <si>
    <t>АКТ №2</t>
  </si>
  <si>
    <t>АКТ №3</t>
  </si>
  <si>
    <t>АКТ №4</t>
  </si>
  <si>
    <t>АКТ №5</t>
  </si>
  <si>
    <t>АКТ №6</t>
  </si>
  <si>
    <t>АКТ №7</t>
  </si>
  <si>
    <t>АКТ №8</t>
  </si>
  <si>
    <t>IV. Прочие услуги</t>
  </si>
  <si>
    <t>АКТ №9</t>
  </si>
  <si>
    <t>АКТ №10</t>
  </si>
  <si>
    <t>за период с 01.01.2017 г. по 31.01.2017 г.</t>
  </si>
  <si>
    <r>
      <t xml:space="preserve">    Собственники   помещений   в многоквартирном доме, расположенном по адресу:  пгт.Ярега, ул.Космонавтов, д.4,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22.11.2013г. стороны,  и ООО «Жилсервис»,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</si>
  <si>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</si>
  <si>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Обязательные работы по содержанию общего имущества собственников помещений в многоквартирном доме</t>
  </si>
  <si>
    <t>II. Уборка земельного участка</t>
  </si>
  <si>
    <t>Летняя уборка</t>
  </si>
  <si>
    <t>Уборка газонов</t>
  </si>
  <si>
    <t>Подметание территории с усовершенствованным покрытием асф.: крыльца, контейнерн пл., проезд, тротуар</t>
  </si>
  <si>
    <t>Уборка контейнерной площадки (16 кв.м.)</t>
  </si>
  <si>
    <t>52 раза в сезон</t>
  </si>
  <si>
    <t>78 раз за сезон</t>
  </si>
  <si>
    <t>5 раз в год</t>
  </si>
  <si>
    <t>Прочистка засоров канализации</t>
  </si>
  <si>
    <t>Смена полиэтиленовых канализационных труб 110×1000 мм</t>
  </si>
  <si>
    <t>1 м</t>
  </si>
  <si>
    <t>Заделка стыков соединений стояков внутренних водостоков</t>
  </si>
  <si>
    <t>Укрепление перил</t>
  </si>
  <si>
    <t>100 м</t>
  </si>
  <si>
    <t>Тройник 100×50×100</t>
  </si>
  <si>
    <t>Переход 100×50</t>
  </si>
  <si>
    <t>Итого затраты за месяц</t>
  </si>
  <si>
    <t>за период с 01.02.2017 г. по 28.02.2017 г.</t>
  </si>
  <si>
    <t>Устройство хомутов диаметров до 50 мм</t>
  </si>
  <si>
    <t>место</t>
  </si>
  <si>
    <t>за период с 01.03.2017 г. по 31.03.2017 г.</t>
  </si>
  <si>
    <t>Смена трубопроводов на полипропиленовые трубы PN25 диаметром 20 мм</t>
  </si>
  <si>
    <t>Смена внутренних трубопроводов из стальных труб диаметром до 40 мм</t>
  </si>
  <si>
    <t>2. Всего за период с 01.03.2017 г. по 31.03.2017 г. выполнено работ (оказано услуг) на общую сумму: 54308,83 руб.</t>
  </si>
  <si>
    <t>(пятьдесят четыре тысячи триста восемь рублей 83 копейки)</t>
  </si>
  <si>
    <t>за период с 01.04.2017 г. по 30.04.2017 г.</t>
  </si>
  <si>
    <t>Заделка окон фанерой</t>
  </si>
  <si>
    <t>2. Всего за период с 01.04.2017 г. по 30.04.2017 г. выполнено работ (оказано услуг) на общую сумму: 48328,97 руб.</t>
  </si>
  <si>
    <t>(сорок восемь тысяч триста двадцать восемь рублей 97 копеек)</t>
  </si>
  <si>
    <t>за период с 01.05.2017 г. по 31.05.2017 г.</t>
  </si>
  <si>
    <r>
      <t xml:space="preserve">    Собственники   помещений   в многоквартирном доме, расположенном по адресу:  пгт.Ярега, ул.Космонавтов, д.4,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28.04.2017г. стороны,  и ООО «Жилсервис»,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</si>
  <si>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Сдвигание снега в дни снегопада</t>
  </si>
  <si>
    <t>35 раз за сезон</t>
  </si>
  <si>
    <t>20 раз за сезон</t>
  </si>
  <si>
    <t>Техническое обслуживание внутренних сетей водопровода и канализации</t>
  </si>
  <si>
    <t>руб/м2 в мес</t>
  </si>
  <si>
    <t>Смена светодиодных светильников в.о. (со стоимостью светильника)</t>
  </si>
  <si>
    <t>Смена выключателей</t>
  </si>
  <si>
    <t>Смена светильника РКУ</t>
  </si>
  <si>
    <t>Снятие показаний с общедомовых приборов учёта электрической энергии и холодной воды</t>
  </si>
  <si>
    <t>Техническое диагностирование ВДГО</t>
  </si>
  <si>
    <t>2. Всего за период с 01.05.2017 г. по 31.05.2017 г. выполнено работ (оказано услуг) на общую сумму: 190107,32 руб.</t>
  </si>
  <si>
    <t>(сто девяносто тысяч сто семь рублей 32 копейки)</t>
  </si>
  <si>
    <t>за период с 01.06.2017 г. по 30.06.2017 г.</t>
  </si>
  <si>
    <t>Смена арматуры - вентилей и клапанов обратных муфтовых диаметром до 20 мм</t>
  </si>
  <si>
    <t>за период с 01.07.2017 г. по 31.07.2017 г.</t>
  </si>
  <si>
    <t>Простая масляная окраска ранее окрашенных входных металлических дверей (I, II, III, IV под.)</t>
  </si>
  <si>
    <t>(пятьдесят две тысячи пятьсот семьдесят два рубля 08 копеек)</t>
  </si>
  <si>
    <t>за период с 01.08.2017 г. по 31.08.2017 г.</t>
  </si>
  <si>
    <t xml:space="preserve">Герметизация стыков трубопроводов    </t>
  </si>
  <si>
    <t>1 место</t>
  </si>
  <si>
    <t>Замена фотоэлемента (без стоимости фотоэлемента)</t>
  </si>
  <si>
    <t>фотоэл.</t>
  </si>
  <si>
    <t>2. Всего за период с 01.07.2017 г. по 31.07.2017 г. выполнено работ (оказано услуг) на общую сумму: 52572,08 руб.</t>
  </si>
  <si>
    <t>2. Всего за период с 01.08.2017 г. по 31.08.2017 г. выполнено работ (оказано услуг) на общую сумму: 63561,82 руб.</t>
  </si>
  <si>
    <t>(шестьдесят три тысячи пятьсот шестьдесят один рубль 82 копейки)</t>
  </si>
  <si>
    <t>за период с 01.09.2017 г. по 30.09.2017 г.</t>
  </si>
  <si>
    <t>Смена вентилей диаметром до 20 мм (без учёта материала)</t>
  </si>
  <si>
    <t>Установка заглушек диаметром трубопроводов до 100 мм</t>
  </si>
  <si>
    <t>заглушка</t>
  </si>
  <si>
    <t>2. Всего за период с 01.09.2017 г. по 30.09.2017 г. выполнено работ (оказано услуг) на общую сумму: 95316,58 руб.</t>
  </si>
  <si>
    <t>(девяносто пять тысяч триста шестнадцать рублей 58 копеек)</t>
  </si>
  <si>
    <t>за период с 01.10.2017 г. по 31.10.2017 г.</t>
  </si>
  <si>
    <t xml:space="preserve">Уплотнение сгонов с применением льняной пряди или асбестового шнура (без разборки сгонов) </t>
  </si>
  <si>
    <t>2. Всего за период с 01.10.2017 г. по 31.10.2017 г. выполнено работ (оказано услуг) на общую сумму: 52801,43 руб.</t>
  </si>
  <si>
    <t>(пятьдесят две тысячи восемьсот один рубль 43 копейки)</t>
  </si>
  <si>
    <t>АКТ №11</t>
  </si>
  <si>
    <t>за период с 01.11.2017 г. по 30.11.2017 г.</t>
  </si>
  <si>
    <t>АКТ №12</t>
  </si>
  <si>
    <t>за период с 01.12.2017 г. по 31.12.2017 г.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</si>
  <si>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д.4</t>
    </r>
  </si>
  <si>
    <t>2. Всего за период с 01.01.2017 г. по 31.01.2017 г. выполнено работ (оказано услуг) на общую сумму: 69587,82 руб.</t>
  </si>
  <si>
    <t>(шестьдесят девять тысяч пятьсот восемьдесят семь рублей 82 копейки)</t>
  </si>
  <si>
    <t>2. Всего за период с 01.02.2017 г. по 28.02.2017 г. выполнено работ (оказано услуг) на общую сумму: 80528,46 руб.</t>
  </si>
  <si>
    <t>(восемьдесят тысяч пятьсот двадцать восемь рублей 46 копеек)</t>
  </si>
  <si>
    <t>15 раз за сезон</t>
  </si>
  <si>
    <t>Сверхнормативы по ОДП за 1 полугодие</t>
  </si>
  <si>
    <t>2. Всего за период с 01.06.2017 г. по 30.06.2017 г. выполнено работ (оказано услуг) на общую сумму: 72976,49 руб.</t>
  </si>
  <si>
    <t>(семьдесят две тысячи девятьсот семьдесят шесть рублей 49 копеек)</t>
  </si>
  <si>
    <t>2. Всего за период с 01.11.2017 г. по 30.11.2017 г. выполнено работ (оказано услуг) на общую сумму: 59374,89 руб.</t>
  </si>
  <si>
    <t>(пятьдесят девять тысяч триста семьдесят четыре рубля 89 копеек)</t>
  </si>
  <si>
    <t>Сверхнормативы по ОДП за 2 полугодие</t>
  </si>
  <si>
    <t>2. Всего за период с 01.12.2017 г. по 31.12.2017 г. выполнено работ (оказано услуг) на общую сумму: 81802,80 руб.</t>
  </si>
  <si>
    <t>(восемьдесят одна тысяча восемьсот два рубля 80 копеек)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</si>
</sst>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67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0" fillId="0" borderId="0" xfId="0" applyFill="1"/>
    <xf numFmtId="0" fontId="0" fillId="0" borderId="0" xfId="0" applyBorder="1"/>
    <xf numFmtId="0" fontId="2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right" vertical="top"/>
    </xf>
    <xf numFmtId="0" fontId="15" fillId="0" borderId="0" xfId="0" applyFont="1" applyAlignment="1"/>
    <xf numFmtId="14" fontId="1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8" fillId="0" borderId="0" xfId="0" applyFont="1"/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9" fillId="0" borderId="3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4" fontId="11" fillId="0" borderId="1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5" fillId="0" borderId="0" xfId="0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8" fillId="0" borderId="0" xfId="0" applyFont="1" applyFill="1"/>
    <xf numFmtId="0" fontId="13" fillId="0" borderId="0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9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 wrapText="1"/>
    </xf>
    <xf numFmtId="4" fontId="11" fillId="4" borderId="13" xfId="0" applyNumberFormat="1" applyFont="1" applyFill="1" applyBorder="1" applyAlignment="1">
      <alignment horizontal="center" vertical="center"/>
    </xf>
    <xf numFmtId="4" fontId="11" fillId="2" borderId="20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11" fillId="3" borderId="9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29" t="s">
        <v>81</v>
      </c>
      <c r="I1" s="28"/>
    </row>
    <row r="2" spans="1:15" s="25" customFormat="1" ht="15.75" customHeight="1">
      <c r="A2" s="25" t="s">
        <v>59</v>
      </c>
      <c r="J2" s="1"/>
      <c r="K2" s="1"/>
      <c r="L2" s="1"/>
      <c r="M2" s="1"/>
    </row>
    <row r="3" spans="1:15" s="25" customFormat="1" ht="15.75">
      <c r="A3" s="142" t="s">
        <v>118</v>
      </c>
      <c r="B3" s="142"/>
      <c r="C3" s="142"/>
      <c r="D3" s="142"/>
      <c r="E3" s="142"/>
      <c r="F3" s="142"/>
      <c r="G3" s="142"/>
      <c r="H3" s="142"/>
      <c r="I3" s="142"/>
      <c r="J3" s="2"/>
      <c r="K3" s="2"/>
      <c r="L3" s="2"/>
      <c r="M3" s="2"/>
    </row>
    <row r="4" spans="1:15" s="25" customFormat="1" ht="31.5" customHeight="1">
      <c r="A4" s="143" t="s">
        <v>89</v>
      </c>
      <c r="B4" s="143"/>
      <c r="C4" s="143"/>
      <c r="D4" s="143"/>
      <c r="E4" s="143"/>
      <c r="F4" s="143"/>
      <c r="G4" s="143"/>
      <c r="H4" s="143"/>
      <c r="I4" s="143"/>
      <c r="J4" s="3"/>
      <c r="K4" s="3"/>
      <c r="L4" s="3"/>
    </row>
    <row r="5" spans="1:15" s="25" customFormat="1" ht="15.75" customHeight="1">
      <c r="A5" s="142" t="s">
        <v>154</v>
      </c>
      <c r="B5" s="144"/>
      <c r="C5" s="144"/>
      <c r="D5" s="144"/>
      <c r="E5" s="144"/>
      <c r="F5" s="144"/>
      <c r="G5" s="144"/>
      <c r="H5" s="144"/>
      <c r="I5" s="144"/>
    </row>
    <row r="6" spans="1:15" s="25" customFormat="1" ht="15.75">
      <c r="A6" s="2"/>
      <c r="B6" s="96"/>
      <c r="C6" s="96"/>
      <c r="D6" s="96"/>
      <c r="E6" s="96"/>
      <c r="F6" s="96"/>
      <c r="G6" s="96"/>
      <c r="H6" s="96"/>
      <c r="I6" s="30">
        <v>42766</v>
      </c>
      <c r="J6" s="2"/>
      <c r="K6" s="2"/>
      <c r="L6" s="2"/>
      <c r="M6" s="2"/>
    </row>
    <row r="7" spans="1:15" ht="15.75">
      <c r="B7" s="58"/>
      <c r="C7" s="58"/>
      <c r="D7" s="58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45" t="s">
        <v>155</v>
      </c>
      <c r="B8" s="145"/>
      <c r="C8" s="145"/>
      <c r="D8" s="145"/>
      <c r="E8" s="145"/>
      <c r="F8" s="145"/>
      <c r="G8" s="145"/>
      <c r="H8" s="145"/>
      <c r="I8" s="145"/>
      <c r="J8" s="5"/>
      <c r="K8" s="5"/>
      <c r="L8" s="5"/>
      <c r="M8" s="5"/>
    </row>
    <row r="9" spans="1:15" ht="15.75">
      <c r="A9" s="4"/>
      <c r="J9" s="2"/>
      <c r="K9" s="2"/>
      <c r="L9" s="2"/>
      <c r="M9" s="2"/>
    </row>
    <row r="10" spans="1:15" ht="47.25" customHeight="1">
      <c r="A10" s="146" t="s">
        <v>228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108" t="s">
        <v>0</v>
      </c>
      <c r="B12" s="108" t="s">
        <v>156</v>
      </c>
      <c r="C12" s="108" t="s">
        <v>1</v>
      </c>
      <c r="D12" s="108" t="s">
        <v>18</v>
      </c>
      <c r="E12" s="108" t="s">
        <v>19</v>
      </c>
      <c r="F12" s="108"/>
      <c r="G12" s="108" t="s">
        <v>22</v>
      </c>
      <c r="H12" s="108"/>
      <c r="I12" s="108" t="s">
        <v>2</v>
      </c>
    </row>
    <row r="13" spans="1:15" s="49" customFormat="1" ht="12.75">
      <c r="A13" s="109">
        <v>1</v>
      </c>
      <c r="B13" s="109">
        <v>2</v>
      </c>
      <c r="C13" s="109">
        <v>3</v>
      </c>
      <c r="D13" s="110">
        <v>4</v>
      </c>
      <c r="E13" s="109">
        <v>5</v>
      </c>
      <c r="F13" s="109"/>
      <c r="G13" s="109">
        <v>5</v>
      </c>
      <c r="H13" s="109"/>
      <c r="I13" s="109">
        <v>6</v>
      </c>
      <c r="J13" s="111"/>
      <c r="K13" s="111"/>
      <c r="L13" s="111"/>
      <c r="M13" s="111"/>
    </row>
    <row r="14" spans="1:15" ht="15.75" customHeight="1">
      <c r="A14" s="137" t="s">
        <v>157</v>
      </c>
      <c r="B14" s="138"/>
      <c r="C14" s="138"/>
      <c r="D14" s="138"/>
      <c r="E14" s="138"/>
      <c r="F14" s="138"/>
      <c r="G14" s="138"/>
      <c r="H14" s="138"/>
      <c r="I14" s="138"/>
      <c r="J14" s="112"/>
      <c r="K14" s="112"/>
      <c r="L14" s="6"/>
      <c r="M14" s="6"/>
      <c r="N14" s="6"/>
      <c r="O14" s="6"/>
    </row>
    <row r="15" spans="1:15" ht="15.75" customHeight="1">
      <c r="A15" s="134" t="s">
        <v>3</v>
      </c>
      <c r="B15" s="135"/>
      <c r="C15" s="135"/>
      <c r="D15" s="135"/>
      <c r="E15" s="135"/>
      <c r="F15" s="135"/>
      <c r="G15" s="135"/>
      <c r="H15" s="135"/>
      <c r="I15" s="136"/>
      <c r="J15" s="6"/>
      <c r="K15" s="6"/>
      <c r="L15" s="6"/>
      <c r="M15" s="6"/>
    </row>
    <row r="16" spans="1:15" ht="15.75" customHeight="1">
      <c r="A16" s="26">
        <v>1</v>
      </c>
      <c r="B16" s="52" t="s">
        <v>82</v>
      </c>
      <c r="C16" s="68" t="s">
        <v>90</v>
      </c>
      <c r="D16" s="52" t="s">
        <v>113</v>
      </c>
      <c r="E16" s="69">
        <v>59.9</v>
      </c>
      <c r="F16" s="70">
        <f>SUM(E16*156/100)</f>
        <v>93.444000000000003</v>
      </c>
      <c r="G16" s="70">
        <v>175.38</v>
      </c>
      <c r="H16" s="71">
        <f t="shared" ref="H16:H27" si="0">SUM(F16*G16/1000)</f>
        <v>16.388208719999998</v>
      </c>
      <c r="I16" s="12">
        <f>F16/12*G16</f>
        <v>1365.68406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87</v>
      </c>
      <c r="C17" s="68" t="s">
        <v>90</v>
      </c>
      <c r="D17" s="52" t="s">
        <v>114</v>
      </c>
      <c r="E17" s="69">
        <v>239.4</v>
      </c>
      <c r="F17" s="70">
        <f>SUM(E17*104/100)</f>
        <v>248.97600000000003</v>
      </c>
      <c r="G17" s="70">
        <v>175.38</v>
      </c>
      <c r="H17" s="71">
        <f t="shared" si="0"/>
        <v>43.665410880000003</v>
      </c>
      <c r="I17" s="12">
        <f>F17/12*G17</f>
        <v>3638.78424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88</v>
      </c>
      <c r="C18" s="68" t="s">
        <v>90</v>
      </c>
      <c r="D18" s="52" t="s">
        <v>115</v>
      </c>
      <c r="E18" s="69">
        <f>SUM(E16+E17)</f>
        <v>299.3</v>
      </c>
      <c r="F18" s="70">
        <f>SUM(E18*24/100)</f>
        <v>71.832000000000008</v>
      </c>
      <c r="G18" s="70">
        <v>504.5</v>
      </c>
      <c r="H18" s="71">
        <f t="shared" si="0"/>
        <v>36.239244000000006</v>
      </c>
      <c r="I18" s="12">
        <f>F18/12*G18</f>
        <v>3019.9370000000004</v>
      </c>
      <c r="J18" s="21"/>
      <c r="K18" s="6"/>
      <c r="L18" s="6"/>
      <c r="M18" s="6"/>
    </row>
    <row r="19" spans="1:13" ht="15.75" hidden="1" customHeight="1">
      <c r="A19" s="26"/>
      <c r="B19" s="52" t="s">
        <v>91</v>
      </c>
      <c r="C19" s="68" t="s">
        <v>92</v>
      </c>
      <c r="D19" s="52" t="s">
        <v>93</v>
      </c>
      <c r="E19" s="69">
        <v>40</v>
      </c>
      <c r="F19" s="70">
        <f>SUM(E19/10)</f>
        <v>4</v>
      </c>
      <c r="G19" s="70">
        <v>170.16</v>
      </c>
      <c r="H19" s="71">
        <f>SUM(F19*G19/1000)</f>
        <v>0.68064000000000002</v>
      </c>
      <c r="I19" s="12">
        <v>0</v>
      </c>
      <c r="J19" s="21"/>
      <c r="K19" s="6"/>
      <c r="L19" s="6"/>
      <c r="M19" s="6"/>
    </row>
    <row r="20" spans="1:13" ht="15.75" hidden="1" customHeight="1">
      <c r="A20" s="26"/>
      <c r="B20" s="52" t="s">
        <v>94</v>
      </c>
      <c r="C20" s="68" t="s">
        <v>90</v>
      </c>
      <c r="D20" s="52" t="s">
        <v>52</v>
      </c>
      <c r="E20" s="69">
        <v>10.5</v>
      </c>
      <c r="F20" s="70">
        <f t="shared" ref="F20:F25" si="1">SUM(E20/100)</f>
        <v>0.105</v>
      </c>
      <c r="G20" s="70">
        <v>217.88</v>
      </c>
      <c r="H20" s="71">
        <f t="shared" si="0"/>
        <v>2.2877399999999999E-2</v>
      </c>
      <c r="I20" s="12">
        <v>0</v>
      </c>
      <c r="J20" s="21"/>
      <c r="K20" s="6"/>
      <c r="L20" s="6"/>
      <c r="M20" s="6"/>
    </row>
    <row r="21" spans="1:13" ht="15.75" hidden="1" customHeight="1">
      <c r="A21" s="26"/>
      <c r="B21" s="52" t="s">
        <v>95</v>
      </c>
      <c r="C21" s="68" t="s">
        <v>90</v>
      </c>
      <c r="D21" s="52" t="s">
        <v>52</v>
      </c>
      <c r="E21" s="69">
        <v>2.7</v>
      </c>
      <c r="F21" s="70">
        <f t="shared" si="1"/>
        <v>2.7000000000000003E-2</v>
      </c>
      <c r="G21" s="70">
        <v>203.5</v>
      </c>
      <c r="H21" s="71">
        <f t="shared" si="0"/>
        <v>5.4945000000000003E-3</v>
      </c>
      <c r="I21" s="12">
        <v>0</v>
      </c>
      <c r="J21" s="21"/>
      <c r="K21" s="6"/>
      <c r="L21" s="6"/>
      <c r="M21" s="6"/>
    </row>
    <row r="22" spans="1:13" ht="15.75" hidden="1" customHeight="1">
      <c r="A22" s="26"/>
      <c r="B22" s="52" t="s">
        <v>96</v>
      </c>
      <c r="C22" s="68" t="s">
        <v>51</v>
      </c>
      <c r="D22" s="52" t="s">
        <v>93</v>
      </c>
      <c r="E22" s="69">
        <v>357</v>
      </c>
      <c r="F22" s="70">
        <f t="shared" si="1"/>
        <v>3.57</v>
      </c>
      <c r="G22" s="70">
        <v>269.26</v>
      </c>
      <c r="H22" s="71">
        <f t="shared" si="0"/>
        <v>0.96125819999999984</v>
      </c>
      <c r="I22" s="12">
        <v>0</v>
      </c>
      <c r="J22" s="21"/>
      <c r="K22" s="6"/>
      <c r="L22" s="6"/>
      <c r="M22" s="6"/>
    </row>
    <row r="23" spans="1:13" ht="15.75" hidden="1" customHeight="1">
      <c r="A23" s="26"/>
      <c r="B23" s="52" t="s">
        <v>97</v>
      </c>
      <c r="C23" s="68" t="s">
        <v>51</v>
      </c>
      <c r="D23" s="52" t="s">
        <v>93</v>
      </c>
      <c r="E23" s="72">
        <v>38.64</v>
      </c>
      <c r="F23" s="70">
        <f t="shared" si="1"/>
        <v>0.38640000000000002</v>
      </c>
      <c r="G23" s="70">
        <v>44.29</v>
      </c>
      <c r="H23" s="71">
        <f t="shared" si="0"/>
        <v>1.7113655999999998E-2</v>
      </c>
      <c r="I23" s="12">
        <v>0</v>
      </c>
      <c r="J23" s="21"/>
      <c r="K23" s="6"/>
      <c r="L23" s="6"/>
      <c r="M23" s="6"/>
    </row>
    <row r="24" spans="1:13" ht="15.75" hidden="1" customHeight="1">
      <c r="A24" s="26"/>
      <c r="B24" s="52" t="s">
        <v>98</v>
      </c>
      <c r="C24" s="68" t="s">
        <v>51</v>
      </c>
      <c r="D24" s="53" t="s">
        <v>93</v>
      </c>
      <c r="E24" s="17">
        <v>15</v>
      </c>
      <c r="F24" s="73">
        <f t="shared" si="1"/>
        <v>0.15</v>
      </c>
      <c r="G24" s="70">
        <v>389.72</v>
      </c>
      <c r="H24" s="71">
        <f t="shared" si="0"/>
        <v>5.8457999999999996E-2</v>
      </c>
      <c r="I24" s="12">
        <v>0</v>
      </c>
      <c r="J24" s="21"/>
      <c r="K24" s="6"/>
      <c r="L24" s="6"/>
      <c r="M24" s="6"/>
    </row>
    <row r="25" spans="1:13" ht="15.75" hidden="1" customHeight="1">
      <c r="A25" s="26"/>
      <c r="B25" s="52" t="s">
        <v>99</v>
      </c>
      <c r="C25" s="68" t="s">
        <v>51</v>
      </c>
      <c r="D25" s="52" t="s">
        <v>93</v>
      </c>
      <c r="E25" s="74">
        <v>6.38</v>
      </c>
      <c r="F25" s="70">
        <f t="shared" si="1"/>
        <v>6.3799999999999996E-2</v>
      </c>
      <c r="G25" s="70">
        <v>520.79999999999995</v>
      </c>
      <c r="H25" s="71">
        <f t="shared" si="0"/>
        <v>3.3227039999999992E-2</v>
      </c>
      <c r="I25" s="12">
        <v>0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61</v>
      </c>
      <c r="C26" s="68" t="s">
        <v>30</v>
      </c>
      <c r="D26" s="52" t="s">
        <v>80</v>
      </c>
      <c r="E26" s="69">
        <v>0.1</v>
      </c>
      <c r="F26" s="70">
        <f>SUM(E26*365)</f>
        <v>36.5</v>
      </c>
      <c r="G26" s="70">
        <v>147.03</v>
      </c>
      <c r="H26" s="71">
        <f t="shared" si="0"/>
        <v>5.3665950000000002</v>
      </c>
      <c r="I26" s="12">
        <f>F26/12*G26</f>
        <v>447.21625</v>
      </c>
      <c r="J26" s="21"/>
      <c r="K26" s="6"/>
      <c r="L26" s="6"/>
      <c r="M26" s="6"/>
    </row>
    <row r="27" spans="1:13" ht="15.75" customHeight="1">
      <c r="A27" s="26">
        <v>5</v>
      </c>
      <c r="B27" s="77" t="s">
        <v>23</v>
      </c>
      <c r="C27" s="68" t="s">
        <v>24</v>
      </c>
      <c r="D27" s="52" t="s">
        <v>80</v>
      </c>
      <c r="E27" s="69">
        <v>3181</v>
      </c>
      <c r="F27" s="70">
        <f>SUM(E27*12)</f>
        <v>38172</v>
      </c>
      <c r="G27" s="70">
        <v>4.95</v>
      </c>
      <c r="H27" s="71">
        <f t="shared" si="0"/>
        <v>188.95140000000001</v>
      </c>
      <c r="I27" s="12">
        <f>F27/12*G27</f>
        <v>15745.95</v>
      </c>
      <c r="J27" s="21"/>
      <c r="K27" s="6"/>
      <c r="L27" s="6"/>
      <c r="M27" s="6"/>
    </row>
    <row r="28" spans="1:13" ht="15.75" customHeight="1">
      <c r="A28" s="134" t="s">
        <v>158</v>
      </c>
      <c r="B28" s="135"/>
      <c r="C28" s="135"/>
      <c r="D28" s="135"/>
      <c r="E28" s="135"/>
      <c r="F28" s="135"/>
      <c r="G28" s="135"/>
      <c r="H28" s="135"/>
      <c r="I28" s="136"/>
      <c r="J28" s="21"/>
      <c r="K28" s="6"/>
      <c r="L28" s="6"/>
      <c r="M28" s="6"/>
    </row>
    <row r="29" spans="1:13" ht="15.75" hidden="1" customHeight="1">
      <c r="A29" s="115"/>
      <c r="B29" s="63" t="s">
        <v>159</v>
      </c>
      <c r="C29" s="116"/>
      <c r="D29" s="116"/>
      <c r="E29" s="116"/>
      <c r="F29" s="116"/>
      <c r="G29" s="116"/>
      <c r="H29" s="116"/>
      <c r="I29" s="116"/>
      <c r="J29" s="21"/>
      <c r="K29" s="6"/>
      <c r="L29" s="6"/>
      <c r="M29" s="6"/>
    </row>
    <row r="30" spans="1:13" ht="15.75" hidden="1" customHeight="1">
      <c r="A30" s="113"/>
      <c r="B30" s="52" t="s">
        <v>160</v>
      </c>
      <c r="C30" s="68" t="s">
        <v>100</v>
      </c>
      <c r="D30" s="52" t="s">
        <v>163</v>
      </c>
      <c r="E30" s="70">
        <v>786.4</v>
      </c>
      <c r="F30" s="70">
        <f>SUM(E30*52/1000)</f>
        <v>40.892799999999994</v>
      </c>
      <c r="G30" s="70">
        <v>155.88999999999999</v>
      </c>
      <c r="H30" s="71">
        <f t="shared" ref="H30:H35" si="2">SUM(F30*G30/1000)</f>
        <v>6.3747785919999984</v>
      </c>
      <c r="I30" s="12">
        <v>0</v>
      </c>
      <c r="J30" s="21"/>
      <c r="K30" s="6"/>
      <c r="L30" s="6"/>
      <c r="M30" s="6"/>
    </row>
    <row r="31" spans="1:13" ht="31.5" hidden="1" customHeight="1">
      <c r="A31" s="26"/>
      <c r="B31" s="52" t="s">
        <v>161</v>
      </c>
      <c r="C31" s="68" t="s">
        <v>100</v>
      </c>
      <c r="D31" s="52" t="s">
        <v>164</v>
      </c>
      <c r="E31" s="70">
        <v>97.33</v>
      </c>
      <c r="F31" s="70">
        <f>SUM(E31*78/1000)</f>
        <v>7.5917399999999997</v>
      </c>
      <c r="G31" s="70">
        <v>258.63</v>
      </c>
      <c r="H31" s="71">
        <f t="shared" si="2"/>
        <v>1.9634517162</v>
      </c>
      <c r="I31" s="12">
        <v>0</v>
      </c>
      <c r="J31" s="21"/>
      <c r="K31" s="6"/>
      <c r="L31" s="6"/>
      <c r="M31" s="6"/>
    </row>
    <row r="32" spans="1:13" ht="15.75" hidden="1" customHeight="1">
      <c r="A32" s="26"/>
      <c r="B32" s="52" t="s">
        <v>26</v>
      </c>
      <c r="C32" s="68" t="s">
        <v>100</v>
      </c>
      <c r="D32" s="52" t="s">
        <v>52</v>
      </c>
      <c r="E32" s="70">
        <v>786.4</v>
      </c>
      <c r="F32" s="70">
        <f>SUM(E32/1000)</f>
        <v>0.78639999999999999</v>
      </c>
      <c r="G32" s="70">
        <v>3020.33</v>
      </c>
      <c r="H32" s="71">
        <f t="shared" si="2"/>
        <v>2.3751875120000001</v>
      </c>
      <c r="I32" s="12">
        <v>0</v>
      </c>
      <c r="J32" s="21"/>
      <c r="K32" s="6"/>
      <c r="L32" s="6"/>
      <c r="M32" s="6"/>
    </row>
    <row r="33" spans="1:14" ht="15.75" hidden="1" customHeight="1">
      <c r="A33" s="26"/>
      <c r="B33" s="52" t="s">
        <v>162</v>
      </c>
      <c r="C33" s="68" t="s">
        <v>28</v>
      </c>
      <c r="D33" s="52" t="s">
        <v>60</v>
      </c>
      <c r="E33" s="76">
        <v>0.33333333333333331</v>
      </c>
      <c r="F33" s="70">
        <f>155/3</f>
        <v>51.666666666666664</v>
      </c>
      <c r="G33" s="70">
        <v>56.69</v>
      </c>
      <c r="H33" s="71">
        <f t="shared" si="2"/>
        <v>2.9289833333333331</v>
      </c>
      <c r="I33" s="12">
        <v>0</v>
      </c>
      <c r="J33" s="21"/>
      <c r="K33" s="6"/>
      <c r="L33" s="6"/>
      <c r="M33" s="6"/>
    </row>
    <row r="34" spans="1:14" ht="15.75" hidden="1" customHeight="1">
      <c r="A34" s="26"/>
      <c r="B34" s="52" t="s">
        <v>62</v>
      </c>
      <c r="C34" s="68" t="s">
        <v>30</v>
      </c>
      <c r="D34" s="52" t="s">
        <v>63</v>
      </c>
      <c r="E34" s="69"/>
      <c r="F34" s="70">
        <v>3</v>
      </c>
      <c r="G34" s="70">
        <v>191.32</v>
      </c>
      <c r="H34" s="71">
        <f t="shared" si="2"/>
        <v>0.57396000000000003</v>
      </c>
      <c r="I34" s="12">
        <v>0</v>
      </c>
      <c r="J34" s="21"/>
      <c r="K34" s="6"/>
      <c r="L34" s="6"/>
      <c r="M34" s="6"/>
    </row>
    <row r="35" spans="1:14" ht="15.75" hidden="1" customHeight="1">
      <c r="A35" s="118"/>
      <c r="B35" s="52" t="s">
        <v>119</v>
      </c>
      <c r="C35" s="68" t="s">
        <v>29</v>
      </c>
      <c r="D35" s="52" t="s">
        <v>63</v>
      </c>
      <c r="E35" s="69"/>
      <c r="F35" s="70">
        <v>2</v>
      </c>
      <c r="G35" s="70">
        <v>1136.33</v>
      </c>
      <c r="H35" s="71">
        <f t="shared" si="2"/>
        <v>2.2726599999999997</v>
      </c>
      <c r="I35" s="12">
        <v>0</v>
      </c>
      <c r="J35" s="21"/>
      <c r="K35" s="6"/>
      <c r="L35" s="6"/>
      <c r="M35" s="6"/>
    </row>
    <row r="36" spans="1:14" ht="15.75" customHeight="1">
      <c r="A36" s="115"/>
      <c r="B36" s="63" t="s">
        <v>4</v>
      </c>
      <c r="C36" s="117"/>
      <c r="D36" s="117"/>
      <c r="E36" s="117"/>
      <c r="F36" s="117"/>
      <c r="G36" s="117"/>
      <c r="H36" s="117"/>
      <c r="I36" s="117"/>
      <c r="J36" s="21"/>
      <c r="K36" s="6"/>
      <c r="L36" s="6"/>
      <c r="M36" s="6"/>
    </row>
    <row r="37" spans="1:14" ht="15.75" customHeight="1">
      <c r="A37" s="113">
        <v>6</v>
      </c>
      <c r="B37" s="52" t="s">
        <v>25</v>
      </c>
      <c r="C37" s="68" t="s">
        <v>29</v>
      </c>
      <c r="D37" s="52"/>
      <c r="E37" s="69"/>
      <c r="F37" s="70">
        <v>8</v>
      </c>
      <c r="G37" s="70">
        <v>1527.22</v>
      </c>
      <c r="H37" s="71">
        <f t="shared" ref="H37:H44" si="3">SUM(F37*G37/1000)</f>
        <v>12.21776</v>
      </c>
      <c r="I37" s="12">
        <f>F37/6*G37</f>
        <v>2036.2933333333333</v>
      </c>
      <c r="J37" s="21"/>
      <c r="K37" s="6"/>
      <c r="L37" s="6"/>
      <c r="M37" s="6"/>
    </row>
    <row r="38" spans="1:14" ht="15.75" customHeight="1">
      <c r="A38" s="26">
        <v>7</v>
      </c>
      <c r="B38" s="52" t="s">
        <v>85</v>
      </c>
      <c r="C38" s="68" t="s">
        <v>27</v>
      </c>
      <c r="D38" s="52" t="s">
        <v>120</v>
      </c>
      <c r="E38" s="69">
        <v>485.66</v>
      </c>
      <c r="F38" s="70">
        <f>E38*12/1000</f>
        <v>5.8279199999999998</v>
      </c>
      <c r="G38" s="70">
        <v>2102.71</v>
      </c>
      <c r="H38" s="71">
        <f>G38*F38/1000</f>
        <v>12.254425663199999</v>
      </c>
      <c r="I38" s="12">
        <f>F38/6*G38</f>
        <v>2042.4042772</v>
      </c>
      <c r="J38" s="21"/>
      <c r="K38" s="6"/>
      <c r="L38" s="6"/>
      <c r="M38" s="6"/>
    </row>
    <row r="39" spans="1:14" ht="15.75" customHeight="1">
      <c r="A39" s="26">
        <v>8</v>
      </c>
      <c r="B39" s="52" t="s">
        <v>121</v>
      </c>
      <c r="C39" s="68" t="s">
        <v>27</v>
      </c>
      <c r="D39" s="52" t="s">
        <v>122</v>
      </c>
      <c r="E39" s="69">
        <v>97.33</v>
      </c>
      <c r="F39" s="70">
        <f>E39*30/1000</f>
        <v>2.9199000000000002</v>
      </c>
      <c r="G39" s="70">
        <v>2102.71</v>
      </c>
      <c r="H39" s="71">
        <f>G39*F39/1000</f>
        <v>6.1397029290000003</v>
      </c>
      <c r="I39" s="12">
        <f>F39/6*G39</f>
        <v>1023.2838215</v>
      </c>
      <c r="J39" s="21"/>
      <c r="K39" s="6"/>
    </row>
    <row r="40" spans="1:14" ht="15.75" hidden="1" customHeight="1">
      <c r="A40" s="26"/>
      <c r="B40" s="52" t="s">
        <v>123</v>
      </c>
      <c r="C40" s="68" t="s">
        <v>124</v>
      </c>
      <c r="D40" s="52" t="s">
        <v>63</v>
      </c>
      <c r="E40" s="69"/>
      <c r="F40" s="70">
        <v>100</v>
      </c>
      <c r="G40" s="70">
        <v>213.2</v>
      </c>
      <c r="H40" s="71">
        <f>G40*F40/1000</f>
        <v>21.32</v>
      </c>
      <c r="I40" s="12">
        <v>0</v>
      </c>
      <c r="J40" s="22"/>
    </row>
    <row r="41" spans="1:14" ht="15.75" customHeight="1">
      <c r="A41" s="26">
        <v>9</v>
      </c>
      <c r="B41" s="52" t="s">
        <v>64</v>
      </c>
      <c r="C41" s="68" t="s">
        <v>27</v>
      </c>
      <c r="D41" s="52" t="s">
        <v>125</v>
      </c>
      <c r="E41" s="70">
        <v>97.33</v>
      </c>
      <c r="F41" s="70">
        <f>SUM(E41*155/1000)</f>
        <v>15.08615</v>
      </c>
      <c r="G41" s="70">
        <v>350.75</v>
      </c>
      <c r="H41" s="71">
        <f t="shared" si="3"/>
        <v>5.2914671124999995</v>
      </c>
      <c r="I41" s="12">
        <f>F41/6*G41</f>
        <v>881.91118541666674</v>
      </c>
      <c r="J41" s="22"/>
    </row>
    <row r="42" spans="1:14" ht="47.25" customHeight="1">
      <c r="A42" s="26">
        <v>10</v>
      </c>
      <c r="B42" s="52" t="s">
        <v>79</v>
      </c>
      <c r="C42" s="68" t="s">
        <v>100</v>
      </c>
      <c r="D42" s="52" t="s">
        <v>126</v>
      </c>
      <c r="E42" s="70">
        <v>97.33</v>
      </c>
      <c r="F42" s="70">
        <f>SUM(E42*24/1000)</f>
        <v>2.3359200000000002</v>
      </c>
      <c r="G42" s="70">
        <v>5803.28</v>
      </c>
      <c r="H42" s="71">
        <f t="shared" si="3"/>
        <v>13.5559978176</v>
      </c>
      <c r="I42" s="12">
        <f>F42/6*G42</f>
        <v>2259.3329696000001</v>
      </c>
      <c r="J42" s="22"/>
    </row>
    <row r="43" spans="1:14" ht="15.75" hidden="1" customHeight="1">
      <c r="A43" s="26">
        <v>11</v>
      </c>
      <c r="B43" s="52" t="s">
        <v>127</v>
      </c>
      <c r="C43" s="68" t="s">
        <v>100</v>
      </c>
      <c r="D43" s="52" t="s">
        <v>65</v>
      </c>
      <c r="E43" s="70">
        <v>97.33</v>
      </c>
      <c r="F43" s="70">
        <f>SUM(E43*45/1000)</f>
        <v>4.3798500000000002</v>
      </c>
      <c r="G43" s="70">
        <v>428.7</v>
      </c>
      <c r="H43" s="71">
        <f t="shared" si="3"/>
        <v>1.8776416950000001</v>
      </c>
      <c r="I43" s="12">
        <f>F43/6*G43</f>
        <v>312.94028250000002</v>
      </c>
      <c r="J43" s="22"/>
    </row>
    <row r="44" spans="1:14" ht="15.75" customHeight="1">
      <c r="A44" s="26">
        <v>11</v>
      </c>
      <c r="B44" s="52" t="s">
        <v>66</v>
      </c>
      <c r="C44" s="68" t="s">
        <v>30</v>
      </c>
      <c r="D44" s="52"/>
      <c r="E44" s="69"/>
      <c r="F44" s="70">
        <v>0.8</v>
      </c>
      <c r="G44" s="70">
        <v>798</v>
      </c>
      <c r="H44" s="71">
        <f t="shared" si="3"/>
        <v>0.63840000000000008</v>
      </c>
      <c r="I44" s="12">
        <f>F44/6*G44</f>
        <v>106.39999999999999</v>
      </c>
      <c r="J44" s="22"/>
    </row>
    <row r="45" spans="1:14" ht="15.75" customHeight="1">
      <c r="A45" s="153" t="s">
        <v>141</v>
      </c>
      <c r="B45" s="154"/>
      <c r="C45" s="154"/>
      <c r="D45" s="154"/>
      <c r="E45" s="154"/>
      <c r="F45" s="154"/>
      <c r="G45" s="154"/>
      <c r="H45" s="154"/>
      <c r="I45" s="155"/>
      <c r="J45" s="22"/>
      <c r="L45" s="18"/>
      <c r="M45" s="19"/>
      <c r="N45" s="20"/>
    </row>
    <row r="46" spans="1:14" ht="15.75" hidden="1" customHeight="1">
      <c r="A46" s="26"/>
      <c r="B46" s="52" t="s">
        <v>128</v>
      </c>
      <c r="C46" s="68" t="s">
        <v>100</v>
      </c>
      <c r="D46" s="52" t="s">
        <v>40</v>
      </c>
      <c r="E46" s="69">
        <v>1114.25</v>
      </c>
      <c r="F46" s="70">
        <f>SUM(E46*2/1000)</f>
        <v>2.2284999999999999</v>
      </c>
      <c r="G46" s="12">
        <v>910.17</v>
      </c>
      <c r="H46" s="71">
        <f t="shared" ref="H46:H56" si="4">SUM(F46*G46/1000)</f>
        <v>2.028313845</v>
      </c>
      <c r="I46" s="12">
        <v>0</v>
      </c>
      <c r="J46" s="22"/>
      <c r="L46" s="18"/>
      <c r="M46" s="19"/>
      <c r="N46" s="20"/>
    </row>
    <row r="47" spans="1:14" ht="15.75" hidden="1" customHeight="1">
      <c r="A47" s="26"/>
      <c r="B47" s="52" t="s">
        <v>33</v>
      </c>
      <c r="C47" s="68" t="s">
        <v>100</v>
      </c>
      <c r="D47" s="52" t="s">
        <v>40</v>
      </c>
      <c r="E47" s="69">
        <v>37</v>
      </c>
      <c r="F47" s="70">
        <f>E47*2/1000</f>
        <v>7.3999999999999996E-2</v>
      </c>
      <c r="G47" s="12">
        <v>579.48</v>
      </c>
      <c r="H47" s="71">
        <f t="shared" si="4"/>
        <v>4.2881519999999999E-2</v>
      </c>
      <c r="I47" s="12">
        <v>0</v>
      </c>
      <c r="J47" s="22"/>
      <c r="L47" s="18"/>
      <c r="M47" s="19"/>
      <c r="N47" s="20"/>
    </row>
    <row r="48" spans="1:14" ht="15.75" hidden="1" customHeight="1">
      <c r="A48" s="26"/>
      <c r="B48" s="52" t="s">
        <v>34</v>
      </c>
      <c r="C48" s="68" t="s">
        <v>100</v>
      </c>
      <c r="D48" s="52" t="s">
        <v>40</v>
      </c>
      <c r="E48" s="69">
        <v>2631</v>
      </c>
      <c r="F48" s="70">
        <f>SUM(E48*2/1000)</f>
        <v>5.2619999999999996</v>
      </c>
      <c r="G48" s="12">
        <v>579.48</v>
      </c>
      <c r="H48" s="71">
        <f t="shared" si="4"/>
        <v>3.0492237599999998</v>
      </c>
      <c r="I48" s="12">
        <v>0</v>
      </c>
      <c r="J48" s="22"/>
      <c r="L48" s="18"/>
      <c r="M48" s="19"/>
      <c r="N48" s="20"/>
    </row>
    <row r="49" spans="1:14" ht="15.75" hidden="1" customHeight="1">
      <c r="A49" s="26"/>
      <c r="B49" s="52" t="s">
        <v>35</v>
      </c>
      <c r="C49" s="68" t="s">
        <v>100</v>
      </c>
      <c r="D49" s="52" t="s">
        <v>40</v>
      </c>
      <c r="E49" s="69">
        <v>1953.8</v>
      </c>
      <c r="F49" s="70">
        <f>SUM(E49*2/1000)</f>
        <v>3.9076</v>
      </c>
      <c r="G49" s="12">
        <v>606.77</v>
      </c>
      <c r="H49" s="71">
        <f t="shared" si="4"/>
        <v>2.3710144519999998</v>
      </c>
      <c r="I49" s="12">
        <v>0</v>
      </c>
      <c r="J49" s="22"/>
      <c r="L49" s="18"/>
      <c r="M49" s="19"/>
      <c r="N49" s="20"/>
    </row>
    <row r="50" spans="1:14" ht="15.75" hidden="1" customHeight="1">
      <c r="A50" s="26"/>
      <c r="B50" s="52" t="s">
        <v>31</v>
      </c>
      <c r="C50" s="68" t="s">
        <v>32</v>
      </c>
      <c r="D50" s="52" t="s">
        <v>40</v>
      </c>
      <c r="E50" s="69">
        <v>91.84</v>
      </c>
      <c r="F50" s="70">
        <f>SUM(E50*2/100)</f>
        <v>1.8368</v>
      </c>
      <c r="G50" s="12">
        <v>72.81</v>
      </c>
      <c r="H50" s="71">
        <f t="shared" si="4"/>
        <v>0.13373740800000003</v>
      </c>
      <c r="I50" s="12">
        <v>0</v>
      </c>
      <c r="J50" s="22"/>
      <c r="L50" s="18"/>
      <c r="M50" s="19"/>
      <c r="N50" s="20"/>
    </row>
    <row r="51" spans="1:14" ht="15.75" customHeight="1">
      <c r="A51" s="26">
        <v>12</v>
      </c>
      <c r="B51" s="52" t="s">
        <v>55</v>
      </c>
      <c r="C51" s="68" t="s">
        <v>100</v>
      </c>
      <c r="D51" s="52" t="s">
        <v>165</v>
      </c>
      <c r="E51" s="69">
        <v>891.4</v>
      </c>
      <c r="F51" s="70">
        <f>SUM(E51*5/1000)</f>
        <v>4.4569999999999999</v>
      </c>
      <c r="G51" s="12">
        <v>1213.55</v>
      </c>
      <c r="H51" s="71">
        <f t="shared" si="4"/>
        <v>5.4087923499999997</v>
      </c>
      <c r="I51" s="12">
        <f>F51/5*G51</f>
        <v>1081.75847</v>
      </c>
      <c r="J51" s="22"/>
      <c r="L51" s="18"/>
      <c r="M51" s="19"/>
      <c r="N51" s="20"/>
    </row>
    <row r="52" spans="1:14" ht="31.5" hidden="1" customHeight="1">
      <c r="A52" s="26"/>
      <c r="B52" s="52" t="s">
        <v>129</v>
      </c>
      <c r="C52" s="68" t="s">
        <v>100</v>
      </c>
      <c r="D52" s="52" t="s">
        <v>40</v>
      </c>
      <c r="E52" s="69">
        <v>891.4</v>
      </c>
      <c r="F52" s="70">
        <f>SUM(E52*2/1000)</f>
        <v>1.7827999999999999</v>
      </c>
      <c r="G52" s="12">
        <v>1213.55</v>
      </c>
      <c r="H52" s="71">
        <f t="shared" si="4"/>
        <v>2.1635169400000001</v>
      </c>
      <c r="I52" s="12">
        <v>0</v>
      </c>
      <c r="J52" s="22"/>
      <c r="L52" s="18"/>
      <c r="M52" s="19"/>
      <c r="N52" s="20"/>
    </row>
    <row r="53" spans="1:14" ht="31.5" hidden="1" customHeight="1">
      <c r="A53" s="26"/>
      <c r="B53" s="52" t="s">
        <v>130</v>
      </c>
      <c r="C53" s="68" t="s">
        <v>36</v>
      </c>
      <c r="D53" s="52" t="s">
        <v>40</v>
      </c>
      <c r="E53" s="69">
        <v>20</v>
      </c>
      <c r="F53" s="70">
        <f>SUM(E53*2/100)</f>
        <v>0.4</v>
      </c>
      <c r="G53" s="12">
        <v>2730.49</v>
      </c>
      <c r="H53" s="71">
        <f t="shared" si="4"/>
        <v>1.0921959999999999</v>
      </c>
      <c r="I53" s="12">
        <v>0</v>
      </c>
      <c r="J53" s="22"/>
      <c r="L53" s="18"/>
      <c r="M53" s="19"/>
      <c r="N53" s="20"/>
    </row>
    <row r="54" spans="1:14" ht="15.75" hidden="1" customHeight="1">
      <c r="A54" s="26"/>
      <c r="B54" s="52" t="s">
        <v>37</v>
      </c>
      <c r="C54" s="68" t="s">
        <v>38</v>
      </c>
      <c r="D54" s="52" t="s">
        <v>40</v>
      </c>
      <c r="E54" s="69">
        <v>1</v>
      </c>
      <c r="F54" s="70">
        <v>0.02</v>
      </c>
      <c r="G54" s="12">
        <v>5652.13</v>
      </c>
      <c r="H54" s="71">
        <f t="shared" si="4"/>
        <v>0.11304260000000001</v>
      </c>
      <c r="I54" s="12">
        <v>0</v>
      </c>
      <c r="J54" s="22"/>
      <c r="L54" s="18"/>
      <c r="M54" s="19"/>
      <c r="N54" s="20"/>
    </row>
    <row r="55" spans="1:14" ht="15.75" customHeight="1">
      <c r="A55" s="26">
        <v>13</v>
      </c>
      <c r="B55" s="52" t="s">
        <v>131</v>
      </c>
      <c r="C55" s="68" t="s">
        <v>101</v>
      </c>
      <c r="D55" s="52" t="s">
        <v>67</v>
      </c>
      <c r="E55" s="69">
        <v>70</v>
      </c>
      <c r="F55" s="70">
        <f>E55*3</f>
        <v>210</v>
      </c>
      <c r="G55" s="12">
        <v>141.12</v>
      </c>
      <c r="H55" s="71">
        <f t="shared" si="4"/>
        <v>29.635200000000001</v>
      </c>
      <c r="I55" s="12">
        <f>E55*G55</f>
        <v>9878.4</v>
      </c>
      <c r="J55" s="22"/>
      <c r="L55" s="18"/>
      <c r="M55" s="19"/>
      <c r="N55" s="20"/>
    </row>
    <row r="56" spans="1:14" ht="15.75" customHeight="1">
      <c r="A56" s="26">
        <v>14</v>
      </c>
      <c r="B56" s="52" t="s">
        <v>39</v>
      </c>
      <c r="C56" s="68" t="s">
        <v>101</v>
      </c>
      <c r="D56" s="52" t="s">
        <v>67</v>
      </c>
      <c r="E56" s="69">
        <v>140</v>
      </c>
      <c r="F56" s="70">
        <f>SUM(E56)</f>
        <v>140</v>
      </c>
      <c r="G56" s="12">
        <v>65.67</v>
      </c>
      <c r="H56" s="71">
        <f t="shared" si="4"/>
        <v>9.1938000000000013</v>
      </c>
      <c r="I56" s="12">
        <f>E56*G56</f>
        <v>9193.8000000000011</v>
      </c>
      <c r="J56" s="22"/>
      <c r="L56" s="18"/>
      <c r="M56" s="19"/>
      <c r="N56" s="20"/>
    </row>
    <row r="57" spans="1:14" ht="15.75" customHeight="1">
      <c r="A57" s="153" t="s">
        <v>142</v>
      </c>
      <c r="B57" s="156"/>
      <c r="C57" s="156"/>
      <c r="D57" s="156"/>
      <c r="E57" s="156"/>
      <c r="F57" s="156"/>
      <c r="G57" s="156"/>
      <c r="H57" s="156"/>
      <c r="I57" s="157"/>
      <c r="J57" s="22"/>
      <c r="L57" s="18"/>
      <c r="M57" s="19"/>
      <c r="N57" s="20"/>
    </row>
    <row r="58" spans="1:14" ht="15.75" customHeight="1">
      <c r="A58" s="26"/>
      <c r="B58" s="93" t="s">
        <v>41</v>
      </c>
      <c r="C58" s="68"/>
      <c r="D58" s="52"/>
      <c r="E58" s="69"/>
      <c r="F58" s="70"/>
      <c r="G58" s="70"/>
      <c r="H58" s="71"/>
      <c r="I58" s="12"/>
      <c r="J58" s="22"/>
      <c r="L58" s="18"/>
      <c r="M58" s="19"/>
      <c r="N58" s="20"/>
    </row>
    <row r="59" spans="1:14" ht="31.5" customHeight="1">
      <c r="A59" s="26">
        <v>15</v>
      </c>
      <c r="B59" s="52" t="s">
        <v>132</v>
      </c>
      <c r="C59" s="68" t="s">
        <v>90</v>
      </c>
      <c r="D59" s="52" t="s">
        <v>133</v>
      </c>
      <c r="E59" s="69">
        <v>123.43</v>
      </c>
      <c r="F59" s="70">
        <f>SUM(E59*6/100)</f>
        <v>7.4058000000000002</v>
      </c>
      <c r="G59" s="12">
        <v>1547.28</v>
      </c>
      <c r="H59" s="71">
        <f>SUM(F59*G59/1000)</f>
        <v>11.458846224</v>
      </c>
      <c r="I59" s="12">
        <f>F59/6*G59</f>
        <v>1909.8077039999998</v>
      </c>
      <c r="J59" s="22"/>
      <c r="L59" s="18"/>
      <c r="M59" s="19"/>
      <c r="N59" s="20"/>
    </row>
    <row r="60" spans="1:14" ht="15.75" hidden="1" customHeight="1">
      <c r="A60" s="26"/>
      <c r="B60" s="94" t="s">
        <v>42</v>
      </c>
      <c r="C60" s="78"/>
      <c r="D60" s="79"/>
      <c r="E60" s="80"/>
      <c r="F60" s="81"/>
      <c r="G60" s="12"/>
      <c r="H60" s="82"/>
      <c r="I60" s="12"/>
      <c r="J60" s="22"/>
      <c r="L60" s="18"/>
      <c r="M60" s="19"/>
      <c r="N60" s="20"/>
    </row>
    <row r="61" spans="1:14" ht="15.75" hidden="1" customHeight="1">
      <c r="A61" s="26"/>
      <c r="B61" s="79" t="s">
        <v>43</v>
      </c>
      <c r="C61" s="78" t="s">
        <v>51</v>
      </c>
      <c r="D61" s="79" t="s">
        <v>52</v>
      </c>
      <c r="E61" s="80">
        <v>891.4</v>
      </c>
      <c r="F61" s="81">
        <v>8.9</v>
      </c>
      <c r="G61" s="12">
        <v>747.3</v>
      </c>
      <c r="H61" s="82">
        <f>F61*G61/1000</f>
        <v>6.65097</v>
      </c>
      <c r="I61" s="12">
        <v>0</v>
      </c>
      <c r="J61" s="22"/>
      <c r="L61" s="18"/>
      <c r="M61" s="19"/>
      <c r="N61" s="20"/>
    </row>
    <row r="62" spans="1:14" ht="15.75" hidden="1" customHeight="1">
      <c r="A62" s="26"/>
      <c r="B62" s="94" t="s">
        <v>44</v>
      </c>
      <c r="C62" s="78"/>
      <c r="D62" s="79"/>
      <c r="E62" s="80"/>
      <c r="F62" s="83"/>
      <c r="G62" s="83"/>
      <c r="H62" s="81" t="s">
        <v>110</v>
      </c>
      <c r="I62" s="12"/>
      <c r="J62" s="22"/>
      <c r="L62" s="18"/>
      <c r="M62" s="19"/>
      <c r="N62" s="20"/>
    </row>
    <row r="63" spans="1:14" ht="15.75" hidden="1" customHeight="1">
      <c r="A63" s="26"/>
      <c r="B63" s="13" t="s">
        <v>45</v>
      </c>
      <c r="C63" s="15" t="s">
        <v>101</v>
      </c>
      <c r="D63" s="13" t="s">
        <v>63</v>
      </c>
      <c r="E63" s="17">
        <v>15</v>
      </c>
      <c r="F63" s="70">
        <v>15</v>
      </c>
      <c r="G63" s="12">
        <v>222.4</v>
      </c>
      <c r="H63" s="84">
        <f t="shared" ref="H63:H70" si="5">SUM(F63*G63/1000)</f>
        <v>3.3359999999999999</v>
      </c>
      <c r="I63" s="12">
        <v>0</v>
      </c>
      <c r="J63" s="22"/>
      <c r="L63" s="18"/>
      <c r="M63" s="19"/>
      <c r="N63" s="20"/>
    </row>
    <row r="64" spans="1:14" ht="15.75" hidden="1" customHeight="1">
      <c r="A64" s="26">
        <v>17</v>
      </c>
      <c r="B64" s="13" t="s">
        <v>46</v>
      </c>
      <c r="C64" s="15" t="s">
        <v>101</v>
      </c>
      <c r="D64" s="13" t="s">
        <v>63</v>
      </c>
      <c r="E64" s="17">
        <v>5</v>
      </c>
      <c r="F64" s="70">
        <v>5</v>
      </c>
      <c r="G64" s="12">
        <v>76.25</v>
      </c>
      <c r="H64" s="84">
        <f t="shared" si="5"/>
        <v>0.38124999999999998</v>
      </c>
      <c r="I64" s="12">
        <v>0</v>
      </c>
      <c r="J64" s="22"/>
      <c r="L64" s="18"/>
      <c r="M64" s="19"/>
      <c r="N64" s="20"/>
    </row>
    <row r="65" spans="1:14" ht="15.75" hidden="1" customHeight="1">
      <c r="A65" s="26"/>
      <c r="B65" s="13" t="s">
        <v>47</v>
      </c>
      <c r="C65" s="15" t="s">
        <v>102</v>
      </c>
      <c r="D65" s="13" t="s">
        <v>52</v>
      </c>
      <c r="E65" s="69">
        <v>12702</v>
      </c>
      <c r="F65" s="12">
        <f>SUM(E65/100)</f>
        <v>127.02</v>
      </c>
      <c r="G65" s="12">
        <v>212.15</v>
      </c>
      <c r="H65" s="84">
        <f t="shared" si="5"/>
        <v>26.947293000000002</v>
      </c>
      <c r="I65" s="12">
        <v>0</v>
      </c>
      <c r="J65" s="22"/>
      <c r="L65" s="18"/>
      <c r="M65" s="19"/>
      <c r="N65" s="20"/>
    </row>
    <row r="66" spans="1:14" ht="15.75" hidden="1" customHeight="1">
      <c r="A66" s="26"/>
      <c r="B66" s="13" t="s">
        <v>48</v>
      </c>
      <c r="C66" s="15" t="s">
        <v>103</v>
      </c>
      <c r="D66" s="13"/>
      <c r="E66" s="69">
        <v>12702</v>
      </c>
      <c r="F66" s="12">
        <f>SUM(E66/1000)</f>
        <v>12.702</v>
      </c>
      <c r="G66" s="12">
        <v>165.21</v>
      </c>
      <c r="H66" s="84">
        <f t="shared" si="5"/>
        <v>2.0984974200000002</v>
      </c>
      <c r="I66" s="12">
        <v>0</v>
      </c>
      <c r="J66" s="22"/>
      <c r="L66" s="18"/>
      <c r="M66" s="19"/>
      <c r="N66" s="20"/>
    </row>
    <row r="67" spans="1:14" ht="15.75" hidden="1" customHeight="1">
      <c r="A67" s="26"/>
      <c r="B67" s="13" t="s">
        <v>49</v>
      </c>
      <c r="C67" s="15" t="s">
        <v>73</v>
      </c>
      <c r="D67" s="13" t="s">
        <v>52</v>
      </c>
      <c r="E67" s="69">
        <v>2184</v>
      </c>
      <c r="F67" s="12">
        <f>SUM(E67/100)</f>
        <v>21.84</v>
      </c>
      <c r="G67" s="12">
        <v>2074.63</v>
      </c>
      <c r="H67" s="84">
        <f t="shared" si="5"/>
        <v>45.309919200000003</v>
      </c>
      <c r="I67" s="12">
        <v>0</v>
      </c>
      <c r="J67" s="22"/>
      <c r="L67" s="18"/>
      <c r="M67" s="19"/>
      <c r="N67" s="20"/>
    </row>
    <row r="68" spans="1:14" ht="15.75" hidden="1" customHeight="1">
      <c r="A68" s="26"/>
      <c r="B68" s="85" t="s">
        <v>104</v>
      </c>
      <c r="C68" s="15" t="s">
        <v>30</v>
      </c>
      <c r="D68" s="13"/>
      <c r="E68" s="69">
        <v>11.6</v>
      </c>
      <c r="F68" s="12">
        <f>SUM(E68)</f>
        <v>11.6</v>
      </c>
      <c r="G68" s="12">
        <v>42.67</v>
      </c>
      <c r="H68" s="84">
        <f t="shared" si="5"/>
        <v>0.49497199999999997</v>
      </c>
      <c r="I68" s="12">
        <v>0</v>
      </c>
      <c r="J68" s="22"/>
      <c r="L68" s="18"/>
      <c r="M68" s="19"/>
      <c r="N68" s="20"/>
    </row>
    <row r="69" spans="1:14" ht="15.75" hidden="1" customHeight="1">
      <c r="A69" s="26"/>
      <c r="B69" s="85" t="s">
        <v>105</v>
      </c>
      <c r="C69" s="15" t="s">
        <v>30</v>
      </c>
      <c r="D69" s="13"/>
      <c r="E69" s="69">
        <v>11.6</v>
      </c>
      <c r="F69" s="12">
        <f>SUM(E69)</f>
        <v>11.6</v>
      </c>
      <c r="G69" s="12">
        <v>39.81</v>
      </c>
      <c r="H69" s="84">
        <f t="shared" si="5"/>
        <v>0.46179599999999998</v>
      </c>
      <c r="I69" s="12">
        <v>0</v>
      </c>
      <c r="J69" s="22"/>
      <c r="L69" s="18"/>
      <c r="M69" s="19"/>
      <c r="N69" s="20"/>
    </row>
    <row r="70" spans="1:14" ht="15.75" hidden="1" customHeight="1">
      <c r="A70" s="26"/>
      <c r="B70" s="13" t="s">
        <v>56</v>
      </c>
      <c r="C70" s="15" t="s">
        <v>57</v>
      </c>
      <c r="D70" s="13" t="s">
        <v>52</v>
      </c>
      <c r="E70" s="17">
        <v>5</v>
      </c>
      <c r="F70" s="70">
        <v>5</v>
      </c>
      <c r="G70" s="12">
        <v>49.88</v>
      </c>
      <c r="H70" s="84">
        <f t="shared" si="5"/>
        <v>0.24940000000000001</v>
      </c>
      <c r="I70" s="12">
        <v>0</v>
      </c>
      <c r="J70" s="22"/>
      <c r="L70" s="18"/>
      <c r="M70" s="19"/>
      <c r="N70" s="20"/>
    </row>
    <row r="71" spans="1:14" ht="15.75" hidden="1" customHeight="1">
      <c r="A71" s="26"/>
      <c r="B71" s="63" t="s">
        <v>68</v>
      </c>
      <c r="C71" s="15"/>
      <c r="D71" s="13"/>
      <c r="E71" s="17"/>
      <c r="F71" s="12"/>
      <c r="G71" s="12"/>
      <c r="H71" s="84" t="s">
        <v>110</v>
      </c>
      <c r="I71" s="12"/>
      <c r="J71" s="22"/>
      <c r="L71" s="18"/>
      <c r="M71" s="19"/>
      <c r="N71" s="20"/>
    </row>
    <row r="72" spans="1:14" ht="15.75" hidden="1" customHeight="1">
      <c r="A72" s="26"/>
      <c r="B72" s="13" t="s">
        <v>69</v>
      </c>
      <c r="C72" s="15" t="s">
        <v>71</v>
      </c>
      <c r="D72" s="13"/>
      <c r="E72" s="17">
        <v>5</v>
      </c>
      <c r="F72" s="12">
        <v>0.5</v>
      </c>
      <c r="G72" s="12">
        <v>501.62</v>
      </c>
      <c r="H72" s="84">
        <f t="shared" ref="H72" si="6">SUM(F72*G72/1000)</f>
        <v>0.25080999999999998</v>
      </c>
      <c r="I72" s="12">
        <v>0</v>
      </c>
      <c r="J72" s="22"/>
      <c r="L72" s="18"/>
      <c r="M72" s="19"/>
      <c r="N72" s="20"/>
    </row>
    <row r="73" spans="1:14" ht="15.75" hidden="1" customHeight="1">
      <c r="A73" s="26"/>
      <c r="B73" s="13" t="s">
        <v>70</v>
      </c>
      <c r="C73" s="15" t="s">
        <v>28</v>
      </c>
      <c r="D73" s="13"/>
      <c r="E73" s="17">
        <v>1</v>
      </c>
      <c r="F73" s="64">
        <v>1</v>
      </c>
      <c r="G73" s="12">
        <v>852.99</v>
      </c>
      <c r="H73" s="84">
        <f>F73*G73/1000</f>
        <v>0.85299000000000003</v>
      </c>
      <c r="I73" s="12">
        <v>0</v>
      </c>
      <c r="J73" s="22"/>
      <c r="L73" s="18"/>
      <c r="M73" s="19"/>
      <c r="N73" s="20"/>
    </row>
    <row r="74" spans="1:14" ht="15.75" hidden="1" customHeight="1">
      <c r="A74" s="26"/>
      <c r="B74" s="13" t="s">
        <v>108</v>
      </c>
      <c r="C74" s="15" t="s">
        <v>28</v>
      </c>
      <c r="D74" s="13"/>
      <c r="E74" s="17">
        <v>1</v>
      </c>
      <c r="F74" s="12">
        <v>1</v>
      </c>
      <c r="G74" s="12">
        <v>358.51</v>
      </c>
      <c r="H74" s="84">
        <f>G74*F74/1000</f>
        <v>0.35851</v>
      </c>
      <c r="I74" s="12">
        <v>0</v>
      </c>
      <c r="J74" s="22"/>
      <c r="L74" s="18"/>
      <c r="M74" s="19"/>
      <c r="N74" s="20"/>
    </row>
    <row r="75" spans="1:14" ht="15.75" hidden="1" customHeight="1">
      <c r="A75" s="26"/>
      <c r="B75" s="86" t="s">
        <v>72</v>
      </c>
      <c r="C75" s="15"/>
      <c r="D75" s="13"/>
      <c r="E75" s="17"/>
      <c r="F75" s="12"/>
      <c r="G75" s="12" t="s">
        <v>110</v>
      </c>
      <c r="H75" s="84" t="s">
        <v>110</v>
      </c>
      <c r="I75" s="12"/>
      <c r="J75" s="22"/>
      <c r="L75" s="18"/>
      <c r="M75" s="19"/>
      <c r="N75" s="20"/>
    </row>
    <row r="76" spans="1:14" ht="15.75" hidden="1" customHeight="1">
      <c r="A76" s="26"/>
      <c r="B76" s="46" t="s">
        <v>109</v>
      </c>
      <c r="C76" s="15" t="s">
        <v>73</v>
      </c>
      <c r="D76" s="13"/>
      <c r="E76" s="17"/>
      <c r="F76" s="12">
        <v>1</v>
      </c>
      <c r="G76" s="12">
        <v>2579.44</v>
      </c>
      <c r="H76" s="84">
        <f t="shared" ref="H76" si="7">SUM(F76*G76/1000)</f>
        <v>2.57944</v>
      </c>
      <c r="I76" s="12">
        <v>0</v>
      </c>
      <c r="J76" s="22"/>
      <c r="L76" s="18"/>
      <c r="M76" s="19"/>
      <c r="N76" s="20"/>
    </row>
    <row r="77" spans="1:14" ht="15.75" hidden="1" customHeight="1">
      <c r="A77" s="26"/>
      <c r="B77" s="63" t="s">
        <v>106</v>
      </c>
      <c r="C77" s="86"/>
      <c r="D77" s="27"/>
      <c r="E77" s="31"/>
      <c r="F77" s="75"/>
      <c r="G77" s="75"/>
      <c r="H77" s="87">
        <f>SUM(H59:H76)</f>
        <v>101.43069384400002</v>
      </c>
      <c r="I77" s="75"/>
      <c r="J77" s="22"/>
      <c r="L77" s="18"/>
      <c r="M77" s="19"/>
      <c r="N77" s="20"/>
    </row>
    <row r="78" spans="1:14" ht="15.75" hidden="1" customHeight="1">
      <c r="A78" s="26"/>
      <c r="B78" s="52" t="s">
        <v>107</v>
      </c>
      <c r="C78" s="15"/>
      <c r="D78" s="13"/>
      <c r="E78" s="88"/>
      <c r="F78" s="12">
        <v>1</v>
      </c>
      <c r="G78" s="12">
        <v>23195</v>
      </c>
      <c r="H78" s="84">
        <f>G78*F78/1000</f>
        <v>23.195</v>
      </c>
      <c r="I78" s="12">
        <v>0</v>
      </c>
      <c r="J78" s="22"/>
      <c r="L78" s="18"/>
      <c r="M78" s="19"/>
      <c r="N78" s="20"/>
    </row>
    <row r="79" spans="1:14" ht="15.75" customHeight="1">
      <c r="A79" s="153" t="s">
        <v>143</v>
      </c>
      <c r="B79" s="158"/>
      <c r="C79" s="158"/>
      <c r="D79" s="158"/>
      <c r="E79" s="158"/>
      <c r="F79" s="158"/>
      <c r="G79" s="158"/>
      <c r="H79" s="158"/>
      <c r="I79" s="159"/>
      <c r="J79" s="22"/>
      <c r="L79" s="18"/>
      <c r="M79" s="19"/>
      <c r="N79" s="20"/>
    </row>
    <row r="80" spans="1:14" ht="15.75" customHeight="1">
      <c r="A80" s="26">
        <v>16</v>
      </c>
      <c r="B80" s="52" t="s">
        <v>134</v>
      </c>
      <c r="C80" s="15" t="s">
        <v>53</v>
      </c>
      <c r="D80" s="89" t="s">
        <v>54</v>
      </c>
      <c r="E80" s="12">
        <v>3181</v>
      </c>
      <c r="F80" s="12">
        <f>SUM(E80*12)</f>
        <v>38172</v>
      </c>
      <c r="G80" s="12">
        <v>2.1</v>
      </c>
      <c r="H80" s="84">
        <f>SUM(F80*G80/1000)</f>
        <v>80.161199999999994</v>
      </c>
      <c r="I80" s="12">
        <f>F80/12*G80</f>
        <v>6680.1</v>
      </c>
      <c r="J80" s="22"/>
      <c r="L80" s="18"/>
      <c r="M80" s="19"/>
      <c r="N80" s="20"/>
    </row>
    <row r="81" spans="1:14" ht="31.5" customHeight="1">
      <c r="A81" s="26">
        <v>17</v>
      </c>
      <c r="B81" s="13" t="s">
        <v>74</v>
      </c>
      <c r="C81" s="15"/>
      <c r="D81" s="89" t="s">
        <v>54</v>
      </c>
      <c r="E81" s="12">
        <v>3181</v>
      </c>
      <c r="F81" s="12">
        <f>E81*12</f>
        <v>38172</v>
      </c>
      <c r="G81" s="12">
        <v>1.63</v>
      </c>
      <c r="H81" s="84">
        <f>F81*G81/1000</f>
        <v>62.220359999999992</v>
      </c>
      <c r="I81" s="12">
        <f>F81/12*G81</f>
        <v>5185.03</v>
      </c>
      <c r="J81" s="22"/>
      <c r="L81" s="18"/>
      <c r="M81" s="19"/>
      <c r="N81" s="20"/>
    </row>
    <row r="82" spans="1:14" ht="15.75" customHeight="1">
      <c r="A82" s="50"/>
      <c r="B82" s="39" t="s">
        <v>77</v>
      </c>
      <c r="C82" s="15"/>
      <c r="D82" s="46"/>
      <c r="E82" s="12"/>
      <c r="F82" s="12"/>
      <c r="G82" s="12"/>
      <c r="H82" s="84">
        <f>H81</f>
        <v>62.220359999999992</v>
      </c>
      <c r="I82" s="75">
        <f>I16+I17+I18+I26+I27+I37+I38+I39+I41+I42+I44+I51+I55+I56+I59+I80+I81</f>
        <v>66496.093311050005</v>
      </c>
      <c r="J82" s="22"/>
      <c r="L82" s="18"/>
      <c r="M82" s="19"/>
      <c r="N82" s="20"/>
    </row>
    <row r="83" spans="1:14" ht="15.75" customHeight="1">
      <c r="A83" s="139" t="s">
        <v>58</v>
      </c>
      <c r="B83" s="140"/>
      <c r="C83" s="140"/>
      <c r="D83" s="140"/>
      <c r="E83" s="140"/>
      <c r="F83" s="140"/>
      <c r="G83" s="140"/>
      <c r="H83" s="140"/>
      <c r="I83" s="141"/>
      <c r="J83" s="22"/>
      <c r="L83" s="18"/>
      <c r="M83" s="19"/>
      <c r="N83" s="20"/>
    </row>
    <row r="84" spans="1:14" ht="15.75" customHeight="1">
      <c r="A84" s="119">
        <v>18</v>
      </c>
      <c r="B84" s="56" t="s">
        <v>166</v>
      </c>
      <c r="C84" s="55" t="s">
        <v>116</v>
      </c>
      <c r="D84" s="13"/>
      <c r="E84" s="17"/>
      <c r="F84" s="12">
        <v>3</v>
      </c>
      <c r="G84" s="12">
        <v>1120.8900000000001</v>
      </c>
      <c r="H84" s="84">
        <f t="shared" ref="H84:H91" si="8">G84*F84/1000</f>
        <v>3.36267</v>
      </c>
      <c r="I84" s="90">
        <f>G84</f>
        <v>1120.8900000000001</v>
      </c>
      <c r="J84" s="22"/>
      <c r="L84" s="18"/>
      <c r="M84" s="19"/>
      <c r="N84" s="20"/>
    </row>
    <row r="85" spans="1:14" ht="31.5" customHeight="1">
      <c r="A85" s="26">
        <v>19</v>
      </c>
      <c r="B85" s="51" t="s">
        <v>167</v>
      </c>
      <c r="C85" s="57" t="s">
        <v>168</v>
      </c>
      <c r="D85" s="46"/>
      <c r="E85" s="12"/>
      <c r="F85" s="12">
        <v>1</v>
      </c>
      <c r="G85" s="12">
        <v>813.34</v>
      </c>
      <c r="H85" s="84">
        <f t="shared" si="8"/>
        <v>0.81334000000000006</v>
      </c>
      <c r="I85" s="90">
        <f>G85</f>
        <v>813.34</v>
      </c>
      <c r="J85" s="22"/>
      <c r="L85" s="18"/>
      <c r="M85" s="19"/>
      <c r="N85" s="20"/>
    </row>
    <row r="86" spans="1:14" ht="15.75" customHeight="1">
      <c r="A86" s="26">
        <v>20</v>
      </c>
      <c r="B86" s="51" t="s">
        <v>172</v>
      </c>
      <c r="C86" s="57" t="s">
        <v>101</v>
      </c>
      <c r="D86" s="46"/>
      <c r="E86" s="12"/>
      <c r="F86" s="12">
        <v>1</v>
      </c>
      <c r="G86" s="12">
        <v>120</v>
      </c>
      <c r="H86" s="84">
        <f t="shared" si="8"/>
        <v>0.12</v>
      </c>
      <c r="I86" s="90">
        <f>G86</f>
        <v>120</v>
      </c>
      <c r="J86" s="22"/>
      <c r="L86" s="18"/>
      <c r="M86" s="19"/>
      <c r="N86" s="20"/>
    </row>
    <row r="87" spans="1:14" ht="15.75" customHeight="1">
      <c r="A87" s="26">
        <v>21</v>
      </c>
      <c r="B87" s="51" t="s">
        <v>173</v>
      </c>
      <c r="C87" s="57" t="s">
        <v>101</v>
      </c>
      <c r="D87" s="46"/>
      <c r="E87" s="12"/>
      <c r="F87" s="12">
        <v>1</v>
      </c>
      <c r="G87" s="12">
        <v>50</v>
      </c>
      <c r="H87" s="84">
        <f t="shared" si="8"/>
        <v>0.05</v>
      </c>
      <c r="I87" s="90">
        <f>G87</f>
        <v>50</v>
      </c>
      <c r="J87" s="22"/>
      <c r="L87" s="18"/>
      <c r="M87" s="19"/>
      <c r="N87" s="20"/>
    </row>
    <row r="88" spans="1:14" ht="31.5" customHeight="1">
      <c r="A88" s="26">
        <v>22</v>
      </c>
      <c r="B88" s="51" t="s">
        <v>169</v>
      </c>
      <c r="C88" s="57" t="s">
        <v>117</v>
      </c>
      <c r="D88" s="46"/>
      <c r="E88" s="12"/>
      <c r="F88" s="12">
        <v>0.5</v>
      </c>
      <c r="G88" s="12">
        <v>293.17</v>
      </c>
      <c r="H88" s="84">
        <f t="shared" si="8"/>
        <v>0.14658500000000002</v>
      </c>
      <c r="I88" s="90">
        <f>G88*0.5</f>
        <v>146.58500000000001</v>
      </c>
      <c r="J88" s="22"/>
      <c r="L88" s="18"/>
      <c r="M88" s="19"/>
      <c r="N88" s="20"/>
    </row>
    <row r="89" spans="1:14" ht="31.5" customHeight="1">
      <c r="A89" s="26">
        <v>23</v>
      </c>
      <c r="B89" s="51" t="s">
        <v>139</v>
      </c>
      <c r="C89" s="57" t="s">
        <v>36</v>
      </c>
      <c r="D89" s="13"/>
      <c r="E89" s="17"/>
      <c r="F89" s="12">
        <v>0.01</v>
      </c>
      <c r="G89" s="12">
        <v>3581.13</v>
      </c>
      <c r="H89" s="84">
        <f t="shared" si="8"/>
        <v>3.5811300000000004E-2</v>
      </c>
      <c r="I89" s="90">
        <f>G89*0.01</f>
        <v>35.811300000000003</v>
      </c>
      <c r="J89" s="22"/>
      <c r="L89" s="18"/>
      <c r="M89" s="19"/>
      <c r="N89" s="20"/>
    </row>
    <row r="90" spans="1:14" ht="15.75" customHeight="1">
      <c r="A90" s="26">
        <v>24</v>
      </c>
      <c r="B90" s="51" t="s">
        <v>78</v>
      </c>
      <c r="C90" s="57" t="s">
        <v>101</v>
      </c>
      <c r="D90" s="13"/>
      <c r="E90" s="17"/>
      <c r="F90" s="12">
        <v>1</v>
      </c>
      <c r="G90" s="12">
        <v>189.88</v>
      </c>
      <c r="H90" s="84">
        <f t="shared" si="8"/>
        <v>0.18987999999999999</v>
      </c>
      <c r="I90" s="90">
        <f>G90</f>
        <v>189.88</v>
      </c>
      <c r="J90" s="22"/>
      <c r="L90" s="18"/>
      <c r="M90" s="19"/>
      <c r="N90" s="20"/>
    </row>
    <row r="91" spans="1:14" ht="15.75" customHeight="1">
      <c r="A91" s="26">
        <v>25</v>
      </c>
      <c r="B91" s="92" t="s">
        <v>170</v>
      </c>
      <c r="C91" s="57" t="s">
        <v>171</v>
      </c>
      <c r="D91" s="13"/>
      <c r="E91" s="17"/>
      <c r="F91" s="12">
        <f>4/100</f>
        <v>0.04</v>
      </c>
      <c r="G91" s="12">
        <v>15380.55</v>
      </c>
      <c r="H91" s="84">
        <f t="shared" si="8"/>
        <v>0.61522199999999994</v>
      </c>
      <c r="I91" s="90">
        <f>G91*F91</f>
        <v>615.22199999999998</v>
      </c>
      <c r="J91" s="22"/>
      <c r="L91" s="18"/>
      <c r="M91" s="19"/>
      <c r="N91" s="20"/>
    </row>
    <row r="92" spans="1:14" ht="15.75" customHeight="1">
      <c r="A92" s="26"/>
      <c r="B92" s="27" t="s">
        <v>50</v>
      </c>
      <c r="C92" s="41"/>
      <c r="D92" s="47"/>
      <c r="E92" s="41">
        <v>1</v>
      </c>
      <c r="F92" s="41"/>
      <c r="G92" s="41"/>
      <c r="H92" s="41"/>
      <c r="I92" s="31">
        <f>SUM(I84:I91)</f>
        <v>3091.7282999999998</v>
      </c>
      <c r="J92" s="22"/>
      <c r="L92" s="18"/>
      <c r="M92" s="19"/>
      <c r="N92" s="20"/>
    </row>
    <row r="93" spans="1:14" ht="15.75" customHeight="1">
      <c r="A93" s="26"/>
      <c r="B93" s="46" t="s">
        <v>75</v>
      </c>
      <c r="C93" s="14"/>
      <c r="D93" s="14"/>
      <c r="E93" s="42"/>
      <c r="F93" s="42"/>
      <c r="G93" s="43"/>
      <c r="H93" s="43"/>
      <c r="I93" s="16">
        <v>0</v>
      </c>
      <c r="J93" s="22"/>
      <c r="L93" s="18"/>
      <c r="M93" s="19"/>
      <c r="N93" s="20"/>
    </row>
    <row r="94" spans="1:14" ht="15.75" customHeight="1">
      <c r="A94" s="48"/>
      <c r="B94" s="45" t="s">
        <v>174</v>
      </c>
      <c r="C94" s="34"/>
      <c r="D94" s="34"/>
      <c r="E94" s="34"/>
      <c r="F94" s="34"/>
      <c r="G94" s="34"/>
      <c r="H94" s="34"/>
      <c r="I94" s="44">
        <f>I82+I92</f>
        <v>69587.821611050007</v>
      </c>
      <c r="J94" s="22"/>
      <c r="L94" s="18"/>
      <c r="M94" s="19"/>
      <c r="N94" s="20"/>
    </row>
    <row r="95" spans="1:14" ht="15.75" customHeight="1">
      <c r="A95" s="149" t="s">
        <v>229</v>
      </c>
      <c r="B95" s="149"/>
      <c r="C95" s="149"/>
      <c r="D95" s="149"/>
      <c r="E95" s="149"/>
      <c r="F95" s="149"/>
      <c r="G95" s="149"/>
      <c r="H95" s="149"/>
      <c r="I95" s="149"/>
      <c r="J95" s="22"/>
      <c r="L95" s="18"/>
      <c r="M95" s="19"/>
      <c r="N95" s="20"/>
    </row>
    <row r="96" spans="1:14" ht="15.75" customHeight="1">
      <c r="A96" s="8"/>
      <c r="B96" s="163" t="s">
        <v>230</v>
      </c>
      <c r="C96" s="163"/>
      <c r="D96" s="163"/>
      <c r="E96" s="163"/>
      <c r="F96" s="163"/>
      <c r="G96" s="163"/>
      <c r="H96" s="59"/>
      <c r="I96" s="3"/>
      <c r="J96" s="22"/>
      <c r="L96" s="18"/>
      <c r="M96" s="19"/>
      <c r="N96" s="20"/>
    </row>
    <row r="97" spans="1:22" ht="15.75" customHeight="1">
      <c r="A97" s="62"/>
      <c r="B97" s="148" t="s">
        <v>5</v>
      </c>
      <c r="C97" s="148"/>
      <c r="D97" s="148"/>
      <c r="E97" s="148"/>
      <c r="F97" s="148"/>
      <c r="G97" s="148"/>
      <c r="H97" s="23"/>
      <c r="I97" s="5"/>
      <c r="J97" s="22"/>
      <c r="K97" s="22"/>
      <c r="L97" s="22"/>
      <c r="M97" s="19"/>
      <c r="N97" s="20"/>
    </row>
    <row r="98" spans="1:22" ht="15.75" customHeight="1">
      <c r="A98" s="9"/>
      <c r="B98" s="9"/>
      <c r="C98" s="9"/>
      <c r="D98" s="9"/>
      <c r="E98" s="9"/>
      <c r="F98" s="9"/>
      <c r="G98" s="9"/>
      <c r="H98" s="9"/>
      <c r="I98" s="9"/>
      <c r="J98" s="22"/>
      <c r="K98" s="22"/>
      <c r="L98" s="22"/>
      <c r="M98" s="19"/>
      <c r="N98" s="20"/>
    </row>
    <row r="99" spans="1:22" ht="15.75" customHeight="1">
      <c r="A99" s="161" t="s">
        <v>6</v>
      </c>
      <c r="B99" s="161"/>
      <c r="C99" s="161"/>
      <c r="D99" s="161"/>
      <c r="E99" s="161"/>
      <c r="F99" s="161"/>
      <c r="G99" s="161"/>
      <c r="H99" s="161"/>
      <c r="I99" s="161"/>
      <c r="J99" s="22"/>
      <c r="K99" s="22"/>
      <c r="L99" s="22"/>
    </row>
    <row r="100" spans="1:22" ht="15.75" customHeight="1">
      <c r="A100" s="161" t="s">
        <v>7</v>
      </c>
      <c r="B100" s="161"/>
      <c r="C100" s="161"/>
      <c r="D100" s="161"/>
      <c r="E100" s="161"/>
      <c r="F100" s="161"/>
      <c r="G100" s="161"/>
      <c r="H100" s="161"/>
      <c r="I100" s="161"/>
      <c r="J100" s="22"/>
      <c r="K100" s="22"/>
      <c r="L100" s="22"/>
    </row>
    <row r="101" spans="1:22" ht="15.75" customHeight="1">
      <c r="A101" s="149" t="s">
        <v>8</v>
      </c>
      <c r="B101" s="149"/>
      <c r="C101" s="149"/>
      <c r="D101" s="149"/>
      <c r="E101" s="149"/>
      <c r="F101" s="149"/>
      <c r="G101" s="149"/>
      <c r="H101" s="149"/>
      <c r="I101" s="149"/>
    </row>
    <row r="102" spans="1:22" ht="15.75" customHeight="1">
      <c r="A102" s="10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7"/>
    </row>
    <row r="103" spans="1:22" ht="15.75" customHeight="1">
      <c r="A103" s="162" t="s">
        <v>9</v>
      </c>
      <c r="B103" s="162"/>
      <c r="C103" s="162"/>
      <c r="D103" s="162"/>
      <c r="E103" s="162"/>
      <c r="F103" s="162"/>
      <c r="G103" s="162"/>
      <c r="H103" s="162"/>
      <c r="I103" s="162"/>
      <c r="J103" s="24"/>
      <c r="K103" s="24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2" ht="15.75" customHeight="1">
      <c r="A104" s="4"/>
      <c r="J104" s="3"/>
      <c r="K104" s="3"/>
      <c r="L104" s="3"/>
      <c r="M104" s="3"/>
      <c r="N104" s="3"/>
      <c r="O104" s="3"/>
      <c r="P104" s="3"/>
      <c r="Q104" s="3"/>
      <c r="S104" s="3"/>
      <c r="T104" s="3"/>
      <c r="U104" s="3"/>
    </row>
    <row r="105" spans="1:22" ht="15.75" customHeight="1">
      <c r="A105" s="149" t="s">
        <v>10</v>
      </c>
      <c r="B105" s="149"/>
      <c r="C105" s="151" t="s">
        <v>84</v>
      </c>
      <c r="D105" s="151"/>
      <c r="E105" s="151"/>
      <c r="F105" s="65"/>
      <c r="I105" s="61"/>
      <c r="J105" s="5"/>
      <c r="K105" s="5"/>
      <c r="L105" s="5"/>
      <c r="M105" s="5"/>
      <c r="N105" s="5"/>
      <c r="O105" s="5"/>
      <c r="P105" s="5"/>
      <c r="Q105" s="5"/>
      <c r="R105" s="147"/>
      <c r="S105" s="147"/>
      <c r="T105" s="147"/>
      <c r="U105" s="147"/>
    </row>
    <row r="106" spans="1:22" ht="15.75" customHeight="1">
      <c r="A106" s="62"/>
      <c r="C106" s="148" t="s">
        <v>11</v>
      </c>
      <c r="D106" s="148"/>
      <c r="E106" s="148"/>
      <c r="F106" s="23"/>
      <c r="I106" s="60" t="s">
        <v>12</v>
      </c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2" ht="15.75" customHeight="1">
      <c r="A107" s="24"/>
      <c r="C107" s="11"/>
      <c r="D107" s="11"/>
      <c r="G107" s="11"/>
      <c r="H107" s="11"/>
    </row>
    <row r="108" spans="1:22" ht="15.75" customHeight="1">
      <c r="A108" s="149" t="s">
        <v>13</v>
      </c>
      <c r="B108" s="149"/>
      <c r="C108" s="150"/>
      <c r="D108" s="150"/>
      <c r="E108" s="150"/>
      <c r="F108" s="66"/>
      <c r="I108" s="61"/>
    </row>
    <row r="109" spans="1:22" ht="15.75" customHeight="1">
      <c r="A109" s="62"/>
      <c r="C109" s="147" t="s">
        <v>11</v>
      </c>
      <c r="D109" s="147"/>
      <c r="E109" s="147"/>
      <c r="F109" s="62"/>
      <c r="I109" s="60" t="s">
        <v>12</v>
      </c>
    </row>
    <row r="110" spans="1:22" ht="15.75" customHeight="1">
      <c r="A110" s="4" t="s">
        <v>14</v>
      </c>
    </row>
    <row r="111" spans="1:22" ht="15" customHeight="1">
      <c r="A111" s="160" t="s">
        <v>15</v>
      </c>
      <c r="B111" s="160"/>
      <c r="C111" s="160"/>
      <c r="D111" s="160"/>
      <c r="E111" s="160"/>
      <c r="F111" s="160"/>
      <c r="G111" s="160"/>
      <c r="H111" s="160"/>
      <c r="I111" s="160"/>
    </row>
    <row r="112" spans="1:22" ht="45" customHeight="1">
      <c r="A112" s="152" t="s">
        <v>16</v>
      </c>
      <c r="B112" s="152"/>
      <c r="C112" s="152"/>
      <c r="D112" s="152"/>
      <c r="E112" s="152"/>
      <c r="F112" s="152"/>
      <c r="G112" s="152"/>
      <c r="H112" s="152"/>
      <c r="I112" s="152"/>
    </row>
    <row r="113" spans="1:9" ht="30" customHeight="1">
      <c r="A113" s="152" t="s">
        <v>17</v>
      </c>
      <c r="B113" s="152"/>
      <c r="C113" s="152"/>
      <c r="D113" s="152"/>
      <c r="E113" s="152"/>
      <c r="F113" s="152"/>
      <c r="G113" s="152"/>
      <c r="H113" s="152"/>
      <c r="I113" s="152"/>
    </row>
    <row r="114" spans="1:9" ht="30" customHeight="1">
      <c r="A114" s="152" t="s">
        <v>21</v>
      </c>
      <c r="B114" s="152"/>
      <c r="C114" s="152"/>
      <c r="D114" s="152"/>
      <c r="E114" s="152"/>
      <c r="F114" s="152"/>
      <c r="G114" s="152"/>
      <c r="H114" s="152"/>
      <c r="I114" s="152"/>
    </row>
    <row r="115" spans="1:9" ht="15" customHeight="1">
      <c r="A115" s="152" t="s">
        <v>20</v>
      </c>
      <c r="B115" s="152"/>
      <c r="C115" s="152"/>
      <c r="D115" s="152"/>
      <c r="E115" s="152"/>
      <c r="F115" s="152"/>
      <c r="G115" s="152"/>
      <c r="H115" s="152"/>
      <c r="I115" s="152"/>
    </row>
  </sheetData>
  <autoFilter ref="I12:I101"/>
  <mergeCells count="31">
    <mergeCell ref="A112:I112"/>
    <mergeCell ref="A113:I113"/>
    <mergeCell ref="A114:I114"/>
    <mergeCell ref="A115:I115"/>
    <mergeCell ref="A45:I45"/>
    <mergeCell ref="A57:I57"/>
    <mergeCell ref="A79:I79"/>
    <mergeCell ref="A111:I111"/>
    <mergeCell ref="B97:G97"/>
    <mergeCell ref="A99:I99"/>
    <mergeCell ref="A100:I100"/>
    <mergeCell ref="A101:I101"/>
    <mergeCell ref="A103:I103"/>
    <mergeCell ref="A95:I95"/>
    <mergeCell ref="B96:G96"/>
    <mergeCell ref="R105:U105"/>
    <mergeCell ref="C106:E106"/>
    <mergeCell ref="A108:B108"/>
    <mergeCell ref="C108:E108"/>
    <mergeCell ref="C109:E109"/>
    <mergeCell ref="A105:B105"/>
    <mergeCell ref="C105:E105"/>
    <mergeCell ref="A15:I15"/>
    <mergeCell ref="A14:I14"/>
    <mergeCell ref="A28:I28"/>
    <mergeCell ref="A83:I83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29" t="s">
        <v>81</v>
      </c>
      <c r="I1" s="28"/>
    </row>
    <row r="2" spans="1:15" s="25" customFormat="1" ht="15.75" customHeight="1">
      <c r="A2" s="25" t="s">
        <v>59</v>
      </c>
      <c r="J2" s="1"/>
      <c r="K2" s="1"/>
      <c r="L2" s="1"/>
      <c r="M2" s="1"/>
    </row>
    <row r="3" spans="1:15" s="25" customFormat="1" ht="15.75">
      <c r="A3" s="142" t="s">
        <v>153</v>
      </c>
      <c r="B3" s="142"/>
      <c r="C3" s="142"/>
      <c r="D3" s="142"/>
      <c r="E3" s="142"/>
      <c r="F3" s="142"/>
      <c r="G3" s="142"/>
      <c r="H3" s="142"/>
      <c r="I3" s="142"/>
      <c r="J3" s="2"/>
      <c r="K3" s="2"/>
      <c r="L3" s="2"/>
      <c r="M3" s="2"/>
    </row>
    <row r="4" spans="1:15" s="25" customFormat="1" ht="31.5" customHeight="1">
      <c r="A4" s="143" t="s">
        <v>89</v>
      </c>
      <c r="B4" s="143"/>
      <c r="C4" s="143"/>
      <c r="D4" s="143"/>
      <c r="E4" s="143"/>
      <c r="F4" s="143"/>
      <c r="G4" s="143"/>
      <c r="H4" s="143"/>
      <c r="I4" s="143"/>
      <c r="J4" s="3"/>
      <c r="K4" s="3"/>
      <c r="L4" s="3"/>
    </row>
    <row r="5" spans="1:15" s="25" customFormat="1" ht="15.75" customHeight="1">
      <c r="A5" s="142" t="s">
        <v>220</v>
      </c>
      <c r="B5" s="144"/>
      <c r="C5" s="144"/>
      <c r="D5" s="144"/>
      <c r="E5" s="144"/>
      <c r="F5" s="144"/>
      <c r="G5" s="144"/>
      <c r="H5" s="144"/>
      <c r="I5" s="144"/>
    </row>
    <row r="6" spans="1:15" s="25" customFormat="1" ht="15.75">
      <c r="A6" s="2"/>
      <c r="B6" s="96"/>
      <c r="C6" s="96"/>
      <c r="D6" s="96"/>
      <c r="E6" s="96"/>
      <c r="F6" s="96"/>
      <c r="G6" s="96"/>
      <c r="H6" s="96"/>
      <c r="I6" s="30">
        <v>43039</v>
      </c>
      <c r="J6" s="2"/>
      <c r="K6" s="2"/>
      <c r="L6" s="2"/>
      <c r="M6" s="2"/>
    </row>
    <row r="7" spans="1:15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45" t="s">
        <v>188</v>
      </c>
      <c r="B8" s="145"/>
      <c r="C8" s="145"/>
      <c r="D8" s="145"/>
      <c r="E8" s="145"/>
      <c r="F8" s="145"/>
      <c r="G8" s="145"/>
      <c r="H8" s="145"/>
      <c r="I8" s="145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46" t="s">
        <v>228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108" t="s">
        <v>0</v>
      </c>
      <c r="B12" s="108" t="s">
        <v>156</v>
      </c>
      <c r="C12" s="108" t="s">
        <v>1</v>
      </c>
      <c r="D12" s="108" t="s">
        <v>18</v>
      </c>
      <c r="E12" s="108" t="s">
        <v>19</v>
      </c>
      <c r="F12" s="108"/>
      <c r="G12" s="108" t="s">
        <v>22</v>
      </c>
      <c r="H12" s="108"/>
      <c r="I12" s="108" t="s">
        <v>2</v>
      </c>
    </row>
    <row r="13" spans="1:15" s="49" customFormat="1" ht="12.75">
      <c r="A13" s="109">
        <v>1</v>
      </c>
      <c r="B13" s="109">
        <v>2</v>
      </c>
      <c r="C13" s="109">
        <v>3</v>
      </c>
      <c r="D13" s="110">
        <v>4</v>
      </c>
      <c r="E13" s="109">
        <v>5</v>
      </c>
      <c r="F13" s="109"/>
      <c r="G13" s="109">
        <v>5</v>
      </c>
      <c r="H13" s="109"/>
      <c r="I13" s="109">
        <v>6</v>
      </c>
      <c r="J13" s="111"/>
      <c r="K13" s="111"/>
      <c r="L13" s="111"/>
      <c r="M13" s="111"/>
    </row>
    <row r="14" spans="1:15" ht="15.75" customHeight="1">
      <c r="A14" s="137" t="s">
        <v>157</v>
      </c>
      <c r="B14" s="138"/>
      <c r="C14" s="138"/>
      <c r="D14" s="138"/>
      <c r="E14" s="138"/>
      <c r="F14" s="138"/>
      <c r="G14" s="138"/>
      <c r="H14" s="138"/>
      <c r="I14" s="138"/>
      <c r="J14" s="112"/>
      <c r="K14" s="112"/>
      <c r="L14" s="6"/>
      <c r="M14" s="6"/>
      <c r="N14" s="6"/>
      <c r="O14" s="6"/>
    </row>
    <row r="15" spans="1:15" ht="15.75" customHeight="1">
      <c r="A15" s="134" t="s">
        <v>3</v>
      </c>
      <c r="B15" s="135"/>
      <c r="C15" s="135"/>
      <c r="D15" s="135"/>
      <c r="E15" s="135"/>
      <c r="F15" s="135"/>
      <c r="G15" s="135"/>
      <c r="H15" s="135"/>
      <c r="I15" s="136"/>
      <c r="J15" s="6"/>
      <c r="K15" s="6"/>
      <c r="L15" s="6"/>
      <c r="M15" s="6"/>
    </row>
    <row r="16" spans="1:15" ht="15.75" customHeight="1">
      <c r="A16" s="26">
        <v>1</v>
      </c>
      <c r="B16" s="52" t="s">
        <v>82</v>
      </c>
      <c r="C16" s="68" t="s">
        <v>90</v>
      </c>
      <c r="D16" s="52" t="s">
        <v>113</v>
      </c>
      <c r="E16" s="69">
        <v>59.9</v>
      </c>
      <c r="F16" s="70">
        <f>SUM(E16*156/100)</f>
        <v>93.444000000000003</v>
      </c>
      <c r="G16" s="70">
        <v>230</v>
      </c>
      <c r="H16" s="71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87</v>
      </c>
      <c r="C17" s="68" t="s">
        <v>90</v>
      </c>
      <c r="D17" s="52" t="s">
        <v>114</v>
      </c>
      <c r="E17" s="69">
        <v>239.4</v>
      </c>
      <c r="F17" s="70">
        <f>SUM(E17*104/100)</f>
        <v>248.97600000000003</v>
      </c>
      <c r="G17" s="70">
        <v>230</v>
      </c>
      <c r="H17" s="71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88</v>
      </c>
      <c r="C18" s="68" t="s">
        <v>90</v>
      </c>
      <c r="D18" s="52" t="s">
        <v>115</v>
      </c>
      <c r="E18" s="69">
        <f>SUM(E16+E17)</f>
        <v>299.3</v>
      </c>
      <c r="F18" s="70">
        <f>SUM(E18*24/100)</f>
        <v>71.832000000000008</v>
      </c>
      <c r="G18" s="70">
        <v>661.67</v>
      </c>
      <c r="H18" s="71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91</v>
      </c>
      <c r="C19" s="68" t="s">
        <v>92</v>
      </c>
      <c r="D19" s="52" t="s">
        <v>93</v>
      </c>
      <c r="E19" s="69">
        <v>25.6</v>
      </c>
      <c r="F19" s="70">
        <f>SUM(E19/10)</f>
        <v>2.56</v>
      </c>
      <c r="G19" s="70">
        <v>223.17</v>
      </c>
      <c r="H19" s="71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4</v>
      </c>
      <c r="B20" s="52" t="s">
        <v>94</v>
      </c>
      <c r="C20" s="68" t="s">
        <v>90</v>
      </c>
      <c r="D20" s="52" t="s">
        <v>40</v>
      </c>
      <c r="E20" s="69">
        <v>10.5</v>
      </c>
      <c r="F20" s="70">
        <f>SUM(E20*2/100)</f>
        <v>0.21</v>
      </c>
      <c r="G20" s="70">
        <v>285.76</v>
      </c>
      <c r="H20" s="71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5</v>
      </c>
      <c r="B21" s="52" t="s">
        <v>95</v>
      </c>
      <c r="C21" s="68" t="s">
        <v>90</v>
      </c>
      <c r="D21" s="52" t="s">
        <v>40</v>
      </c>
      <c r="E21" s="69">
        <v>2.7</v>
      </c>
      <c r="F21" s="70">
        <f>SUM(E21*2/100)</f>
        <v>5.4000000000000006E-2</v>
      </c>
      <c r="G21" s="70">
        <v>283.44</v>
      </c>
      <c r="H21" s="71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96</v>
      </c>
      <c r="C22" s="68" t="s">
        <v>51</v>
      </c>
      <c r="D22" s="52" t="s">
        <v>93</v>
      </c>
      <c r="E22" s="69">
        <v>357</v>
      </c>
      <c r="F22" s="70">
        <f t="shared" ref="F22:F25" si="2">SUM(E22/100)</f>
        <v>3.57</v>
      </c>
      <c r="G22" s="70">
        <v>353.14</v>
      </c>
      <c r="H22" s="71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97</v>
      </c>
      <c r="C23" s="68" t="s">
        <v>51</v>
      </c>
      <c r="D23" s="52" t="s">
        <v>93</v>
      </c>
      <c r="E23" s="72">
        <v>38.64</v>
      </c>
      <c r="F23" s="70">
        <f t="shared" si="2"/>
        <v>0.38640000000000002</v>
      </c>
      <c r="G23" s="70">
        <v>58.08</v>
      </c>
      <c r="H23" s="71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98</v>
      </c>
      <c r="C24" s="68" t="s">
        <v>51</v>
      </c>
      <c r="D24" s="53" t="s">
        <v>93</v>
      </c>
      <c r="E24" s="17">
        <v>15</v>
      </c>
      <c r="F24" s="73">
        <f t="shared" si="2"/>
        <v>0.15</v>
      </c>
      <c r="G24" s="70">
        <v>511.12</v>
      </c>
      <c r="H24" s="71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99</v>
      </c>
      <c r="C25" s="68" t="s">
        <v>51</v>
      </c>
      <c r="D25" s="52" t="s">
        <v>93</v>
      </c>
      <c r="E25" s="74">
        <v>6.38</v>
      </c>
      <c r="F25" s="70">
        <f t="shared" si="2"/>
        <v>6.3799999999999996E-2</v>
      </c>
      <c r="G25" s="70">
        <v>638.04999999999995</v>
      </c>
      <c r="H25" s="71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61</v>
      </c>
      <c r="C26" s="68" t="s">
        <v>30</v>
      </c>
      <c r="D26" s="52" t="s">
        <v>80</v>
      </c>
      <c r="E26" s="69">
        <v>0.1</v>
      </c>
      <c r="F26" s="70">
        <f>SUM(E26*365)</f>
        <v>36.5</v>
      </c>
      <c r="G26" s="70">
        <v>192.84</v>
      </c>
      <c r="H26" s="71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5</v>
      </c>
      <c r="B27" s="77" t="s">
        <v>23</v>
      </c>
      <c r="C27" s="68" t="s">
        <v>24</v>
      </c>
      <c r="D27" s="52" t="s">
        <v>80</v>
      </c>
      <c r="E27" s="69">
        <v>3181</v>
      </c>
      <c r="F27" s="70">
        <f>SUM(E27*12)</f>
        <v>38172</v>
      </c>
      <c r="G27" s="70">
        <v>2.67</v>
      </c>
      <c r="H27" s="71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34" t="s">
        <v>158</v>
      </c>
      <c r="B28" s="135"/>
      <c r="C28" s="135"/>
      <c r="D28" s="135"/>
      <c r="E28" s="135"/>
      <c r="F28" s="135"/>
      <c r="G28" s="135"/>
      <c r="H28" s="135"/>
      <c r="I28" s="136"/>
      <c r="J28" s="21"/>
      <c r="K28" s="6"/>
      <c r="L28" s="6"/>
      <c r="M28" s="6"/>
    </row>
    <row r="29" spans="1:13" ht="15.75" customHeight="1">
      <c r="A29" s="115"/>
      <c r="B29" s="63" t="s">
        <v>159</v>
      </c>
      <c r="C29" s="116"/>
      <c r="D29" s="116"/>
      <c r="E29" s="116"/>
      <c r="F29" s="116"/>
      <c r="G29" s="116"/>
      <c r="H29" s="116"/>
      <c r="I29" s="116"/>
      <c r="J29" s="21"/>
      <c r="K29" s="6"/>
      <c r="L29" s="6"/>
      <c r="M29" s="6"/>
    </row>
    <row r="30" spans="1:13" ht="15.75" customHeight="1">
      <c r="A30" s="113">
        <v>6</v>
      </c>
      <c r="B30" s="52" t="s">
        <v>160</v>
      </c>
      <c r="C30" s="68" t="s">
        <v>100</v>
      </c>
      <c r="D30" s="52" t="s">
        <v>163</v>
      </c>
      <c r="E30" s="70">
        <v>210.2</v>
      </c>
      <c r="F30" s="70">
        <f>SUM(E30*52/1000)</f>
        <v>10.930399999999999</v>
      </c>
      <c r="G30" s="70">
        <v>204.44</v>
      </c>
      <c r="H30" s="71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customHeight="1">
      <c r="A31" s="26">
        <v>7</v>
      </c>
      <c r="B31" s="52" t="s">
        <v>161</v>
      </c>
      <c r="C31" s="68" t="s">
        <v>100</v>
      </c>
      <c r="D31" s="52" t="s">
        <v>164</v>
      </c>
      <c r="E31" s="70">
        <v>92</v>
      </c>
      <c r="F31" s="70">
        <f>SUM(E31*78/1000)</f>
        <v>7.1760000000000002</v>
      </c>
      <c r="G31" s="70">
        <v>339.21</v>
      </c>
      <c r="H31" s="71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8" t="s">
        <v>100</v>
      </c>
      <c r="D32" s="52" t="s">
        <v>52</v>
      </c>
      <c r="E32" s="70">
        <f>E30</f>
        <v>210.2</v>
      </c>
      <c r="F32" s="70">
        <f>SUM(E32/1000)</f>
        <v>0.2102</v>
      </c>
      <c r="G32" s="70">
        <v>3961.23</v>
      </c>
      <c r="H32" s="71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customHeight="1">
      <c r="A33" s="26">
        <v>8</v>
      </c>
      <c r="B33" s="52" t="s">
        <v>162</v>
      </c>
      <c r="C33" s="68" t="s">
        <v>28</v>
      </c>
      <c r="D33" s="52" t="s">
        <v>60</v>
      </c>
      <c r="E33" s="76">
        <f>1/3</f>
        <v>0.33333333333333331</v>
      </c>
      <c r="F33" s="70">
        <f>155/3</f>
        <v>51.666666666666664</v>
      </c>
      <c r="G33" s="70">
        <v>74.349999999999994</v>
      </c>
      <c r="H33" s="71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62</v>
      </c>
      <c r="C34" s="68" t="s">
        <v>30</v>
      </c>
      <c r="D34" s="52" t="s">
        <v>63</v>
      </c>
      <c r="E34" s="69"/>
      <c r="F34" s="70">
        <v>1</v>
      </c>
      <c r="G34" s="70">
        <v>250.92</v>
      </c>
      <c r="H34" s="71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18"/>
      <c r="B35" s="52" t="s">
        <v>119</v>
      </c>
      <c r="C35" s="68" t="s">
        <v>29</v>
      </c>
      <c r="D35" s="52" t="s">
        <v>63</v>
      </c>
      <c r="E35" s="69"/>
      <c r="F35" s="70">
        <v>1</v>
      </c>
      <c r="G35" s="70">
        <v>1490.31</v>
      </c>
      <c r="H35" s="71">
        <f t="shared" si="6"/>
        <v>1.49031</v>
      </c>
      <c r="I35" s="12">
        <v>0</v>
      </c>
      <c r="J35" s="21"/>
      <c r="K35" s="6"/>
      <c r="L35" s="6"/>
      <c r="M35" s="6"/>
    </row>
    <row r="36" spans="1:14" ht="15.75" hidden="1" customHeight="1">
      <c r="A36" s="115"/>
      <c r="B36" s="63" t="s">
        <v>4</v>
      </c>
      <c r="C36" s="117"/>
      <c r="D36" s="117"/>
      <c r="E36" s="117"/>
      <c r="F36" s="117"/>
      <c r="G36" s="117"/>
      <c r="H36" s="117"/>
      <c r="I36" s="117"/>
      <c r="J36" s="21"/>
      <c r="K36" s="6"/>
      <c r="L36" s="6"/>
      <c r="M36" s="6"/>
    </row>
    <row r="37" spans="1:14" ht="15.75" hidden="1" customHeight="1">
      <c r="A37" s="113">
        <v>6</v>
      </c>
      <c r="B37" s="52" t="s">
        <v>25</v>
      </c>
      <c r="C37" s="68" t="s">
        <v>29</v>
      </c>
      <c r="D37" s="52"/>
      <c r="E37" s="69"/>
      <c r="F37" s="70">
        <v>3</v>
      </c>
      <c r="G37" s="70">
        <v>2003</v>
      </c>
      <c r="H37" s="71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hidden="1" customHeight="1">
      <c r="A38" s="26">
        <v>7</v>
      </c>
      <c r="B38" s="52" t="s">
        <v>189</v>
      </c>
      <c r="C38" s="68" t="s">
        <v>27</v>
      </c>
      <c r="D38" s="52" t="s">
        <v>122</v>
      </c>
      <c r="E38" s="69">
        <v>92</v>
      </c>
      <c r="F38" s="70">
        <f>E38*30/1000</f>
        <v>2.76</v>
      </c>
      <c r="G38" s="70">
        <v>2757.78</v>
      </c>
      <c r="H38" s="71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123</v>
      </c>
      <c r="C39" s="68" t="s">
        <v>124</v>
      </c>
      <c r="D39" s="52" t="s">
        <v>63</v>
      </c>
      <c r="E39" s="69"/>
      <c r="F39" s="70">
        <v>52</v>
      </c>
      <c r="G39" s="70">
        <v>239.09</v>
      </c>
      <c r="H39" s="71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hidden="1" customHeight="1">
      <c r="A40" s="26"/>
      <c r="B40" s="52" t="s">
        <v>64</v>
      </c>
      <c r="C40" s="68" t="s">
        <v>27</v>
      </c>
      <c r="D40" s="52" t="s">
        <v>125</v>
      </c>
      <c r="E40" s="70">
        <f>E38</f>
        <v>92</v>
      </c>
      <c r="F40" s="70">
        <f>SUM(E40*155/1000)</f>
        <v>14.26</v>
      </c>
      <c r="G40" s="70">
        <v>460.02</v>
      </c>
      <c r="H40" s="71">
        <f t="shared" si="8"/>
        <v>6.5598852000000001</v>
      </c>
      <c r="I40" s="12">
        <f t="shared" si="9"/>
        <v>1093.3141999999998</v>
      </c>
      <c r="J40" s="22"/>
    </row>
    <row r="41" spans="1:14" ht="48" hidden="1" customHeight="1">
      <c r="A41" s="26">
        <v>9</v>
      </c>
      <c r="B41" s="52" t="s">
        <v>79</v>
      </c>
      <c r="C41" s="68" t="s">
        <v>100</v>
      </c>
      <c r="D41" s="52" t="s">
        <v>190</v>
      </c>
      <c r="E41" s="70">
        <v>92</v>
      </c>
      <c r="F41" s="70">
        <f>SUM(E41*35/1000)</f>
        <v>3.22</v>
      </c>
      <c r="G41" s="70">
        <v>7611.16</v>
      </c>
      <c r="H41" s="71">
        <f t="shared" si="8"/>
        <v>24.507935199999999</v>
      </c>
      <c r="I41" s="12">
        <f t="shared" si="9"/>
        <v>4084.655866666667</v>
      </c>
      <c r="J41" s="22"/>
    </row>
    <row r="42" spans="1:14" ht="15.75" hidden="1" customHeight="1">
      <c r="A42" s="26">
        <v>10</v>
      </c>
      <c r="B42" s="52" t="s">
        <v>127</v>
      </c>
      <c r="C42" s="68" t="s">
        <v>100</v>
      </c>
      <c r="D42" s="52" t="s">
        <v>191</v>
      </c>
      <c r="E42" s="70">
        <f>E38</f>
        <v>92</v>
      </c>
      <c r="F42" s="70">
        <f>SUM(E42*20/1000)</f>
        <v>1.84</v>
      </c>
      <c r="G42" s="70">
        <v>562.25</v>
      </c>
      <c r="H42" s="71">
        <f t="shared" si="8"/>
        <v>1.03454</v>
      </c>
      <c r="I42" s="12">
        <f>F42/6*G42</f>
        <v>172.42333333333335</v>
      </c>
      <c r="J42" s="22"/>
    </row>
    <row r="43" spans="1:14" ht="15.75" hidden="1" customHeight="1">
      <c r="A43" s="26">
        <v>11</v>
      </c>
      <c r="B43" s="52" t="s">
        <v>66</v>
      </c>
      <c r="C43" s="68" t="s">
        <v>30</v>
      </c>
      <c r="D43" s="52"/>
      <c r="E43" s="69"/>
      <c r="F43" s="70">
        <v>0.8</v>
      </c>
      <c r="G43" s="70">
        <v>992.97</v>
      </c>
      <c r="H43" s="71">
        <f t="shared" si="8"/>
        <v>0.79437600000000008</v>
      </c>
      <c r="I43" s="12">
        <f>F43/6*G43</f>
        <v>132.39600000000002</v>
      </c>
      <c r="J43" s="22"/>
    </row>
    <row r="44" spans="1:14" ht="15.75" hidden="1" customHeight="1">
      <c r="A44" s="153" t="s">
        <v>141</v>
      </c>
      <c r="B44" s="154"/>
      <c r="C44" s="154"/>
      <c r="D44" s="154"/>
      <c r="E44" s="154"/>
      <c r="F44" s="154"/>
      <c r="G44" s="154"/>
      <c r="H44" s="154"/>
      <c r="I44" s="155"/>
      <c r="J44" s="22"/>
      <c r="L44" s="18"/>
      <c r="M44" s="19"/>
      <c r="N44" s="20"/>
    </row>
    <row r="45" spans="1:14" ht="15.75" hidden="1" customHeight="1">
      <c r="A45" s="26">
        <v>11</v>
      </c>
      <c r="B45" s="33" t="s">
        <v>128</v>
      </c>
      <c r="C45" s="40" t="s">
        <v>100</v>
      </c>
      <c r="D45" s="33" t="s">
        <v>40</v>
      </c>
      <c r="E45" s="123">
        <v>1114.25</v>
      </c>
      <c r="F45" s="32">
        <f>SUM(E45*2/1000)</f>
        <v>2.2284999999999999</v>
      </c>
      <c r="G45" s="35">
        <v>1193.71</v>
      </c>
      <c r="H45" s="124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hidden="1" customHeight="1">
      <c r="A46" s="26">
        <v>12</v>
      </c>
      <c r="B46" s="33" t="s">
        <v>34</v>
      </c>
      <c r="C46" s="40" t="s">
        <v>100</v>
      </c>
      <c r="D46" s="33" t="s">
        <v>40</v>
      </c>
      <c r="E46" s="123">
        <v>2631</v>
      </c>
      <c r="F46" s="32">
        <f>SUM(E46*2/1000)</f>
        <v>5.2619999999999996</v>
      </c>
      <c r="G46" s="35">
        <v>1803.69</v>
      </c>
      <c r="H46" s="124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hidden="1" customHeight="1">
      <c r="A47" s="26">
        <v>13</v>
      </c>
      <c r="B47" s="33" t="s">
        <v>35</v>
      </c>
      <c r="C47" s="40" t="s">
        <v>100</v>
      </c>
      <c r="D47" s="33" t="s">
        <v>40</v>
      </c>
      <c r="E47" s="123">
        <v>1953.8</v>
      </c>
      <c r="F47" s="32">
        <f>SUM(E47*2/1000)</f>
        <v>3.9076</v>
      </c>
      <c r="G47" s="35">
        <v>1243.43</v>
      </c>
      <c r="H47" s="124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hidden="1" customHeight="1">
      <c r="A48" s="26">
        <v>14</v>
      </c>
      <c r="B48" s="33" t="s">
        <v>31</v>
      </c>
      <c r="C48" s="40" t="s">
        <v>32</v>
      </c>
      <c r="D48" s="33" t="s">
        <v>40</v>
      </c>
      <c r="E48" s="123">
        <v>91.84</v>
      </c>
      <c r="F48" s="32">
        <f>SUM(E48*2/100)</f>
        <v>1.8368</v>
      </c>
      <c r="G48" s="125">
        <v>1172.4100000000001</v>
      </c>
      <c r="H48" s="124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hidden="1" customHeight="1">
      <c r="A49" s="26">
        <v>15</v>
      </c>
      <c r="B49" s="33" t="s">
        <v>55</v>
      </c>
      <c r="C49" s="40" t="s">
        <v>100</v>
      </c>
      <c r="D49" s="33" t="s">
        <v>165</v>
      </c>
      <c r="E49" s="123">
        <v>3181</v>
      </c>
      <c r="F49" s="32">
        <f>SUM(E49*5/1000)</f>
        <v>15.904999999999999</v>
      </c>
      <c r="G49" s="35">
        <v>1083.69</v>
      </c>
      <c r="H49" s="124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16</v>
      </c>
      <c r="B50" s="33" t="s">
        <v>129</v>
      </c>
      <c r="C50" s="40" t="s">
        <v>100</v>
      </c>
      <c r="D50" s="33" t="s">
        <v>40</v>
      </c>
      <c r="E50" s="123">
        <v>3181</v>
      </c>
      <c r="F50" s="32">
        <f>SUM(E50*2/1000)</f>
        <v>6.3620000000000001</v>
      </c>
      <c r="G50" s="35">
        <v>1591.6</v>
      </c>
      <c r="H50" s="124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17</v>
      </c>
      <c r="B51" s="33" t="s">
        <v>130</v>
      </c>
      <c r="C51" s="40" t="s">
        <v>36</v>
      </c>
      <c r="D51" s="33" t="s">
        <v>40</v>
      </c>
      <c r="E51" s="123">
        <v>20</v>
      </c>
      <c r="F51" s="32">
        <f>SUM(E51*2/100)</f>
        <v>0.4</v>
      </c>
      <c r="G51" s="35">
        <v>4058.32</v>
      </c>
      <c r="H51" s="124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18</v>
      </c>
      <c r="B52" s="33" t="s">
        <v>37</v>
      </c>
      <c r="C52" s="40" t="s">
        <v>38</v>
      </c>
      <c r="D52" s="33" t="s">
        <v>40</v>
      </c>
      <c r="E52" s="123">
        <v>1</v>
      </c>
      <c r="F52" s="32">
        <v>0.02</v>
      </c>
      <c r="G52" s="35">
        <v>7412.92</v>
      </c>
      <c r="H52" s="124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hidden="1" customHeight="1">
      <c r="A53" s="26">
        <v>19</v>
      </c>
      <c r="B53" s="33" t="s">
        <v>131</v>
      </c>
      <c r="C53" s="40" t="s">
        <v>101</v>
      </c>
      <c r="D53" s="33" t="s">
        <v>67</v>
      </c>
      <c r="E53" s="123">
        <v>70</v>
      </c>
      <c r="F53" s="32">
        <f>E53*3</f>
        <v>210</v>
      </c>
      <c r="G53" s="35">
        <v>185.08</v>
      </c>
      <c r="H53" s="124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hidden="1" customHeight="1">
      <c r="A54" s="26">
        <v>20</v>
      </c>
      <c r="B54" s="33" t="s">
        <v>39</v>
      </c>
      <c r="C54" s="40" t="s">
        <v>101</v>
      </c>
      <c r="D54" s="33" t="s">
        <v>67</v>
      </c>
      <c r="E54" s="123">
        <v>140</v>
      </c>
      <c r="F54" s="32">
        <f>E54*3</f>
        <v>420</v>
      </c>
      <c r="G54" s="36">
        <v>86.15</v>
      </c>
      <c r="H54" s="124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53" t="s">
        <v>83</v>
      </c>
      <c r="B55" s="156"/>
      <c r="C55" s="156"/>
      <c r="D55" s="156"/>
      <c r="E55" s="156"/>
      <c r="F55" s="156"/>
      <c r="G55" s="156"/>
      <c r="H55" s="156"/>
      <c r="I55" s="157"/>
      <c r="J55" s="22"/>
      <c r="L55" s="18"/>
      <c r="M55" s="19"/>
      <c r="N55" s="20"/>
    </row>
    <row r="56" spans="1:14" ht="15.75" hidden="1" customHeight="1">
      <c r="A56" s="26"/>
      <c r="B56" s="93" t="s">
        <v>41</v>
      </c>
      <c r="C56" s="68"/>
      <c r="D56" s="52"/>
      <c r="E56" s="69"/>
      <c r="F56" s="70"/>
      <c r="G56" s="70"/>
      <c r="H56" s="71"/>
      <c r="I56" s="12"/>
      <c r="J56" s="22"/>
      <c r="L56" s="18"/>
      <c r="M56" s="19"/>
      <c r="N56" s="20"/>
    </row>
    <row r="57" spans="1:14" ht="31.5" hidden="1" customHeight="1">
      <c r="A57" s="26">
        <v>24</v>
      </c>
      <c r="B57" s="52" t="s">
        <v>132</v>
      </c>
      <c r="C57" s="68" t="s">
        <v>90</v>
      </c>
      <c r="D57" s="52" t="s">
        <v>133</v>
      </c>
      <c r="E57" s="69">
        <v>111.2</v>
      </c>
      <c r="F57" s="70">
        <f>SUM(E57*6/100)</f>
        <v>6.6720000000000006</v>
      </c>
      <c r="G57" s="12">
        <v>2431.1799999999998</v>
      </c>
      <c r="H57" s="71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15.75" hidden="1" customHeight="1">
      <c r="A58" s="26"/>
      <c r="B58" s="79" t="s">
        <v>135</v>
      </c>
      <c r="C58" s="78" t="s">
        <v>136</v>
      </c>
      <c r="D58" s="13" t="s">
        <v>63</v>
      </c>
      <c r="E58" s="80"/>
      <c r="F58" s="81">
        <v>3</v>
      </c>
      <c r="G58" s="12">
        <v>1582.05</v>
      </c>
      <c r="H58" s="71">
        <f>SUM(F58*G58/1000)</f>
        <v>4.7461499999999992</v>
      </c>
      <c r="I58" s="12">
        <v>0</v>
      </c>
      <c r="J58" s="22"/>
      <c r="L58" s="18"/>
      <c r="M58" s="19"/>
      <c r="N58" s="20"/>
    </row>
    <row r="59" spans="1:14" ht="15.75" hidden="1" customHeight="1">
      <c r="A59" s="26"/>
      <c r="B59" s="94" t="s">
        <v>42</v>
      </c>
      <c r="C59" s="78"/>
      <c r="D59" s="79"/>
      <c r="E59" s="80"/>
      <c r="F59" s="81"/>
      <c r="G59" s="12"/>
      <c r="H59" s="82"/>
      <c r="I59" s="12"/>
      <c r="J59" s="22"/>
      <c r="L59" s="18"/>
      <c r="M59" s="19"/>
      <c r="N59" s="20"/>
    </row>
    <row r="60" spans="1:14" ht="15.75" hidden="1" customHeight="1">
      <c r="A60" s="26"/>
      <c r="B60" s="79" t="s">
        <v>43</v>
      </c>
      <c r="C60" s="78" t="s">
        <v>51</v>
      </c>
      <c r="D60" s="79" t="s">
        <v>52</v>
      </c>
      <c r="E60" s="80">
        <v>222.85</v>
      </c>
      <c r="F60" s="81">
        <v>8.9</v>
      </c>
      <c r="G60" s="12">
        <v>1040.8399999999999</v>
      </c>
      <c r="H60" s="82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94" t="s">
        <v>44</v>
      </c>
      <c r="C61" s="78"/>
      <c r="D61" s="79"/>
      <c r="E61" s="80"/>
      <c r="F61" s="83"/>
      <c r="G61" s="83"/>
      <c r="H61" s="81" t="s">
        <v>110</v>
      </c>
      <c r="I61" s="12"/>
      <c r="J61" s="22"/>
      <c r="L61" s="18"/>
      <c r="M61" s="19"/>
      <c r="N61" s="20"/>
    </row>
    <row r="62" spans="1:14" ht="15.75" customHeight="1">
      <c r="A62" s="26">
        <v>9</v>
      </c>
      <c r="B62" s="13" t="s">
        <v>45</v>
      </c>
      <c r="C62" s="15" t="s">
        <v>101</v>
      </c>
      <c r="D62" s="13" t="s">
        <v>63</v>
      </c>
      <c r="E62" s="17">
        <v>4</v>
      </c>
      <c r="F62" s="70">
        <f>E62</f>
        <v>4</v>
      </c>
      <c r="G62" s="12">
        <v>291.68</v>
      </c>
      <c r="H62" s="84">
        <f t="shared" ref="H62:H70" si="13">SUM(F62*G62/1000)</f>
        <v>1.16672</v>
      </c>
      <c r="I62" s="12">
        <f>G62*2</f>
        <v>583.36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46</v>
      </c>
      <c r="C63" s="15" t="s">
        <v>101</v>
      </c>
      <c r="D63" s="13" t="s">
        <v>63</v>
      </c>
      <c r="E63" s="17">
        <v>4</v>
      </c>
      <c r="F63" s="70">
        <f>E63</f>
        <v>4</v>
      </c>
      <c r="G63" s="12">
        <v>100.01</v>
      </c>
      <c r="H63" s="84">
        <f t="shared" si="13"/>
        <v>0.40004000000000001</v>
      </c>
      <c r="I63" s="12">
        <f t="shared" ref="I63:I68" si="14">G63*2</f>
        <v>200.02</v>
      </c>
      <c r="J63" s="22"/>
      <c r="L63" s="18"/>
      <c r="M63" s="19"/>
      <c r="N63" s="20"/>
    </row>
    <row r="64" spans="1:14" ht="15.75" hidden="1" customHeight="1">
      <c r="A64" s="26">
        <v>24</v>
      </c>
      <c r="B64" s="13" t="s">
        <v>47</v>
      </c>
      <c r="C64" s="15" t="s">
        <v>102</v>
      </c>
      <c r="D64" s="13" t="s">
        <v>52</v>
      </c>
      <c r="E64" s="69">
        <v>12702</v>
      </c>
      <c r="F64" s="12">
        <f>SUM(E64/100)</f>
        <v>127.02</v>
      </c>
      <c r="G64" s="12">
        <v>278.24</v>
      </c>
      <c r="H64" s="84">
        <f t="shared" si="13"/>
        <v>35.342044800000004</v>
      </c>
      <c r="I64" s="12">
        <f t="shared" si="14"/>
        <v>556.48</v>
      </c>
      <c r="J64" s="22"/>
      <c r="L64" s="18"/>
      <c r="M64" s="19"/>
      <c r="N64" s="20"/>
    </row>
    <row r="65" spans="1:14" ht="15.75" hidden="1" customHeight="1">
      <c r="A65" s="26">
        <v>25</v>
      </c>
      <c r="B65" s="13" t="s">
        <v>48</v>
      </c>
      <c r="C65" s="15" t="s">
        <v>103</v>
      </c>
      <c r="D65" s="13"/>
      <c r="E65" s="69">
        <v>12702</v>
      </c>
      <c r="F65" s="12">
        <f>SUM(E65/1000)</f>
        <v>12.702</v>
      </c>
      <c r="G65" s="12">
        <v>216.68</v>
      </c>
      <c r="H65" s="84">
        <f t="shared" si="13"/>
        <v>2.7522693600000001</v>
      </c>
      <c r="I65" s="12">
        <f t="shared" si="14"/>
        <v>433.36</v>
      </c>
      <c r="J65" s="22"/>
      <c r="L65" s="18"/>
      <c r="M65" s="19"/>
      <c r="N65" s="20"/>
    </row>
    <row r="66" spans="1:14" ht="15.75" hidden="1" customHeight="1">
      <c r="A66" s="26">
        <v>26</v>
      </c>
      <c r="B66" s="13" t="s">
        <v>49</v>
      </c>
      <c r="C66" s="15" t="s">
        <v>73</v>
      </c>
      <c r="D66" s="13" t="s">
        <v>52</v>
      </c>
      <c r="E66" s="69">
        <v>2200</v>
      </c>
      <c r="F66" s="12">
        <f>SUM(E66/100)</f>
        <v>22</v>
      </c>
      <c r="G66" s="12">
        <v>2720.94</v>
      </c>
      <c r="H66" s="84">
        <f t="shared" si="13"/>
        <v>59.860680000000002</v>
      </c>
      <c r="I66" s="12">
        <f t="shared" si="14"/>
        <v>5441.88</v>
      </c>
      <c r="J66" s="22"/>
      <c r="L66" s="18"/>
      <c r="M66" s="19"/>
      <c r="N66" s="20"/>
    </row>
    <row r="67" spans="1:14" ht="15.75" hidden="1" customHeight="1">
      <c r="A67" s="26">
        <v>27</v>
      </c>
      <c r="B67" s="85" t="s">
        <v>104</v>
      </c>
      <c r="C67" s="15" t="s">
        <v>30</v>
      </c>
      <c r="D67" s="13"/>
      <c r="E67" s="69">
        <v>9.6</v>
      </c>
      <c r="F67" s="12">
        <f>SUM(E67)</f>
        <v>9.6</v>
      </c>
      <c r="G67" s="12">
        <v>42.61</v>
      </c>
      <c r="H67" s="84">
        <f t="shared" si="13"/>
        <v>0.40905599999999998</v>
      </c>
      <c r="I67" s="12">
        <f t="shared" si="14"/>
        <v>85.22</v>
      </c>
      <c r="J67" s="22"/>
      <c r="L67" s="18"/>
      <c r="M67" s="19"/>
      <c r="N67" s="20"/>
    </row>
    <row r="68" spans="1:14" ht="15.75" hidden="1" customHeight="1">
      <c r="A68" s="26">
        <v>28</v>
      </c>
      <c r="B68" s="85" t="s">
        <v>105</v>
      </c>
      <c r="C68" s="15" t="s">
        <v>30</v>
      </c>
      <c r="D68" s="13"/>
      <c r="E68" s="69">
        <v>9.6</v>
      </c>
      <c r="F68" s="12">
        <f>SUM(E68)</f>
        <v>9.6</v>
      </c>
      <c r="G68" s="12">
        <v>46.04</v>
      </c>
      <c r="H68" s="84">
        <f t="shared" si="13"/>
        <v>0.44198399999999999</v>
      </c>
      <c r="I68" s="12">
        <f t="shared" si="14"/>
        <v>92.08</v>
      </c>
      <c r="J68" s="22"/>
      <c r="L68" s="18"/>
      <c r="M68" s="19"/>
      <c r="N68" s="20"/>
    </row>
    <row r="69" spans="1:14" ht="15.75" hidden="1" customHeight="1">
      <c r="A69" s="26">
        <v>22</v>
      </c>
      <c r="B69" s="13" t="s">
        <v>56</v>
      </c>
      <c r="C69" s="15" t="s">
        <v>57</v>
      </c>
      <c r="D69" s="13" t="s">
        <v>52</v>
      </c>
      <c r="E69" s="17">
        <v>4</v>
      </c>
      <c r="F69" s="12">
        <f>SUM(E69)</f>
        <v>4</v>
      </c>
      <c r="G69" s="12">
        <v>65.42</v>
      </c>
      <c r="H69" s="84">
        <f t="shared" si="13"/>
        <v>0.26168000000000002</v>
      </c>
      <c r="I69" s="12">
        <f>G69*4</f>
        <v>261.68</v>
      </c>
      <c r="J69" s="22"/>
      <c r="L69" s="18"/>
      <c r="M69" s="19"/>
      <c r="N69" s="20"/>
    </row>
    <row r="70" spans="1:14" ht="15.75" customHeight="1">
      <c r="A70" s="26">
        <v>10</v>
      </c>
      <c r="B70" s="13" t="s">
        <v>192</v>
      </c>
      <c r="C70" s="26" t="s">
        <v>193</v>
      </c>
      <c r="D70" s="13" t="s">
        <v>63</v>
      </c>
      <c r="E70" s="17">
        <v>3181</v>
      </c>
      <c r="F70" s="70">
        <f>SUM(E70)*12</f>
        <v>38172</v>
      </c>
      <c r="G70" s="12">
        <v>2.2799999999999998</v>
      </c>
      <c r="H70" s="84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5.75" hidden="1" customHeight="1">
      <c r="A71" s="26"/>
      <c r="B71" s="63" t="s">
        <v>68</v>
      </c>
      <c r="C71" s="15"/>
      <c r="D71" s="13"/>
      <c r="E71" s="17"/>
      <c r="F71" s="12"/>
      <c r="G71" s="12"/>
      <c r="H71" s="84" t="s">
        <v>110</v>
      </c>
      <c r="I71" s="12"/>
      <c r="J71" s="22"/>
      <c r="L71" s="18"/>
      <c r="M71" s="19"/>
      <c r="N71" s="20"/>
    </row>
    <row r="72" spans="1:14" ht="31.5" hidden="1" customHeight="1">
      <c r="A72" s="26">
        <v>18</v>
      </c>
      <c r="B72" s="13" t="s">
        <v>194</v>
      </c>
      <c r="C72" s="15" t="s">
        <v>28</v>
      </c>
      <c r="D72" s="13" t="s">
        <v>63</v>
      </c>
      <c r="E72" s="17">
        <v>1</v>
      </c>
      <c r="F72" s="70">
        <f t="shared" ref="F72" si="15">E72</f>
        <v>1</v>
      </c>
      <c r="G72" s="12">
        <v>1543.4</v>
      </c>
      <c r="H72" s="84">
        <f>G72*F72/1000</f>
        <v>1.5434000000000001</v>
      </c>
      <c r="I72" s="12">
        <v>0</v>
      </c>
      <c r="J72" s="22"/>
      <c r="L72" s="18"/>
      <c r="M72" s="19"/>
      <c r="N72" s="20"/>
    </row>
    <row r="73" spans="1:14" ht="15.75" hidden="1" customHeight="1">
      <c r="A73" s="26"/>
      <c r="B73" s="51" t="s">
        <v>195</v>
      </c>
      <c r="C73" s="57" t="s">
        <v>101</v>
      </c>
      <c r="D73" s="13" t="s">
        <v>63</v>
      </c>
      <c r="E73" s="17">
        <v>1</v>
      </c>
      <c r="F73" s="70">
        <f>E73</f>
        <v>1</v>
      </c>
      <c r="G73" s="12">
        <v>130.96</v>
      </c>
      <c r="H73" s="84">
        <f>G73*F73/1000</f>
        <v>0.13096000000000002</v>
      </c>
      <c r="I73" s="12">
        <v>0</v>
      </c>
      <c r="J73" s="22"/>
      <c r="L73" s="18"/>
      <c r="M73" s="19"/>
      <c r="N73" s="20"/>
    </row>
    <row r="74" spans="1:14" ht="15.75" hidden="1" customHeight="1">
      <c r="A74" s="26"/>
      <c r="B74" s="13" t="s">
        <v>69</v>
      </c>
      <c r="C74" s="15" t="s">
        <v>71</v>
      </c>
      <c r="D74" s="13" t="s">
        <v>63</v>
      </c>
      <c r="E74" s="17">
        <v>3</v>
      </c>
      <c r="F74" s="70">
        <f>E74/10</f>
        <v>0.3</v>
      </c>
      <c r="G74" s="12">
        <v>657.87</v>
      </c>
      <c r="H74" s="84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15.75" hidden="1" customHeight="1">
      <c r="A75" s="26"/>
      <c r="B75" s="13" t="s">
        <v>70</v>
      </c>
      <c r="C75" s="15" t="s">
        <v>28</v>
      </c>
      <c r="D75" s="13" t="s">
        <v>63</v>
      </c>
      <c r="E75" s="17">
        <v>1</v>
      </c>
      <c r="F75" s="70">
        <f>E75</f>
        <v>1</v>
      </c>
      <c r="G75" s="12">
        <v>1118.72</v>
      </c>
      <c r="H75" s="84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15.75" hidden="1" customHeight="1">
      <c r="A76" s="26"/>
      <c r="B76" s="51" t="s">
        <v>196</v>
      </c>
      <c r="C76" s="57" t="s">
        <v>101</v>
      </c>
      <c r="D76" s="13" t="s">
        <v>63</v>
      </c>
      <c r="E76" s="17">
        <v>1</v>
      </c>
      <c r="F76" s="70">
        <f>E76</f>
        <v>1</v>
      </c>
      <c r="G76" s="12">
        <v>1605.83</v>
      </c>
      <c r="H76" s="84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15.75" hidden="1" customHeight="1">
      <c r="A77" s="26"/>
      <c r="B77" s="51" t="s">
        <v>197</v>
      </c>
      <c r="C77" s="57" t="s">
        <v>101</v>
      </c>
      <c r="D77" s="13" t="s">
        <v>63</v>
      </c>
      <c r="E77" s="17">
        <v>2</v>
      </c>
      <c r="F77" s="70">
        <f>E77*12</f>
        <v>24</v>
      </c>
      <c r="G77" s="12">
        <v>53.42</v>
      </c>
      <c r="H77" s="84">
        <f t="shared" si="16"/>
        <v>1.2820799999999999</v>
      </c>
      <c r="I77" s="12">
        <v>0</v>
      </c>
      <c r="J77" s="22"/>
      <c r="L77" s="18"/>
      <c r="M77" s="19"/>
      <c r="N77" s="20"/>
    </row>
    <row r="78" spans="1:14" ht="15.75" hidden="1" customHeight="1">
      <c r="A78" s="26"/>
      <c r="B78" s="86" t="s">
        <v>72</v>
      </c>
      <c r="C78" s="15"/>
      <c r="D78" s="13"/>
      <c r="E78" s="17"/>
      <c r="F78" s="12"/>
      <c r="G78" s="12" t="s">
        <v>110</v>
      </c>
      <c r="H78" s="84" t="s">
        <v>110</v>
      </c>
      <c r="I78" s="12"/>
      <c r="J78" s="22"/>
      <c r="L78" s="18"/>
      <c r="M78" s="19"/>
      <c r="N78" s="20"/>
    </row>
    <row r="79" spans="1:14" ht="15.75" hidden="1" customHeight="1">
      <c r="A79" s="26"/>
      <c r="B79" s="46" t="s">
        <v>109</v>
      </c>
      <c r="C79" s="15" t="s">
        <v>73</v>
      </c>
      <c r="D79" s="13"/>
      <c r="E79" s="17"/>
      <c r="F79" s="12">
        <v>1</v>
      </c>
      <c r="G79" s="12">
        <v>3370.89</v>
      </c>
      <c r="H79" s="84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15.75" hidden="1" customHeight="1">
      <c r="A80" s="26"/>
      <c r="B80" s="63" t="s">
        <v>106</v>
      </c>
      <c r="C80" s="86"/>
      <c r="D80" s="27"/>
      <c r="E80" s="31"/>
      <c r="F80" s="75"/>
      <c r="G80" s="75"/>
      <c r="H80" s="87">
        <f>SUM(H57:H79)</f>
        <v>227.14633412000001</v>
      </c>
      <c r="I80" s="75"/>
      <c r="J80" s="22"/>
      <c r="L80" s="18"/>
      <c r="M80" s="19"/>
      <c r="N80" s="20"/>
    </row>
    <row r="81" spans="1:14" ht="15.75" hidden="1" customHeight="1">
      <c r="A81" s="118">
        <v>15</v>
      </c>
      <c r="B81" s="54" t="s">
        <v>107</v>
      </c>
      <c r="C81" s="126"/>
      <c r="D81" s="127"/>
      <c r="E81" s="127"/>
      <c r="F81" s="128">
        <v>1</v>
      </c>
      <c r="G81" s="128">
        <v>23195</v>
      </c>
      <c r="H81" s="129">
        <f>G81*F81/1000</f>
        <v>23.195</v>
      </c>
      <c r="I81" s="90">
        <f>G81</f>
        <v>23195</v>
      </c>
      <c r="J81" s="22"/>
      <c r="L81" s="18"/>
      <c r="M81" s="19"/>
      <c r="N81" s="20"/>
    </row>
    <row r="82" spans="1:14" ht="15.75" hidden="1" customHeight="1">
      <c r="A82" s="50"/>
      <c r="B82" s="130" t="s">
        <v>198</v>
      </c>
      <c r="C82" s="15"/>
      <c r="D82" s="13"/>
      <c r="E82" s="13"/>
      <c r="F82" s="12">
        <v>69</v>
      </c>
      <c r="G82" s="12">
        <v>700</v>
      </c>
      <c r="H82" s="84">
        <f>G82*F82/1000</f>
        <v>48.3</v>
      </c>
      <c r="I82" s="131">
        <v>0</v>
      </c>
      <c r="J82" s="22"/>
      <c r="L82" s="18"/>
      <c r="M82" s="19"/>
      <c r="N82" s="20"/>
    </row>
    <row r="83" spans="1:14" ht="15.75" customHeight="1">
      <c r="A83" s="134" t="s">
        <v>151</v>
      </c>
      <c r="B83" s="164"/>
      <c r="C83" s="164"/>
      <c r="D83" s="164"/>
      <c r="E83" s="164"/>
      <c r="F83" s="164"/>
      <c r="G83" s="164"/>
      <c r="H83" s="164"/>
      <c r="I83" s="165"/>
      <c r="J83" s="22"/>
      <c r="L83" s="18"/>
      <c r="M83" s="19"/>
      <c r="N83" s="20"/>
    </row>
    <row r="84" spans="1:14" ht="15.75" customHeight="1">
      <c r="A84" s="113">
        <v>11</v>
      </c>
      <c r="B84" s="33" t="s">
        <v>134</v>
      </c>
      <c r="C84" s="38" t="s">
        <v>53</v>
      </c>
      <c r="D84" s="89" t="s">
        <v>54</v>
      </c>
      <c r="E84" s="35">
        <v>3181</v>
      </c>
      <c r="F84" s="35">
        <f>SUM(E84*12)</f>
        <v>38172</v>
      </c>
      <c r="G84" s="35">
        <v>3.1</v>
      </c>
      <c r="H84" s="120">
        <f>SUM(F84*G84/1000)</f>
        <v>118.33319999999999</v>
      </c>
      <c r="I84" s="114">
        <f>F84/12*G84</f>
        <v>9861.1</v>
      </c>
      <c r="J84" s="22"/>
      <c r="L84" s="18"/>
      <c r="M84" s="19"/>
      <c r="N84" s="20"/>
    </row>
    <row r="85" spans="1:14" ht="31.5" customHeight="1">
      <c r="A85" s="26">
        <v>12</v>
      </c>
      <c r="B85" s="13" t="s">
        <v>74</v>
      </c>
      <c r="C85" s="15"/>
      <c r="D85" s="89" t="s">
        <v>54</v>
      </c>
      <c r="E85" s="69">
        <v>3181</v>
      </c>
      <c r="F85" s="12">
        <f>E85*12</f>
        <v>38172</v>
      </c>
      <c r="G85" s="12">
        <v>3.5</v>
      </c>
      <c r="H85" s="84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77</v>
      </c>
      <c r="C86" s="15"/>
      <c r="D86" s="46"/>
      <c r="E86" s="12"/>
      <c r="F86" s="12"/>
      <c r="G86" s="12"/>
      <c r="H86" s="84">
        <f>H85</f>
        <v>133.602</v>
      </c>
      <c r="I86" s="75">
        <f>I16+I17+I18+I26+I27+I30+I31+I33+I62+I70+I84+I85</f>
        <v>49852.63805377778</v>
      </c>
      <c r="J86" s="22"/>
      <c r="L86" s="18"/>
      <c r="M86" s="19"/>
      <c r="N86" s="20"/>
    </row>
    <row r="87" spans="1:14" ht="15.75" customHeight="1">
      <c r="A87" s="139" t="s">
        <v>58</v>
      </c>
      <c r="B87" s="140"/>
      <c r="C87" s="140"/>
      <c r="D87" s="140"/>
      <c r="E87" s="140"/>
      <c r="F87" s="140"/>
      <c r="G87" s="140"/>
      <c r="H87" s="140"/>
      <c r="I87" s="141"/>
      <c r="J87" s="22"/>
      <c r="L87" s="18"/>
      <c r="M87" s="19"/>
      <c r="N87" s="20"/>
    </row>
    <row r="88" spans="1:14" ht="15.75" customHeight="1">
      <c r="A88" s="26">
        <v>13</v>
      </c>
      <c r="B88" s="51" t="s">
        <v>166</v>
      </c>
      <c r="C88" s="57" t="s">
        <v>116</v>
      </c>
      <c r="D88" s="13"/>
      <c r="E88" s="17"/>
      <c r="F88" s="12">
        <f>66/3</f>
        <v>22</v>
      </c>
      <c r="G88" s="12">
        <v>1120.8900000000001</v>
      </c>
      <c r="H88" s="84">
        <f t="shared" ref="H88" si="18">G88*F88/1000</f>
        <v>24.659580000000002</v>
      </c>
      <c r="I88" s="90">
        <f>G88*(7/3)</f>
        <v>2615.4100000000003</v>
      </c>
      <c r="J88" s="22"/>
      <c r="L88" s="18"/>
      <c r="M88" s="19"/>
      <c r="N88" s="20"/>
    </row>
    <row r="89" spans="1:14" ht="31.5" customHeight="1">
      <c r="A89" s="26">
        <v>14</v>
      </c>
      <c r="B89" s="51" t="s">
        <v>76</v>
      </c>
      <c r="C89" s="57" t="s">
        <v>101</v>
      </c>
      <c r="D89" s="37"/>
      <c r="E89" s="16"/>
      <c r="F89" s="35">
        <v>3</v>
      </c>
      <c r="G89" s="35">
        <v>83.36</v>
      </c>
      <c r="H89" s="120">
        <f>G89*F89/1000</f>
        <v>0.25007999999999997</v>
      </c>
      <c r="I89" s="90">
        <f>G89</f>
        <v>83.36</v>
      </c>
      <c r="J89" s="22"/>
      <c r="L89" s="18"/>
      <c r="M89" s="19"/>
      <c r="N89" s="20"/>
    </row>
    <row r="90" spans="1:14" ht="15.75" customHeight="1">
      <c r="A90" s="26">
        <v>15</v>
      </c>
      <c r="B90" s="132" t="s">
        <v>176</v>
      </c>
      <c r="C90" s="133" t="s">
        <v>177</v>
      </c>
      <c r="D90" s="37"/>
      <c r="E90" s="16"/>
      <c r="F90" s="35">
        <v>1</v>
      </c>
      <c r="G90" s="35">
        <v>195.85</v>
      </c>
      <c r="H90" s="35">
        <f>G90*F90/1000</f>
        <v>0.19585</v>
      </c>
      <c r="I90" s="90">
        <f>G90</f>
        <v>195.85</v>
      </c>
      <c r="J90" s="22"/>
      <c r="L90" s="18"/>
      <c r="M90" s="19"/>
      <c r="N90" s="20"/>
    </row>
    <row r="91" spans="1:14" ht="31.5" customHeight="1">
      <c r="A91" s="26">
        <v>16</v>
      </c>
      <c r="B91" s="51" t="s">
        <v>221</v>
      </c>
      <c r="C91" s="57" t="s">
        <v>117</v>
      </c>
      <c r="D91" s="37"/>
      <c r="E91" s="16"/>
      <c r="F91" s="35">
        <v>1</v>
      </c>
      <c r="G91" s="35">
        <v>54.17</v>
      </c>
      <c r="H91" s="120">
        <f t="shared" ref="H91" si="19">G91*F91/1000</f>
        <v>5.4170000000000003E-2</v>
      </c>
      <c r="I91" s="90">
        <f>G91</f>
        <v>54.17</v>
      </c>
      <c r="J91" s="22"/>
      <c r="L91" s="18"/>
      <c r="M91" s="19"/>
      <c r="N91" s="20"/>
    </row>
    <row r="92" spans="1:14" ht="15.75" customHeight="1">
      <c r="A92" s="26"/>
      <c r="B92" s="27" t="s">
        <v>50</v>
      </c>
      <c r="C92" s="41"/>
      <c r="D92" s="47"/>
      <c r="E92" s="41">
        <v>1</v>
      </c>
      <c r="F92" s="41"/>
      <c r="G92" s="41"/>
      <c r="H92" s="41"/>
      <c r="I92" s="31">
        <f>SUM(I88:I91)</f>
        <v>2948.7900000000004</v>
      </c>
      <c r="J92" s="22"/>
      <c r="L92" s="18"/>
      <c r="M92" s="19"/>
      <c r="N92" s="20"/>
    </row>
    <row r="93" spans="1:14" ht="15.75" customHeight="1">
      <c r="A93" s="26"/>
      <c r="B93" s="46" t="s">
        <v>75</v>
      </c>
      <c r="C93" s="14"/>
      <c r="D93" s="14"/>
      <c r="E93" s="42"/>
      <c r="F93" s="42"/>
      <c r="G93" s="43"/>
      <c r="H93" s="43"/>
      <c r="I93" s="16">
        <v>0</v>
      </c>
      <c r="J93" s="22"/>
      <c r="L93" s="18"/>
      <c r="M93" s="19"/>
      <c r="N93" s="20"/>
    </row>
    <row r="94" spans="1:14" ht="15.75" customHeight="1">
      <c r="A94" s="48"/>
      <c r="B94" s="45" t="s">
        <v>174</v>
      </c>
      <c r="C94" s="34"/>
      <c r="D94" s="34"/>
      <c r="E94" s="34"/>
      <c r="F94" s="34"/>
      <c r="G94" s="34"/>
      <c r="H94" s="34"/>
      <c r="I94" s="44">
        <f>I86+I92</f>
        <v>52801.428053777781</v>
      </c>
      <c r="J94" s="22"/>
      <c r="L94" s="18"/>
      <c r="M94" s="19"/>
      <c r="N94" s="20"/>
    </row>
    <row r="95" spans="1:14" ht="15.75" customHeight="1">
      <c r="A95" s="149" t="s">
        <v>222</v>
      </c>
      <c r="B95" s="149"/>
      <c r="C95" s="149"/>
      <c r="D95" s="149"/>
      <c r="E95" s="149"/>
      <c r="F95" s="149"/>
      <c r="G95" s="149"/>
      <c r="H95" s="149"/>
      <c r="I95" s="149"/>
      <c r="J95" s="22"/>
      <c r="L95" s="18"/>
      <c r="M95" s="19"/>
      <c r="N95" s="20"/>
    </row>
    <row r="96" spans="1:14" ht="15.75" customHeight="1">
      <c r="A96" s="8"/>
      <c r="B96" s="163" t="s">
        <v>223</v>
      </c>
      <c r="C96" s="163"/>
      <c r="D96" s="163"/>
      <c r="E96" s="163"/>
      <c r="F96" s="163"/>
      <c r="G96" s="163"/>
      <c r="H96" s="95"/>
      <c r="I96" s="3"/>
      <c r="J96" s="22"/>
      <c r="L96" s="18"/>
      <c r="M96" s="19"/>
      <c r="N96" s="20"/>
    </row>
    <row r="97" spans="1:22" ht="15.75" customHeight="1">
      <c r="A97" s="97"/>
      <c r="B97" s="148" t="s">
        <v>5</v>
      </c>
      <c r="C97" s="148"/>
      <c r="D97" s="148"/>
      <c r="E97" s="148"/>
      <c r="F97" s="148"/>
      <c r="G97" s="148"/>
      <c r="H97" s="23"/>
      <c r="I97" s="5"/>
      <c r="J97" s="22"/>
      <c r="K97" s="22"/>
      <c r="L97" s="22"/>
      <c r="M97" s="19"/>
      <c r="N97" s="20"/>
    </row>
    <row r="98" spans="1:22" ht="15.75" customHeight="1">
      <c r="A98" s="9"/>
      <c r="B98" s="9"/>
      <c r="C98" s="9"/>
      <c r="D98" s="9"/>
      <c r="E98" s="9"/>
      <c r="F98" s="9"/>
      <c r="G98" s="9"/>
      <c r="H98" s="9"/>
      <c r="I98" s="9"/>
      <c r="J98" s="22"/>
      <c r="K98" s="22"/>
      <c r="L98" s="22"/>
      <c r="M98" s="19"/>
      <c r="N98" s="20"/>
    </row>
    <row r="99" spans="1:22" ht="15.75" customHeight="1">
      <c r="A99" s="161" t="s">
        <v>6</v>
      </c>
      <c r="B99" s="161"/>
      <c r="C99" s="161"/>
      <c r="D99" s="161"/>
      <c r="E99" s="161"/>
      <c r="F99" s="161"/>
      <c r="G99" s="161"/>
      <c r="H99" s="161"/>
      <c r="I99" s="161"/>
      <c r="J99" s="22"/>
      <c r="K99" s="22"/>
      <c r="L99" s="22"/>
    </row>
    <row r="100" spans="1:22" ht="15.75" customHeight="1">
      <c r="A100" s="161" t="s">
        <v>7</v>
      </c>
      <c r="B100" s="161"/>
      <c r="C100" s="161"/>
      <c r="D100" s="161"/>
      <c r="E100" s="161"/>
      <c r="F100" s="161"/>
      <c r="G100" s="161"/>
      <c r="H100" s="161"/>
      <c r="I100" s="161"/>
      <c r="J100" s="22"/>
      <c r="K100" s="22"/>
      <c r="L100" s="22"/>
    </row>
    <row r="101" spans="1:22" ht="15.75" customHeight="1">
      <c r="A101" s="149" t="s">
        <v>8</v>
      </c>
      <c r="B101" s="149"/>
      <c r="C101" s="149"/>
      <c r="D101" s="149"/>
      <c r="E101" s="149"/>
      <c r="F101" s="149"/>
      <c r="G101" s="149"/>
      <c r="H101" s="149"/>
      <c r="I101" s="149"/>
    </row>
    <row r="102" spans="1:22" ht="15.75" customHeight="1">
      <c r="A102" s="10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7"/>
    </row>
    <row r="103" spans="1:22" ht="15.75" customHeight="1">
      <c r="A103" s="162" t="s">
        <v>9</v>
      </c>
      <c r="B103" s="162"/>
      <c r="C103" s="162"/>
      <c r="D103" s="162"/>
      <c r="E103" s="162"/>
      <c r="F103" s="162"/>
      <c r="G103" s="162"/>
      <c r="H103" s="162"/>
      <c r="I103" s="162"/>
      <c r="J103" s="24"/>
      <c r="K103" s="24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2" ht="15.75" customHeight="1">
      <c r="A104" s="4"/>
      <c r="J104" s="3"/>
      <c r="K104" s="3"/>
      <c r="L104" s="3"/>
      <c r="M104" s="3"/>
      <c r="N104" s="3"/>
      <c r="O104" s="3"/>
      <c r="P104" s="3"/>
      <c r="Q104" s="3"/>
      <c r="S104" s="3"/>
      <c r="T104" s="3"/>
      <c r="U104" s="3"/>
    </row>
    <row r="105" spans="1:22" ht="15.75" customHeight="1">
      <c r="A105" s="149" t="s">
        <v>10</v>
      </c>
      <c r="B105" s="149"/>
      <c r="C105" s="151" t="s">
        <v>84</v>
      </c>
      <c r="D105" s="151"/>
      <c r="E105" s="151"/>
      <c r="F105" s="65"/>
      <c r="I105" s="100"/>
      <c r="J105" s="5"/>
      <c r="K105" s="5"/>
      <c r="L105" s="5"/>
      <c r="M105" s="5"/>
      <c r="N105" s="5"/>
      <c r="O105" s="5"/>
      <c r="P105" s="5"/>
      <c r="Q105" s="5"/>
      <c r="R105" s="147"/>
      <c r="S105" s="147"/>
      <c r="T105" s="147"/>
      <c r="U105" s="147"/>
    </row>
    <row r="106" spans="1:22" ht="15.75" customHeight="1">
      <c r="A106" s="97"/>
      <c r="C106" s="148" t="s">
        <v>11</v>
      </c>
      <c r="D106" s="148"/>
      <c r="E106" s="148"/>
      <c r="F106" s="23"/>
      <c r="I106" s="98" t="s">
        <v>12</v>
      </c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2" ht="15.75" customHeight="1">
      <c r="A107" s="24"/>
      <c r="C107" s="11"/>
      <c r="D107" s="11"/>
      <c r="G107" s="11"/>
      <c r="H107" s="11"/>
    </row>
    <row r="108" spans="1:22" ht="15.75" customHeight="1">
      <c r="A108" s="149" t="s">
        <v>13</v>
      </c>
      <c r="B108" s="149"/>
      <c r="C108" s="150"/>
      <c r="D108" s="150"/>
      <c r="E108" s="150"/>
      <c r="F108" s="66"/>
      <c r="I108" s="100"/>
    </row>
    <row r="109" spans="1:22" ht="15.75" customHeight="1">
      <c r="A109" s="97"/>
      <c r="C109" s="147" t="s">
        <v>11</v>
      </c>
      <c r="D109" s="147"/>
      <c r="E109" s="147"/>
      <c r="F109" s="97"/>
      <c r="I109" s="98" t="s">
        <v>12</v>
      </c>
    </row>
    <row r="110" spans="1:22" ht="15.75" customHeight="1">
      <c r="A110" s="4" t="s">
        <v>14</v>
      </c>
    </row>
    <row r="111" spans="1:22" ht="15" customHeight="1">
      <c r="A111" s="160" t="s">
        <v>15</v>
      </c>
      <c r="B111" s="160"/>
      <c r="C111" s="160"/>
      <c r="D111" s="160"/>
      <c r="E111" s="160"/>
      <c r="F111" s="160"/>
      <c r="G111" s="160"/>
      <c r="H111" s="160"/>
      <c r="I111" s="160"/>
    </row>
    <row r="112" spans="1:22" ht="45" customHeight="1">
      <c r="A112" s="152" t="s">
        <v>16</v>
      </c>
      <c r="B112" s="152"/>
      <c r="C112" s="152"/>
      <c r="D112" s="152"/>
      <c r="E112" s="152"/>
      <c r="F112" s="152"/>
      <c r="G112" s="152"/>
      <c r="H112" s="152"/>
      <c r="I112" s="152"/>
    </row>
    <row r="113" spans="1:9" ht="30" customHeight="1">
      <c r="A113" s="152" t="s">
        <v>17</v>
      </c>
      <c r="B113" s="152"/>
      <c r="C113" s="152"/>
      <c r="D113" s="152"/>
      <c r="E113" s="152"/>
      <c r="F113" s="152"/>
      <c r="G113" s="152"/>
      <c r="H113" s="152"/>
      <c r="I113" s="152"/>
    </row>
    <row r="114" spans="1:9" ht="30" customHeight="1">
      <c r="A114" s="152" t="s">
        <v>21</v>
      </c>
      <c r="B114" s="152"/>
      <c r="C114" s="152"/>
      <c r="D114" s="152"/>
      <c r="E114" s="152"/>
      <c r="F114" s="152"/>
      <c r="G114" s="152"/>
      <c r="H114" s="152"/>
      <c r="I114" s="152"/>
    </row>
    <row r="115" spans="1:9" ht="15" customHeight="1">
      <c r="A115" s="152" t="s">
        <v>20</v>
      </c>
      <c r="B115" s="152"/>
      <c r="C115" s="152"/>
      <c r="D115" s="152"/>
      <c r="E115" s="152"/>
      <c r="F115" s="152"/>
      <c r="G115" s="152"/>
      <c r="H115" s="152"/>
      <c r="I115" s="152"/>
    </row>
  </sheetData>
  <autoFilter ref="I12:I101"/>
  <mergeCells count="31">
    <mergeCell ref="A14:I14"/>
    <mergeCell ref="A3:I3"/>
    <mergeCell ref="A4:I4"/>
    <mergeCell ref="A5:I5"/>
    <mergeCell ref="A8:I8"/>
    <mergeCell ref="A10:I10"/>
    <mergeCell ref="A101:I101"/>
    <mergeCell ref="A15:I15"/>
    <mergeCell ref="A28:I28"/>
    <mergeCell ref="A44:I44"/>
    <mergeCell ref="A55:I55"/>
    <mergeCell ref="A83:I83"/>
    <mergeCell ref="A87:I87"/>
    <mergeCell ref="A95:I95"/>
    <mergeCell ref="B96:G96"/>
    <mergeCell ref="B97:G97"/>
    <mergeCell ref="A99:I99"/>
    <mergeCell ref="A100:I100"/>
    <mergeCell ref="A115:I115"/>
    <mergeCell ref="A103:I103"/>
    <mergeCell ref="A105:B105"/>
    <mergeCell ref="C105:E105"/>
    <mergeCell ref="R105:U105"/>
    <mergeCell ref="C106:E106"/>
    <mergeCell ref="A108:B108"/>
    <mergeCell ref="C108:E108"/>
    <mergeCell ref="C109:E109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07" t="s">
        <v>81</v>
      </c>
      <c r="I1" s="28"/>
    </row>
    <row r="2" spans="1:15" s="25" customFormat="1" ht="15.75" customHeight="1">
      <c r="A2" s="25" t="s">
        <v>59</v>
      </c>
      <c r="J2" s="1"/>
      <c r="K2" s="1"/>
      <c r="L2" s="1"/>
      <c r="M2" s="1"/>
    </row>
    <row r="3" spans="1:15" s="25" customFormat="1" ht="15.75">
      <c r="A3" s="142" t="s">
        <v>224</v>
      </c>
      <c r="B3" s="142"/>
      <c r="C3" s="142"/>
      <c r="D3" s="142"/>
      <c r="E3" s="142"/>
      <c r="F3" s="142"/>
      <c r="G3" s="142"/>
      <c r="H3" s="142"/>
      <c r="I3" s="142"/>
      <c r="J3" s="2"/>
      <c r="K3" s="2"/>
      <c r="L3" s="2"/>
      <c r="M3" s="2"/>
    </row>
    <row r="4" spans="1:15" s="25" customFormat="1" ht="31.5" customHeight="1">
      <c r="A4" s="143" t="s">
        <v>89</v>
      </c>
      <c r="B4" s="143"/>
      <c r="C4" s="143"/>
      <c r="D4" s="143"/>
      <c r="E4" s="143"/>
      <c r="F4" s="143"/>
      <c r="G4" s="143"/>
      <c r="H4" s="143"/>
      <c r="I4" s="143"/>
      <c r="J4" s="3"/>
      <c r="K4" s="3"/>
      <c r="L4" s="3"/>
    </row>
    <row r="5" spans="1:15" s="25" customFormat="1" ht="15.75" customHeight="1">
      <c r="A5" s="142" t="s">
        <v>225</v>
      </c>
      <c r="B5" s="144"/>
      <c r="C5" s="144"/>
      <c r="D5" s="144"/>
      <c r="E5" s="144"/>
      <c r="F5" s="144"/>
      <c r="G5" s="144"/>
      <c r="H5" s="144"/>
      <c r="I5" s="144"/>
    </row>
    <row r="6" spans="1:15" s="25" customFormat="1" ht="15.75">
      <c r="A6" s="2"/>
      <c r="B6" s="106"/>
      <c r="C6" s="106"/>
      <c r="D6" s="106"/>
      <c r="E6" s="106"/>
      <c r="F6" s="106"/>
      <c r="G6" s="106"/>
      <c r="H6" s="106"/>
      <c r="I6" s="30">
        <v>43069</v>
      </c>
      <c r="J6" s="2"/>
      <c r="K6" s="2"/>
      <c r="L6" s="2"/>
      <c r="M6" s="2"/>
    </row>
    <row r="7" spans="1:15" ht="15.75">
      <c r="B7" s="102"/>
      <c r="C7" s="102"/>
      <c r="D7" s="102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45" t="s">
        <v>188</v>
      </c>
      <c r="B8" s="145"/>
      <c r="C8" s="145"/>
      <c r="D8" s="145"/>
      <c r="E8" s="145"/>
      <c r="F8" s="145"/>
      <c r="G8" s="145"/>
      <c r="H8" s="145"/>
      <c r="I8" s="145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46" t="s">
        <v>228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108" t="s">
        <v>0</v>
      </c>
      <c r="B12" s="108" t="s">
        <v>156</v>
      </c>
      <c r="C12" s="108" t="s">
        <v>1</v>
      </c>
      <c r="D12" s="108" t="s">
        <v>18</v>
      </c>
      <c r="E12" s="108" t="s">
        <v>19</v>
      </c>
      <c r="F12" s="108"/>
      <c r="G12" s="108" t="s">
        <v>22</v>
      </c>
      <c r="H12" s="108"/>
      <c r="I12" s="108" t="s">
        <v>2</v>
      </c>
    </row>
    <row r="13" spans="1:15" s="49" customFormat="1" ht="12.75">
      <c r="A13" s="109">
        <v>1</v>
      </c>
      <c r="B13" s="109">
        <v>2</v>
      </c>
      <c r="C13" s="109">
        <v>3</v>
      </c>
      <c r="D13" s="110">
        <v>4</v>
      </c>
      <c r="E13" s="109">
        <v>5</v>
      </c>
      <c r="F13" s="109"/>
      <c r="G13" s="109">
        <v>5</v>
      </c>
      <c r="H13" s="109"/>
      <c r="I13" s="109">
        <v>6</v>
      </c>
      <c r="J13" s="111"/>
      <c r="K13" s="111"/>
      <c r="L13" s="111"/>
      <c r="M13" s="111"/>
    </row>
    <row r="14" spans="1:15" ht="15.75" customHeight="1">
      <c r="A14" s="137" t="s">
        <v>157</v>
      </c>
      <c r="B14" s="138"/>
      <c r="C14" s="138"/>
      <c r="D14" s="138"/>
      <c r="E14" s="138"/>
      <c r="F14" s="138"/>
      <c r="G14" s="138"/>
      <c r="H14" s="138"/>
      <c r="I14" s="138"/>
      <c r="J14" s="112"/>
      <c r="K14" s="112"/>
      <c r="L14" s="6"/>
      <c r="M14" s="6"/>
      <c r="N14" s="6"/>
      <c r="O14" s="6"/>
    </row>
    <row r="15" spans="1:15" ht="15.75" customHeight="1">
      <c r="A15" s="134" t="s">
        <v>3</v>
      </c>
      <c r="B15" s="135"/>
      <c r="C15" s="135"/>
      <c r="D15" s="135"/>
      <c r="E15" s="135"/>
      <c r="F15" s="135"/>
      <c r="G15" s="135"/>
      <c r="H15" s="135"/>
      <c r="I15" s="136"/>
      <c r="J15" s="6"/>
      <c r="K15" s="6"/>
      <c r="L15" s="6"/>
      <c r="M15" s="6"/>
    </row>
    <row r="16" spans="1:15" ht="15.75" customHeight="1">
      <c r="A16" s="26">
        <v>1</v>
      </c>
      <c r="B16" s="52" t="s">
        <v>82</v>
      </c>
      <c r="C16" s="68" t="s">
        <v>90</v>
      </c>
      <c r="D16" s="52" t="s">
        <v>113</v>
      </c>
      <c r="E16" s="69">
        <v>59.9</v>
      </c>
      <c r="F16" s="70">
        <f>SUM(E16*156/100)</f>
        <v>93.444000000000003</v>
      </c>
      <c r="G16" s="70">
        <v>230</v>
      </c>
      <c r="H16" s="71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87</v>
      </c>
      <c r="C17" s="68" t="s">
        <v>90</v>
      </c>
      <c r="D17" s="52" t="s">
        <v>114</v>
      </c>
      <c r="E17" s="69">
        <v>239.4</v>
      </c>
      <c r="F17" s="70">
        <f>SUM(E17*104/100)</f>
        <v>248.97600000000003</v>
      </c>
      <c r="G17" s="70">
        <v>230</v>
      </c>
      <c r="H17" s="71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88</v>
      </c>
      <c r="C18" s="68" t="s">
        <v>90</v>
      </c>
      <c r="D18" s="52" t="s">
        <v>115</v>
      </c>
      <c r="E18" s="69">
        <f>SUM(E16+E17)</f>
        <v>299.3</v>
      </c>
      <c r="F18" s="70">
        <f>SUM(E18*24/100)</f>
        <v>71.832000000000008</v>
      </c>
      <c r="G18" s="70">
        <v>661.67</v>
      </c>
      <c r="H18" s="71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91</v>
      </c>
      <c r="C19" s="68" t="s">
        <v>92</v>
      </c>
      <c r="D19" s="52" t="s">
        <v>93</v>
      </c>
      <c r="E19" s="69">
        <v>25.6</v>
      </c>
      <c r="F19" s="70">
        <f>SUM(E19/10)</f>
        <v>2.56</v>
      </c>
      <c r="G19" s="70">
        <v>223.17</v>
      </c>
      <c r="H19" s="71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4</v>
      </c>
      <c r="B20" s="52" t="s">
        <v>94</v>
      </c>
      <c r="C20" s="68" t="s">
        <v>90</v>
      </c>
      <c r="D20" s="52" t="s">
        <v>40</v>
      </c>
      <c r="E20" s="69">
        <v>10.5</v>
      </c>
      <c r="F20" s="70">
        <f>SUM(E20*2/100)</f>
        <v>0.21</v>
      </c>
      <c r="G20" s="70">
        <v>285.76</v>
      </c>
      <c r="H20" s="71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5</v>
      </c>
      <c r="B21" s="52" t="s">
        <v>95</v>
      </c>
      <c r="C21" s="68" t="s">
        <v>90</v>
      </c>
      <c r="D21" s="52" t="s">
        <v>40</v>
      </c>
      <c r="E21" s="69">
        <v>2.7</v>
      </c>
      <c r="F21" s="70">
        <f>SUM(E21*2/100)</f>
        <v>5.4000000000000006E-2</v>
      </c>
      <c r="G21" s="70">
        <v>283.44</v>
      </c>
      <c r="H21" s="71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96</v>
      </c>
      <c r="C22" s="68" t="s">
        <v>51</v>
      </c>
      <c r="D22" s="52" t="s">
        <v>93</v>
      </c>
      <c r="E22" s="69">
        <v>357</v>
      </c>
      <c r="F22" s="70">
        <f t="shared" ref="F22:F25" si="2">SUM(E22/100)</f>
        <v>3.57</v>
      </c>
      <c r="G22" s="70">
        <v>353.14</v>
      </c>
      <c r="H22" s="71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97</v>
      </c>
      <c r="C23" s="68" t="s">
        <v>51</v>
      </c>
      <c r="D23" s="52" t="s">
        <v>93</v>
      </c>
      <c r="E23" s="72">
        <v>38.64</v>
      </c>
      <c r="F23" s="70">
        <f t="shared" si="2"/>
        <v>0.38640000000000002</v>
      </c>
      <c r="G23" s="70">
        <v>58.08</v>
      </c>
      <c r="H23" s="71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98</v>
      </c>
      <c r="C24" s="68" t="s">
        <v>51</v>
      </c>
      <c r="D24" s="53" t="s">
        <v>93</v>
      </c>
      <c r="E24" s="17">
        <v>15</v>
      </c>
      <c r="F24" s="73">
        <f t="shared" si="2"/>
        <v>0.15</v>
      </c>
      <c r="G24" s="70">
        <v>511.12</v>
      </c>
      <c r="H24" s="71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99</v>
      </c>
      <c r="C25" s="68" t="s">
        <v>51</v>
      </c>
      <c r="D25" s="52" t="s">
        <v>93</v>
      </c>
      <c r="E25" s="74">
        <v>6.38</v>
      </c>
      <c r="F25" s="70">
        <f t="shared" si="2"/>
        <v>6.3799999999999996E-2</v>
      </c>
      <c r="G25" s="70">
        <v>638.04999999999995</v>
      </c>
      <c r="H25" s="71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61</v>
      </c>
      <c r="C26" s="68" t="s">
        <v>30</v>
      </c>
      <c r="D26" s="52" t="s">
        <v>80</v>
      </c>
      <c r="E26" s="69">
        <v>0.1</v>
      </c>
      <c r="F26" s="70">
        <f>SUM(E26*365)</f>
        <v>36.5</v>
      </c>
      <c r="G26" s="70">
        <v>192.84</v>
      </c>
      <c r="H26" s="71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5</v>
      </c>
      <c r="B27" s="77" t="s">
        <v>23</v>
      </c>
      <c r="C27" s="68" t="s">
        <v>24</v>
      </c>
      <c r="D27" s="52" t="s">
        <v>80</v>
      </c>
      <c r="E27" s="69">
        <v>3181</v>
      </c>
      <c r="F27" s="70">
        <f>SUM(E27*12)</f>
        <v>38172</v>
      </c>
      <c r="G27" s="70">
        <v>2.67</v>
      </c>
      <c r="H27" s="71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34" t="s">
        <v>158</v>
      </c>
      <c r="B28" s="135"/>
      <c r="C28" s="135"/>
      <c r="D28" s="135"/>
      <c r="E28" s="135"/>
      <c r="F28" s="135"/>
      <c r="G28" s="135"/>
      <c r="H28" s="135"/>
      <c r="I28" s="136"/>
      <c r="J28" s="21"/>
      <c r="K28" s="6"/>
      <c r="L28" s="6"/>
      <c r="M28" s="6"/>
    </row>
    <row r="29" spans="1:13" ht="15.75" hidden="1" customHeight="1">
      <c r="A29" s="115"/>
      <c r="B29" s="63" t="s">
        <v>159</v>
      </c>
      <c r="C29" s="116"/>
      <c r="D29" s="116"/>
      <c r="E29" s="116"/>
      <c r="F29" s="116"/>
      <c r="G29" s="116"/>
      <c r="H29" s="116"/>
      <c r="I29" s="116"/>
      <c r="J29" s="21"/>
      <c r="K29" s="6"/>
      <c r="L29" s="6"/>
      <c r="M29" s="6"/>
    </row>
    <row r="30" spans="1:13" ht="15.75" hidden="1" customHeight="1">
      <c r="A30" s="113">
        <v>6</v>
      </c>
      <c r="B30" s="52" t="s">
        <v>160</v>
      </c>
      <c r="C30" s="68" t="s">
        <v>100</v>
      </c>
      <c r="D30" s="52" t="s">
        <v>163</v>
      </c>
      <c r="E30" s="70">
        <v>210.2</v>
      </c>
      <c r="F30" s="70">
        <f>SUM(E30*52/1000)</f>
        <v>10.930399999999999</v>
      </c>
      <c r="G30" s="70">
        <v>204.44</v>
      </c>
      <c r="H30" s="71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hidden="1" customHeight="1">
      <c r="A31" s="26">
        <v>7</v>
      </c>
      <c r="B31" s="52" t="s">
        <v>161</v>
      </c>
      <c r="C31" s="68" t="s">
        <v>100</v>
      </c>
      <c r="D31" s="52" t="s">
        <v>164</v>
      </c>
      <c r="E31" s="70">
        <v>92</v>
      </c>
      <c r="F31" s="70">
        <f>SUM(E31*78/1000)</f>
        <v>7.1760000000000002</v>
      </c>
      <c r="G31" s="70">
        <v>339.21</v>
      </c>
      <c r="H31" s="71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8" t="s">
        <v>100</v>
      </c>
      <c r="D32" s="52" t="s">
        <v>52</v>
      </c>
      <c r="E32" s="70">
        <f>E30</f>
        <v>210.2</v>
      </c>
      <c r="F32" s="70">
        <f>SUM(E32/1000)</f>
        <v>0.2102</v>
      </c>
      <c r="G32" s="70">
        <v>3961.23</v>
      </c>
      <c r="H32" s="71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hidden="1" customHeight="1">
      <c r="A33" s="26">
        <v>8</v>
      </c>
      <c r="B33" s="52" t="s">
        <v>162</v>
      </c>
      <c r="C33" s="68" t="s">
        <v>28</v>
      </c>
      <c r="D33" s="52" t="s">
        <v>60</v>
      </c>
      <c r="E33" s="76">
        <f>1/3</f>
        <v>0.33333333333333331</v>
      </c>
      <c r="F33" s="70">
        <f>155/3</f>
        <v>51.666666666666664</v>
      </c>
      <c r="G33" s="70">
        <v>74.349999999999994</v>
      </c>
      <c r="H33" s="71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62</v>
      </c>
      <c r="C34" s="68" t="s">
        <v>30</v>
      </c>
      <c r="D34" s="52" t="s">
        <v>63</v>
      </c>
      <c r="E34" s="69"/>
      <c r="F34" s="70">
        <v>1</v>
      </c>
      <c r="G34" s="70">
        <v>250.92</v>
      </c>
      <c r="H34" s="71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18"/>
      <c r="B35" s="52" t="s">
        <v>119</v>
      </c>
      <c r="C35" s="68" t="s">
        <v>29</v>
      </c>
      <c r="D35" s="52" t="s">
        <v>63</v>
      </c>
      <c r="E35" s="69"/>
      <c r="F35" s="70">
        <v>1</v>
      </c>
      <c r="G35" s="70">
        <v>1490.31</v>
      </c>
      <c r="H35" s="71">
        <f t="shared" si="6"/>
        <v>1.49031</v>
      </c>
      <c r="I35" s="12">
        <v>0</v>
      </c>
      <c r="J35" s="21"/>
      <c r="K35" s="6"/>
      <c r="L35" s="6"/>
      <c r="M35" s="6"/>
    </row>
    <row r="36" spans="1:14" ht="15.75" customHeight="1">
      <c r="A36" s="115"/>
      <c r="B36" s="63" t="s">
        <v>4</v>
      </c>
      <c r="C36" s="117"/>
      <c r="D36" s="117"/>
      <c r="E36" s="117"/>
      <c r="F36" s="117"/>
      <c r="G36" s="117"/>
      <c r="H36" s="117"/>
      <c r="I36" s="117"/>
      <c r="J36" s="21"/>
      <c r="K36" s="6"/>
      <c r="L36" s="6"/>
      <c r="M36" s="6"/>
    </row>
    <row r="37" spans="1:14" ht="15.75" customHeight="1">
      <c r="A37" s="113">
        <v>6</v>
      </c>
      <c r="B37" s="52" t="s">
        <v>25</v>
      </c>
      <c r="C37" s="68" t="s">
        <v>29</v>
      </c>
      <c r="D37" s="52"/>
      <c r="E37" s="69"/>
      <c r="F37" s="70">
        <v>3</v>
      </c>
      <c r="G37" s="70">
        <v>2003</v>
      </c>
      <c r="H37" s="71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customHeight="1">
      <c r="A38" s="26">
        <v>7</v>
      </c>
      <c r="B38" s="52" t="s">
        <v>189</v>
      </c>
      <c r="C38" s="68" t="s">
        <v>27</v>
      </c>
      <c r="D38" s="52" t="s">
        <v>122</v>
      </c>
      <c r="E38" s="69">
        <v>92</v>
      </c>
      <c r="F38" s="70">
        <f>E38*30/1000</f>
        <v>2.76</v>
      </c>
      <c r="G38" s="70">
        <v>2757.78</v>
      </c>
      <c r="H38" s="71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123</v>
      </c>
      <c r="C39" s="68" t="s">
        <v>124</v>
      </c>
      <c r="D39" s="52" t="s">
        <v>63</v>
      </c>
      <c r="E39" s="69"/>
      <c r="F39" s="70">
        <v>52</v>
      </c>
      <c r="G39" s="70">
        <v>239.09</v>
      </c>
      <c r="H39" s="71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customHeight="1">
      <c r="A40" s="26">
        <v>8</v>
      </c>
      <c r="B40" s="52" t="s">
        <v>64</v>
      </c>
      <c r="C40" s="68" t="s">
        <v>27</v>
      </c>
      <c r="D40" s="52" t="s">
        <v>125</v>
      </c>
      <c r="E40" s="70">
        <f>E38</f>
        <v>92</v>
      </c>
      <c r="F40" s="70">
        <f>SUM(E40*155/1000)</f>
        <v>14.26</v>
      </c>
      <c r="G40" s="70">
        <v>460.02</v>
      </c>
      <c r="H40" s="71">
        <f t="shared" si="8"/>
        <v>6.5598852000000001</v>
      </c>
      <c r="I40" s="12">
        <f t="shared" si="9"/>
        <v>1093.3141999999998</v>
      </c>
      <c r="J40" s="22"/>
    </row>
    <row r="41" spans="1:14" ht="48" customHeight="1">
      <c r="A41" s="26">
        <v>9</v>
      </c>
      <c r="B41" s="52" t="s">
        <v>79</v>
      </c>
      <c r="C41" s="68" t="s">
        <v>100</v>
      </c>
      <c r="D41" s="52" t="s">
        <v>190</v>
      </c>
      <c r="E41" s="70">
        <v>92</v>
      </c>
      <c r="F41" s="70">
        <f>SUM(E41*35/1000)</f>
        <v>3.22</v>
      </c>
      <c r="G41" s="70">
        <v>7611.16</v>
      </c>
      <c r="H41" s="71">
        <f t="shared" si="8"/>
        <v>24.507935199999999</v>
      </c>
      <c r="I41" s="12">
        <f t="shared" si="9"/>
        <v>4084.655866666667</v>
      </c>
      <c r="J41" s="22"/>
    </row>
    <row r="42" spans="1:14" ht="15.75" hidden="1" customHeight="1">
      <c r="A42" s="26">
        <v>10</v>
      </c>
      <c r="B42" s="52" t="s">
        <v>127</v>
      </c>
      <c r="C42" s="68" t="s">
        <v>100</v>
      </c>
      <c r="D42" s="52" t="s">
        <v>191</v>
      </c>
      <c r="E42" s="70">
        <f>E38</f>
        <v>92</v>
      </c>
      <c r="F42" s="70">
        <f>SUM(E42*20/1000)</f>
        <v>1.84</v>
      </c>
      <c r="G42" s="70">
        <v>562.25</v>
      </c>
      <c r="H42" s="71">
        <f t="shared" si="8"/>
        <v>1.03454</v>
      </c>
      <c r="I42" s="12">
        <f>F42/6*G42</f>
        <v>172.42333333333335</v>
      </c>
      <c r="J42" s="22"/>
    </row>
    <row r="43" spans="1:14" ht="15.75" customHeight="1">
      <c r="A43" s="26">
        <v>10</v>
      </c>
      <c r="B43" s="52" t="s">
        <v>66</v>
      </c>
      <c r="C43" s="68" t="s">
        <v>30</v>
      </c>
      <c r="D43" s="52"/>
      <c r="E43" s="69"/>
      <c r="F43" s="70">
        <v>0.8</v>
      </c>
      <c r="G43" s="70">
        <v>992.97</v>
      </c>
      <c r="H43" s="71">
        <f t="shared" si="8"/>
        <v>0.79437600000000008</v>
      </c>
      <c r="I43" s="12">
        <f>F43/6*G43</f>
        <v>132.39600000000002</v>
      </c>
      <c r="J43" s="22"/>
    </row>
    <row r="44" spans="1:14" ht="15.75" hidden="1" customHeight="1">
      <c r="A44" s="153" t="s">
        <v>141</v>
      </c>
      <c r="B44" s="154"/>
      <c r="C44" s="154"/>
      <c r="D44" s="154"/>
      <c r="E44" s="154"/>
      <c r="F44" s="154"/>
      <c r="G44" s="154"/>
      <c r="H44" s="154"/>
      <c r="I44" s="155"/>
      <c r="J44" s="22"/>
      <c r="L44" s="18"/>
      <c r="M44" s="19"/>
      <c r="N44" s="20"/>
    </row>
    <row r="45" spans="1:14" ht="15.75" hidden="1" customHeight="1">
      <c r="A45" s="26">
        <v>11</v>
      </c>
      <c r="B45" s="33" t="s">
        <v>128</v>
      </c>
      <c r="C45" s="40" t="s">
        <v>100</v>
      </c>
      <c r="D45" s="33" t="s">
        <v>40</v>
      </c>
      <c r="E45" s="123">
        <v>1114.25</v>
      </c>
      <c r="F45" s="32">
        <f>SUM(E45*2/1000)</f>
        <v>2.2284999999999999</v>
      </c>
      <c r="G45" s="35">
        <v>1193.71</v>
      </c>
      <c r="H45" s="124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hidden="1" customHeight="1">
      <c r="A46" s="26">
        <v>12</v>
      </c>
      <c r="B46" s="33" t="s">
        <v>34</v>
      </c>
      <c r="C46" s="40" t="s">
        <v>100</v>
      </c>
      <c r="D46" s="33" t="s">
        <v>40</v>
      </c>
      <c r="E46" s="123">
        <v>2631</v>
      </c>
      <c r="F46" s="32">
        <f>SUM(E46*2/1000)</f>
        <v>5.2619999999999996</v>
      </c>
      <c r="G46" s="35">
        <v>1803.69</v>
      </c>
      <c r="H46" s="124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hidden="1" customHeight="1">
      <c r="A47" s="26">
        <v>13</v>
      </c>
      <c r="B47" s="33" t="s">
        <v>35</v>
      </c>
      <c r="C47" s="40" t="s">
        <v>100</v>
      </c>
      <c r="D47" s="33" t="s">
        <v>40</v>
      </c>
      <c r="E47" s="123">
        <v>1953.8</v>
      </c>
      <c r="F47" s="32">
        <f>SUM(E47*2/1000)</f>
        <v>3.9076</v>
      </c>
      <c r="G47" s="35">
        <v>1243.43</v>
      </c>
      <c r="H47" s="124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hidden="1" customHeight="1">
      <c r="A48" s="26">
        <v>14</v>
      </c>
      <c r="B48" s="33" t="s">
        <v>31</v>
      </c>
      <c r="C48" s="40" t="s">
        <v>32</v>
      </c>
      <c r="D48" s="33" t="s">
        <v>40</v>
      </c>
      <c r="E48" s="123">
        <v>91.84</v>
      </c>
      <c r="F48" s="32">
        <f>SUM(E48*2/100)</f>
        <v>1.8368</v>
      </c>
      <c r="G48" s="125">
        <v>1172.4100000000001</v>
      </c>
      <c r="H48" s="124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hidden="1" customHeight="1">
      <c r="A49" s="26">
        <v>15</v>
      </c>
      <c r="B49" s="33" t="s">
        <v>55</v>
      </c>
      <c r="C49" s="40" t="s">
        <v>100</v>
      </c>
      <c r="D49" s="33" t="s">
        <v>165</v>
      </c>
      <c r="E49" s="123">
        <v>3181</v>
      </c>
      <c r="F49" s="32">
        <f>SUM(E49*5/1000)</f>
        <v>15.904999999999999</v>
      </c>
      <c r="G49" s="35">
        <v>1083.69</v>
      </c>
      <c r="H49" s="124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16</v>
      </c>
      <c r="B50" s="33" t="s">
        <v>129</v>
      </c>
      <c r="C50" s="40" t="s">
        <v>100</v>
      </c>
      <c r="D50" s="33" t="s">
        <v>40</v>
      </c>
      <c r="E50" s="123">
        <v>3181</v>
      </c>
      <c r="F50" s="32">
        <f>SUM(E50*2/1000)</f>
        <v>6.3620000000000001</v>
      </c>
      <c r="G50" s="35">
        <v>1591.6</v>
      </c>
      <c r="H50" s="124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17</v>
      </c>
      <c r="B51" s="33" t="s">
        <v>130</v>
      </c>
      <c r="C51" s="40" t="s">
        <v>36</v>
      </c>
      <c r="D51" s="33" t="s">
        <v>40</v>
      </c>
      <c r="E51" s="123">
        <v>20</v>
      </c>
      <c r="F51" s="32">
        <f>SUM(E51*2/100)</f>
        <v>0.4</v>
      </c>
      <c r="G51" s="35">
        <v>4058.32</v>
      </c>
      <c r="H51" s="124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18</v>
      </c>
      <c r="B52" s="33" t="s">
        <v>37</v>
      </c>
      <c r="C52" s="40" t="s">
        <v>38</v>
      </c>
      <c r="D52" s="33" t="s">
        <v>40</v>
      </c>
      <c r="E52" s="123">
        <v>1</v>
      </c>
      <c r="F52" s="32">
        <v>0.02</v>
      </c>
      <c r="G52" s="35">
        <v>7412.92</v>
      </c>
      <c r="H52" s="124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hidden="1" customHeight="1">
      <c r="A53" s="26">
        <v>19</v>
      </c>
      <c r="B53" s="33" t="s">
        <v>131</v>
      </c>
      <c r="C53" s="40" t="s">
        <v>101</v>
      </c>
      <c r="D53" s="33" t="s">
        <v>67</v>
      </c>
      <c r="E53" s="123">
        <v>70</v>
      </c>
      <c r="F53" s="32">
        <f>E53*3</f>
        <v>210</v>
      </c>
      <c r="G53" s="35">
        <v>185.08</v>
      </c>
      <c r="H53" s="124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hidden="1" customHeight="1">
      <c r="A54" s="26">
        <v>20</v>
      </c>
      <c r="B54" s="33" t="s">
        <v>39</v>
      </c>
      <c r="C54" s="40" t="s">
        <v>101</v>
      </c>
      <c r="D54" s="33" t="s">
        <v>67</v>
      </c>
      <c r="E54" s="123">
        <v>140</v>
      </c>
      <c r="F54" s="32">
        <f>E54*3</f>
        <v>420</v>
      </c>
      <c r="G54" s="36">
        <v>86.15</v>
      </c>
      <c r="H54" s="124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53" t="s">
        <v>83</v>
      </c>
      <c r="B55" s="156"/>
      <c r="C55" s="156"/>
      <c r="D55" s="156"/>
      <c r="E55" s="156"/>
      <c r="F55" s="156"/>
      <c r="G55" s="156"/>
      <c r="H55" s="156"/>
      <c r="I55" s="157"/>
      <c r="J55" s="22"/>
      <c r="L55" s="18"/>
      <c r="M55" s="19"/>
      <c r="N55" s="20"/>
    </row>
    <row r="56" spans="1:14" ht="15.75" customHeight="1">
      <c r="A56" s="26"/>
      <c r="B56" s="93" t="s">
        <v>41</v>
      </c>
      <c r="C56" s="68"/>
      <c r="D56" s="52"/>
      <c r="E56" s="69"/>
      <c r="F56" s="70"/>
      <c r="G56" s="70"/>
      <c r="H56" s="71"/>
      <c r="I56" s="12"/>
      <c r="J56" s="22"/>
      <c r="L56" s="18"/>
      <c r="M56" s="19"/>
      <c r="N56" s="20"/>
    </row>
    <row r="57" spans="1:14" ht="31.5" customHeight="1">
      <c r="A57" s="26">
        <v>11</v>
      </c>
      <c r="B57" s="52" t="s">
        <v>132</v>
      </c>
      <c r="C57" s="68" t="s">
        <v>90</v>
      </c>
      <c r="D57" s="52" t="s">
        <v>133</v>
      </c>
      <c r="E57" s="69">
        <v>111.2</v>
      </c>
      <c r="F57" s="70">
        <f>SUM(E57*6/100)</f>
        <v>6.6720000000000006</v>
      </c>
      <c r="G57" s="12">
        <v>2431.1799999999998</v>
      </c>
      <c r="H57" s="71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15.75" hidden="1" customHeight="1">
      <c r="A58" s="26"/>
      <c r="B58" s="79" t="s">
        <v>135</v>
      </c>
      <c r="C58" s="78" t="s">
        <v>136</v>
      </c>
      <c r="D58" s="13" t="s">
        <v>63</v>
      </c>
      <c r="E58" s="80"/>
      <c r="F58" s="81">
        <v>3</v>
      </c>
      <c r="G58" s="12">
        <v>1582.05</v>
      </c>
      <c r="H58" s="71">
        <f>SUM(F58*G58/1000)</f>
        <v>4.7461499999999992</v>
      </c>
      <c r="I58" s="12">
        <v>0</v>
      </c>
      <c r="J58" s="22"/>
      <c r="L58" s="18"/>
      <c r="M58" s="19"/>
      <c r="N58" s="20"/>
    </row>
    <row r="59" spans="1:14" ht="15.75" hidden="1" customHeight="1">
      <c r="A59" s="26"/>
      <c r="B59" s="94" t="s">
        <v>42</v>
      </c>
      <c r="C59" s="78"/>
      <c r="D59" s="79"/>
      <c r="E59" s="80"/>
      <c r="F59" s="81"/>
      <c r="G59" s="12"/>
      <c r="H59" s="82"/>
      <c r="I59" s="12"/>
      <c r="J59" s="22"/>
      <c r="L59" s="18"/>
      <c r="M59" s="19"/>
      <c r="N59" s="20"/>
    </row>
    <row r="60" spans="1:14" ht="15.75" hidden="1" customHeight="1">
      <c r="A60" s="26"/>
      <c r="B60" s="79" t="s">
        <v>43</v>
      </c>
      <c r="C60" s="78" t="s">
        <v>51</v>
      </c>
      <c r="D60" s="79" t="s">
        <v>52</v>
      </c>
      <c r="E60" s="80">
        <v>222.85</v>
      </c>
      <c r="F60" s="81">
        <v>8.9</v>
      </c>
      <c r="G60" s="12">
        <v>1040.8399999999999</v>
      </c>
      <c r="H60" s="82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94" t="s">
        <v>44</v>
      </c>
      <c r="C61" s="78"/>
      <c r="D61" s="79"/>
      <c r="E61" s="80"/>
      <c r="F61" s="83"/>
      <c r="G61" s="83"/>
      <c r="H61" s="81" t="s">
        <v>110</v>
      </c>
      <c r="I61" s="12"/>
      <c r="J61" s="22"/>
      <c r="L61" s="18"/>
      <c r="M61" s="19"/>
      <c r="N61" s="20"/>
    </row>
    <row r="62" spans="1:14" ht="15.75" hidden="1" customHeight="1">
      <c r="A62" s="26">
        <v>9</v>
      </c>
      <c r="B62" s="13" t="s">
        <v>45</v>
      </c>
      <c r="C62" s="15" t="s">
        <v>101</v>
      </c>
      <c r="D62" s="13" t="s">
        <v>63</v>
      </c>
      <c r="E62" s="17">
        <v>4</v>
      </c>
      <c r="F62" s="70">
        <f>E62</f>
        <v>4</v>
      </c>
      <c r="G62" s="12">
        <v>291.68</v>
      </c>
      <c r="H62" s="84">
        <f t="shared" ref="H62:H70" si="13">SUM(F62*G62/1000)</f>
        <v>1.16672</v>
      </c>
      <c r="I62" s="12">
        <f>G62*2</f>
        <v>583.36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46</v>
      </c>
      <c r="C63" s="15" t="s">
        <v>101</v>
      </c>
      <c r="D63" s="13" t="s">
        <v>63</v>
      </c>
      <c r="E63" s="17">
        <v>4</v>
      </c>
      <c r="F63" s="70">
        <f>E63</f>
        <v>4</v>
      </c>
      <c r="G63" s="12">
        <v>100.01</v>
      </c>
      <c r="H63" s="84">
        <f t="shared" si="13"/>
        <v>0.40004000000000001</v>
      </c>
      <c r="I63" s="12">
        <f t="shared" ref="I63:I68" si="14">G63*2</f>
        <v>200.02</v>
      </c>
      <c r="J63" s="22"/>
      <c r="L63" s="18"/>
      <c r="M63" s="19"/>
      <c r="N63" s="20"/>
    </row>
    <row r="64" spans="1:14" ht="15.75" hidden="1" customHeight="1">
      <c r="A64" s="26">
        <v>24</v>
      </c>
      <c r="B64" s="13" t="s">
        <v>47</v>
      </c>
      <c r="C64" s="15" t="s">
        <v>102</v>
      </c>
      <c r="D64" s="13" t="s">
        <v>52</v>
      </c>
      <c r="E64" s="69">
        <v>12702</v>
      </c>
      <c r="F64" s="12">
        <f>SUM(E64/100)</f>
        <v>127.02</v>
      </c>
      <c r="G64" s="12">
        <v>278.24</v>
      </c>
      <c r="H64" s="84">
        <f t="shared" si="13"/>
        <v>35.342044800000004</v>
      </c>
      <c r="I64" s="12">
        <f t="shared" si="14"/>
        <v>556.48</v>
      </c>
      <c r="J64" s="22"/>
      <c r="L64" s="18"/>
      <c r="M64" s="19"/>
      <c r="N64" s="20"/>
    </row>
    <row r="65" spans="1:14" ht="15.75" hidden="1" customHeight="1">
      <c r="A65" s="26">
        <v>25</v>
      </c>
      <c r="B65" s="13" t="s">
        <v>48</v>
      </c>
      <c r="C65" s="15" t="s">
        <v>103</v>
      </c>
      <c r="D65" s="13"/>
      <c r="E65" s="69">
        <v>12702</v>
      </c>
      <c r="F65" s="12">
        <f>SUM(E65/1000)</f>
        <v>12.702</v>
      </c>
      <c r="G65" s="12">
        <v>216.68</v>
      </c>
      <c r="H65" s="84">
        <f t="shared" si="13"/>
        <v>2.7522693600000001</v>
      </c>
      <c r="I65" s="12">
        <f t="shared" si="14"/>
        <v>433.36</v>
      </c>
      <c r="J65" s="22"/>
      <c r="L65" s="18"/>
      <c r="M65" s="19"/>
      <c r="N65" s="20"/>
    </row>
    <row r="66" spans="1:14" ht="15.75" hidden="1" customHeight="1">
      <c r="A66" s="26">
        <v>26</v>
      </c>
      <c r="B66" s="13" t="s">
        <v>49</v>
      </c>
      <c r="C66" s="15" t="s">
        <v>73</v>
      </c>
      <c r="D66" s="13" t="s">
        <v>52</v>
      </c>
      <c r="E66" s="69">
        <v>2200</v>
      </c>
      <c r="F66" s="12">
        <f>SUM(E66/100)</f>
        <v>22</v>
      </c>
      <c r="G66" s="12">
        <v>2720.94</v>
      </c>
      <c r="H66" s="84">
        <f t="shared" si="13"/>
        <v>59.860680000000002</v>
      </c>
      <c r="I66" s="12">
        <f t="shared" si="14"/>
        <v>5441.88</v>
      </c>
      <c r="J66" s="22"/>
      <c r="L66" s="18"/>
      <c r="M66" s="19"/>
      <c r="N66" s="20"/>
    </row>
    <row r="67" spans="1:14" ht="15.75" hidden="1" customHeight="1">
      <c r="A67" s="26">
        <v>27</v>
      </c>
      <c r="B67" s="85" t="s">
        <v>104</v>
      </c>
      <c r="C67" s="15" t="s">
        <v>30</v>
      </c>
      <c r="D67" s="13"/>
      <c r="E67" s="69">
        <v>9.6</v>
      </c>
      <c r="F67" s="12">
        <f>SUM(E67)</f>
        <v>9.6</v>
      </c>
      <c r="G67" s="12">
        <v>42.61</v>
      </c>
      <c r="H67" s="84">
        <f t="shared" si="13"/>
        <v>0.40905599999999998</v>
      </c>
      <c r="I67" s="12">
        <f t="shared" si="14"/>
        <v>85.22</v>
      </c>
      <c r="J67" s="22"/>
      <c r="L67" s="18"/>
      <c r="M67" s="19"/>
      <c r="N67" s="20"/>
    </row>
    <row r="68" spans="1:14" ht="15.75" hidden="1" customHeight="1">
      <c r="A68" s="26">
        <v>28</v>
      </c>
      <c r="B68" s="85" t="s">
        <v>105</v>
      </c>
      <c r="C68" s="15" t="s">
        <v>30</v>
      </c>
      <c r="D68" s="13"/>
      <c r="E68" s="69">
        <v>9.6</v>
      </c>
      <c r="F68" s="12">
        <f>SUM(E68)</f>
        <v>9.6</v>
      </c>
      <c r="G68" s="12">
        <v>46.04</v>
      </c>
      <c r="H68" s="84">
        <f t="shared" si="13"/>
        <v>0.44198399999999999</v>
      </c>
      <c r="I68" s="12">
        <f t="shared" si="14"/>
        <v>92.08</v>
      </c>
      <c r="J68" s="22"/>
      <c r="L68" s="18"/>
      <c r="M68" s="19"/>
      <c r="N68" s="20"/>
    </row>
    <row r="69" spans="1:14" ht="15.75" hidden="1" customHeight="1">
      <c r="A69" s="26">
        <v>22</v>
      </c>
      <c r="B69" s="13" t="s">
        <v>56</v>
      </c>
      <c r="C69" s="15" t="s">
        <v>57</v>
      </c>
      <c r="D69" s="13" t="s">
        <v>52</v>
      </c>
      <c r="E69" s="17">
        <v>4</v>
      </c>
      <c r="F69" s="12">
        <f>SUM(E69)</f>
        <v>4</v>
      </c>
      <c r="G69" s="12">
        <v>65.42</v>
      </c>
      <c r="H69" s="84">
        <f t="shared" si="13"/>
        <v>0.26168000000000002</v>
      </c>
      <c r="I69" s="12">
        <f>G69*4</f>
        <v>261.68</v>
      </c>
      <c r="J69" s="22"/>
      <c r="L69" s="18"/>
      <c r="M69" s="19"/>
      <c r="N69" s="20"/>
    </row>
    <row r="70" spans="1:14" ht="15.75" customHeight="1">
      <c r="A70" s="26">
        <v>12</v>
      </c>
      <c r="B70" s="13" t="s">
        <v>192</v>
      </c>
      <c r="C70" s="26" t="s">
        <v>193</v>
      </c>
      <c r="D70" s="13" t="s">
        <v>63</v>
      </c>
      <c r="E70" s="17">
        <v>3181</v>
      </c>
      <c r="F70" s="70">
        <f>SUM(E70)*12</f>
        <v>38172</v>
      </c>
      <c r="G70" s="12">
        <v>2.2799999999999998</v>
      </c>
      <c r="H70" s="84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5.75" hidden="1" customHeight="1">
      <c r="A71" s="26"/>
      <c r="B71" s="63" t="s">
        <v>68</v>
      </c>
      <c r="C71" s="15"/>
      <c r="D71" s="13"/>
      <c r="E71" s="17"/>
      <c r="F71" s="12"/>
      <c r="G71" s="12"/>
      <c r="H71" s="84" t="s">
        <v>110</v>
      </c>
      <c r="I71" s="12"/>
      <c r="J71" s="22"/>
      <c r="L71" s="18"/>
      <c r="M71" s="19"/>
      <c r="N71" s="20"/>
    </row>
    <row r="72" spans="1:14" ht="31.5" hidden="1" customHeight="1">
      <c r="A72" s="26">
        <v>18</v>
      </c>
      <c r="B72" s="13" t="s">
        <v>194</v>
      </c>
      <c r="C72" s="15" t="s">
        <v>28</v>
      </c>
      <c r="D72" s="13" t="s">
        <v>63</v>
      </c>
      <c r="E72" s="17">
        <v>1</v>
      </c>
      <c r="F72" s="70">
        <f t="shared" ref="F72" si="15">E72</f>
        <v>1</v>
      </c>
      <c r="G72" s="12">
        <v>1543.4</v>
      </c>
      <c r="H72" s="84">
        <f>G72*F72/1000</f>
        <v>1.5434000000000001</v>
      </c>
      <c r="I72" s="12">
        <v>0</v>
      </c>
      <c r="J72" s="22"/>
      <c r="L72" s="18"/>
      <c r="M72" s="19"/>
      <c r="N72" s="20"/>
    </row>
    <row r="73" spans="1:14" ht="15.75" hidden="1" customHeight="1">
      <c r="A73" s="26"/>
      <c r="B73" s="51" t="s">
        <v>195</v>
      </c>
      <c r="C73" s="57" t="s">
        <v>101</v>
      </c>
      <c r="D73" s="13" t="s">
        <v>63</v>
      </c>
      <c r="E73" s="17">
        <v>1</v>
      </c>
      <c r="F73" s="70">
        <f>E73</f>
        <v>1</v>
      </c>
      <c r="G73" s="12">
        <v>130.96</v>
      </c>
      <c r="H73" s="84">
        <f>G73*F73/1000</f>
        <v>0.13096000000000002</v>
      </c>
      <c r="I73" s="12">
        <v>0</v>
      </c>
      <c r="J73" s="22"/>
      <c r="L73" s="18"/>
      <c r="M73" s="19"/>
      <c r="N73" s="20"/>
    </row>
    <row r="74" spans="1:14" ht="15.75" hidden="1" customHeight="1">
      <c r="A74" s="26"/>
      <c r="B74" s="13" t="s">
        <v>69</v>
      </c>
      <c r="C74" s="15" t="s">
        <v>71</v>
      </c>
      <c r="D74" s="13" t="s">
        <v>63</v>
      </c>
      <c r="E74" s="17">
        <v>3</v>
      </c>
      <c r="F74" s="70">
        <f>E74/10</f>
        <v>0.3</v>
      </c>
      <c r="G74" s="12">
        <v>657.87</v>
      </c>
      <c r="H74" s="84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15.75" hidden="1" customHeight="1">
      <c r="A75" s="26"/>
      <c r="B75" s="13" t="s">
        <v>70</v>
      </c>
      <c r="C75" s="15" t="s">
        <v>28</v>
      </c>
      <c r="D75" s="13" t="s">
        <v>63</v>
      </c>
      <c r="E75" s="17">
        <v>1</v>
      </c>
      <c r="F75" s="70">
        <f>E75</f>
        <v>1</v>
      </c>
      <c r="G75" s="12">
        <v>1118.72</v>
      </c>
      <c r="H75" s="84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15.75" hidden="1" customHeight="1">
      <c r="A76" s="26"/>
      <c r="B76" s="51" t="s">
        <v>196</v>
      </c>
      <c r="C76" s="57" t="s">
        <v>101</v>
      </c>
      <c r="D76" s="13" t="s">
        <v>63</v>
      </c>
      <c r="E76" s="17">
        <v>1</v>
      </c>
      <c r="F76" s="70">
        <f>E76</f>
        <v>1</v>
      </c>
      <c r="G76" s="12">
        <v>1605.83</v>
      </c>
      <c r="H76" s="84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15.75" hidden="1" customHeight="1">
      <c r="A77" s="26"/>
      <c r="B77" s="51" t="s">
        <v>197</v>
      </c>
      <c r="C77" s="57" t="s">
        <v>101</v>
      </c>
      <c r="D77" s="13" t="s">
        <v>63</v>
      </c>
      <c r="E77" s="17">
        <v>2</v>
      </c>
      <c r="F77" s="70">
        <f>E77*12</f>
        <v>24</v>
      </c>
      <c r="G77" s="12">
        <v>53.42</v>
      </c>
      <c r="H77" s="84">
        <f t="shared" si="16"/>
        <v>1.2820799999999999</v>
      </c>
      <c r="I77" s="12">
        <v>0</v>
      </c>
      <c r="J77" s="22"/>
      <c r="L77" s="18"/>
      <c r="M77" s="19"/>
      <c r="N77" s="20"/>
    </row>
    <row r="78" spans="1:14" ht="15.75" hidden="1" customHeight="1">
      <c r="A78" s="26"/>
      <c r="B78" s="86" t="s">
        <v>72</v>
      </c>
      <c r="C78" s="15"/>
      <c r="D78" s="13"/>
      <c r="E78" s="17"/>
      <c r="F78" s="12"/>
      <c r="G78" s="12" t="s">
        <v>110</v>
      </c>
      <c r="H78" s="84" t="s">
        <v>110</v>
      </c>
      <c r="I78" s="12"/>
      <c r="J78" s="22"/>
      <c r="L78" s="18"/>
      <c r="M78" s="19"/>
      <c r="N78" s="20"/>
    </row>
    <row r="79" spans="1:14" ht="15.75" hidden="1" customHeight="1">
      <c r="A79" s="26"/>
      <c r="B79" s="46" t="s">
        <v>109</v>
      </c>
      <c r="C79" s="15" t="s">
        <v>73</v>
      </c>
      <c r="D79" s="13"/>
      <c r="E79" s="17"/>
      <c r="F79" s="12">
        <v>1</v>
      </c>
      <c r="G79" s="12">
        <v>3370.89</v>
      </c>
      <c r="H79" s="84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15.75" hidden="1" customHeight="1">
      <c r="A80" s="26"/>
      <c r="B80" s="63" t="s">
        <v>106</v>
      </c>
      <c r="C80" s="86"/>
      <c r="D80" s="27"/>
      <c r="E80" s="31"/>
      <c r="F80" s="75"/>
      <c r="G80" s="75"/>
      <c r="H80" s="87">
        <f>SUM(H57:H79)</f>
        <v>227.14633412000001</v>
      </c>
      <c r="I80" s="75"/>
      <c r="J80" s="22"/>
      <c r="L80" s="18"/>
      <c r="M80" s="19"/>
      <c r="N80" s="20"/>
    </row>
    <row r="81" spans="1:14" ht="15.75" hidden="1" customHeight="1">
      <c r="A81" s="118">
        <v>15</v>
      </c>
      <c r="B81" s="54" t="s">
        <v>107</v>
      </c>
      <c r="C81" s="126"/>
      <c r="D81" s="127"/>
      <c r="E81" s="127"/>
      <c r="F81" s="128">
        <v>1</v>
      </c>
      <c r="G81" s="128">
        <v>23195</v>
      </c>
      <c r="H81" s="129">
        <f>G81*F81/1000</f>
        <v>23.195</v>
      </c>
      <c r="I81" s="90">
        <f>G81</f>
        <v>23195</v>
      </c>
      <c r="J81" s="22"/>
      <c r="L81" s="18"/>
      <c r="M81" s="19"/>
      <c r="N81" s="20"/>
    </row>
    <row r="82" spans="1:14" ht="15.75" hidden="1" customHeight="1">
      <c r="A82" s="50"/>
      <c r="B82" s="130" t="s">
        <v>198</v>
      </c>
      <c r="C82" s="15"/>
      <c r="D82" s="13"/>
      <c r="E82" s="13"/>
      <c r="F82" s="12">
        <v>69</v>
      </c>
      <c r="G82" s="12">
        <v>700</v>
      </c>
      <c r="H82" s="84">
        <f>G82*F82/1000</f>
        <v>48.3</v>
      </c>
      <c r="I82" s="131">
        <v>0</v>
      </c>
      <c r="J82" s="22"/>
      <c r="L82" s="18"/>
      <c r="M82" s="19"/>
      <c r="N82" s="20"/>
    </row>
    <row r="83" spans="1:14" ht="15.75" customHeight="1">
      <c r="A83" s="134" t="s">
        <v>151</v>
      </c>
      <c r="B83" s="164"/>
      <c r="C83" s="164"/>
      <c r="D83" s="164"/>
      <c r="E83" s="164"/>
      <c r="F83" s="164"/>
      <c r="G83" s="164"/>
      <c r="H83" s="164"/>
      <c r="I83" s="165"/>
      <c r="J83" s="22"/>
      <c r="L83" s="18"/>
      <c r="M83" s="19"/>
      <c r="N83" s="20"/>
    </row>
    <row r="84" spans="1:14" ht="15.75" customHeight="1">
      <c r="A84" s="113">
        <v>13</v>
      </c>
      <c r="B84" s="33" t="s">
        <v>134</v>
      </c>
      <c r="C84" s="38" t="s">
        <v>53</v>
      </c>
      <c r="D84" s="89" t="s">
        <v>54</v>
      </c>
      <c r="E84" s="35">
        <v>3181</v>
      </c>
      <c r="F84" s="35">
        <f>SUM(E84*12)</f>
        <v>38172</v>
      </c>
      <c r="G84" s="35">
        <v>3.1</v>
      </c>
      <c r="H84" s="120">
        <f>SUM(F84*G84/1000)</f>
        <v>118.33319999999999</v>
      </c>
      <c r="I84" s="114">
        <f>F84/12*G84</f>
        <v>9861.1</v>
      </c>
      <c r="J84" s="22"/>
      <c r="L84" s="18"/>
      <c r="M84" s="19"/>
      <c r="N84" s="20"/>
    </row>
    <row r="85" spans="1:14" ht="31.5" customHeight="1">
      <c r="A85" s="26">
        <v>14</v>
      </c>
      <c r="B85" s="13" t="s">
        <v>74</v>
      </c>
      <c r="C85" s="15"/>
      <c r="D85" s="89" t="s">
        <v>54</v>
      </c>
      <c r="E85" s="69">
        <v>3181</v>
      </c>
      <c r="F85" s="12">
        <f>E85*12</f>
        <v>38172</v>
      </c>
      <c r="G85" s="12">
        <v>3.5</v>
      </c>
      <c r="H85" s="84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77</v>
      </c>
      <c r="C86" s="15"/>
      <c r="D86" s="46"/>
      <c r="E86" s="12"/>
      <c r="F86" s="12"/>
      <c r="G86" s="12"/>
      <c r="H86" s="84">
        <f>H85</f>
        <v>133.602</v>
      </c>
      <c r="I86" s="75">
        <f>I16+I17+I18+I26+I27+I37+I38+I40+I41+I43+I57+I70+I84+I85</f>
        <v>58134.828646666669</v>
      </c>
      <c r="J86" s="22"/>
      <c r="L86" s="18"/>
      <c r="M86" s="19"/>
      <c r="N86" s="20"/>
    </row>
    <row r="87" spans="1:14" ht="15.75" customHeight="1">
      <c r="A87" s="139" t="s">
        <v>58</v>
      </c>
      <c r="B87" s="140"/>
      <c r="C87" s="140"/>
      <c r="D87" s="140"/>
      <c r="E87" s="140"/>
      <c r="F87" s="140"/>
      <c r="G87" s="140"/>
      <c r="H87" s="140"/>
      <c r="I87" s="141"/>
      <c r="J87" s="22"/>
      <c r="L87" s="18"/>
      <c r="M87" s="19"/>
      <c r="N87" s="20"/>
    </row>
    <row r="88" spans="1:14" ht="15.75" customHeight="1">
      <c r="A88" s="26">
        <v>15</v>
      </c>
      <c r="B88" s="51" t="s">
        <v>166</v>
      </c>
      <c r="C88" s="57" t="s">
        <v>116</v>
      </c>
      <c r="D88" s="13"/>
      <c r="E88" s="17"/>
      <c r="F88" s="12">
        <f>66/3</f>
        <v>22</v>
      </c>
      <c r="G88" s="12">
        <v>1120.8900000000001</v>
      </c>
      <c r="H88" s="84">
        <f t="shared" ref="H88" si="18">G88*F88/1000</f>
        <v>24.659580000000002</v>
      </c>
      <c r="I88" s="90">
        <f>G88</f>
        <v>1120.8900000000001</v>
      </c>
      <c r="J88" s="22"/>
      <c r="L88" s="18"/>
      <c r="M88" s="19"/>
      <c r="N88" s="20"/>
    </row>
    <row r="89" spans="1:14" ht="31.5" customHeight="1">
      <c r="A89" s="26">
        <v>16</v>
      </c>
      <c r="B89" s="51" t="s">
        <v>139</v>
      </c>
      <c r="C89" s="57" t="s">
        <v>36</v>
      </c>
      <c r="D89" s="37"/>
      <c r="E89" s="16"/>
      <c r="F89" s="35">
        <v>0.03</v>
      </c>
      <c r="G89" s="35">
        <v>3581.13</v>
      </c>
      <c r="H89" s="120">
        <f>G89*F89/1000</f>
        <v>0.1074339</v>
      </c>
      <c r="I89" s="90">
        <f>G89*0.01</f>
        <v>35.811300000000003</v>
      </c>
      <c r="J89" s="22"/>
      <c r="L89" s="18"/>
      <c r="M89" s="19"/>
      <c r="N89" s="20"/>
    </row>
    <row r="90" spans="1:14" ht="31.5" customHeight="1">
      <c r="A90" s="26">
        <v>17</v>
      </c>
      <c r="B90" s="51" t="s">
        <v>76</v>
      </c>
      <c r="C90" s="57" t="s">
        <v>101</v>
      </c>
      <c r="D90" s="37"/>
      <c r="E90" s="16"/>
      <c r="F90" s="35">
        <v>3</v>
      </c>
      <c r="G90" s="35">
        <v>83.36</v>
      </c>
      <c r="H90" s="120">
        <f>G90*F90/1000</f>
        <v>0.25007999999999997</v>
      </c>
      <c r="I90" s="90">
        <f>G90</f>
        <v>83.36</v>
      </c>
      <c r="J90" s="22"/>
      <c r="L90" s="18"/>
      <c r="M90" s="19"/>
      <c r="N90" s="20"/>
    </row>
    <row r="91" spans="1:14" ht="15.75" customHeight="1">
      <c r="A91" s="26"/>
      <c r="B91" s="27" t="s">
        <v>50</v>
      </c>
      <c r="C91" s="41"/>
      <c r="D91" s="47"/>
      <c r="E91" s="41">
        <v>1</v>
      </c>
      <c r="F91" s="41"/>
      <c r="G91" s="41"/>
      <c r="H91" s="41"/>
      <c r="I91" s="31">
        <f>SUM(I88:I90)</f>
        <v>1240.0613000000001</v>
      </c>
      <c r="J91" s="22"/>
      <c r="L91" s="18"/>
      <c r="M91" s="19"/>
      <c r="N91" s="20"/>
    </row>
    <row r="92" spans="1:14" ht="15.75" customHeight="1">
      <c r="A92" s="26"/>
      <c r="B92" s="46" t="s">
        <v>75</v>
      </c>
      <c r="C92" s="14"/>
      <c r="D92" s="14"/>
      <c r="E92" s="42"/>
      <c r="F92" s="42"/>
      <c r="G92" s="43"/>
      <c r="H92" s="43"/>
      <c r="I92" s="16">
        <v>0</v>
      </c>
      <c r="J92" s="22"/>
      <c r="L92" s="18"/>
      <c r="M92" s="19"/>
      <c r="N92" s="20"/>
    </row>
    <row r="93" spans="1:14" ht="15.75" customHeight="1">
      <c r="A93" s="48"/>
      <c r="B93" s="45" t="s">
        <v>174</v>
      </c>
      <c r="C93" s="34"/>
      <c r="D93" s="34"/>
      <c r="E93" s="34"/>
      <c r="F93" s="34"/>
      <c r="G93" s="34"/>
      <c r="H93" s="34"/>
      <c r="I93" s="44">
        <f>I86+I91</f>
        <v>59374.88994666667</v>
      </c>
      <c r="J93" s="22"/>
      <c r="L93" s="18"/>
      <c r="M93" s="19"/>
      <c r="N93" s="20"/>
    </row>
    <row r="94" spans="1:14" ht="15.75" customHeight="1">
      <c r="A94" s="149" t="s">
        <v>237</v>
      </c>
      <c r="B94" s="149"/>
      <c r="C94" s="149"/>
      <c r="D94" s="149"/>
      <c r="E94" s="149"/>
      <c r="F94" s="149"/>
      <c r="G94" s="149"/>
      <c r="H94" s="149"/>
      <c r="I94" s="149"/>
      <c r="J94" s="22"/>
      <c r="L94" s="18"/>
      <c r="M94" s="19"/>
      <c r="N94" s="20"/>
    </row>
    <row r="95" spans="1:14" ht="15.75" customHeight="1">
      <c r="A95" s="8"/>
      <c r="B95" s="163" t="s">
        <v>238</v>
      </c>
      <c r="C95" s="163"/>
      <c r="D95" s="163"/>
      <c r="E95" s="163"/>
      <c r="F95" s="163"/>
      <c r="G95" s="163"/>
      <c r="H95" s="105"/>
      <c r="I95" s="3"/>
      <c r="J95" s="22"/>
      <c r="L95" s="18"/>
      <c r="M95" s="19"/>
      <c r="N95" s="20"/>
    </row>
    <row r="96" spans="1:14" ht="15.75" customHeight="1">
      <c r="A96" s="103"/>
      <c r="B96" s="148" t="s">
        <v>5</v>
      </c>
      <c r="C96" s="148"/>
      <c r="D96" s="148"/>
      <c r="E96" s="148"/>
      <c r="F96" s="148"/>
      <c r="G96" s="148"/>
      <c r="H96" s="23"/>
      <c r="I96" s="5"/>
      <c r="J96" s="22"/>
      <c r="K96" s="22"/>
      <c r="L96" s="22"/>
      <c r="M96" s="19"/>
      <c r="N96" s="20"/>
    </row>
    <row r="97" spans="1:22" ht="15.75" customHeight="1">
      <c r="A97" s="9"/>
      <c r="B97" s="9"/>
      <c r="C97" s="9"/>
      <c r="D97" s="9"/>
      <c r="E97" s="9"/>
      <c r="F97" s="9"/>
      <c r="G97" s="9"/>
      <c r="H97" s="9"/>
      <c r="I97" s="9"/>
      <c r="J97" s="22"/>
      <c r="K97" s="22"/>
      <c r="L97" s="22"/>
      <c r="M97" s="19"/>
      <c r="N97" s="20"/>
    </row>
    <row r="98" spans="1:22" ht="15.75" customHeight="1">
      <c r="A98" s="161" t="s">
        <v>6</v>
      </c>
      <c r="B98" s="161"/>
      <c r="C98" s="161"/>
      <c r="D98" s="161"/>
      <c r="E98" s="161"/>
      <c r="F98" s="161"/>
      <c r="G98" s="161"/>
      <c r="H98" s="161"/>
      <c r="I98" s="161"/>
      <c r="J98" s="22"/>
      <c r="K98" s="22"/>
      <c r="L98" s="22"/>
    </row>
    <row r="99" spans="1:22" ht="15.75" customHeight="1">
      <c r="A99" s="161" t="s">
        <v>7</v>
      </c>
      <c r="B99" s="161"/>
      <c r="C99" s="161"/>
      <c r="D99" s="161"/>
      <c r="E99" s="161"/>
      <c r="F99" s="161"/>
      <c r="G99" s="161"/>
      <c r="H99" s="161"/>
      <c r="I99" s="161"/>
      <c r="J99" s="22"/>
      <c r="K99" s="22"/>
      <c r="L99" s="22"/>
    </row>
    <row r="100" spans="1:22" ht="15.75" customHeight="1">
      <c r="A100" s="149" t="s">
        <v>8</v>
      </c>
      <c r="B100" s="149"/>
      <c r="C100" s="149"/>
      <c r="D100" s="149"/>
      <c r="E100" s="149"/>
      <c r="F100" s="149"/>
      <c r="G100" s="149"/>
      <c r="H100" s="149"/>
      <c r="I100" s="149"/>
    </row>
    <row r="101" spans="1:22" ht="15.75" customHeight="1">
      <c r="A101" s="1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7"/>
    </row>
    <row r="102" spans="1:22" ht="15.75" customHeight="1">
      <c r="A102" s="162" t="s">
        <v>9</v>
      </c>
      <c r="B102" s="162"/>
      <c r="C102" s="162"/>
      <c r="D102" s="162"/>
      <c r="E102" s="162"/>
      <c r="F102" s="162"/>
      <c r="G102" s="162"/>
      <c r="H102" s="162"/>
      <c r="I102" s="162"/>
      <c r="J102" s="24"/>
      <c r="K102" s="24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2" ht="15.75" customHeight="1">
      <c r="A103" s="4"/>
      <c r="J103" s="3"/>
      <c r="K103" s="3"/>
      <c r="L103" s="3"/>
      <c r="M103" s="3"/>
      <c r="N103" s="3"/>
      <c r="O103" s="3"/>
      <c r="P103" s="3"/>
      <c r="Q103" s="3"/>
      <c r="S103" s="3"/>
      <c r="T103" s="3"/>
      <c r="U103" s="3"/>
    </row>
    <row r="104" spans="1:22" ht="15.75" customHeight="1">
      <c r="A104" s="149" t="s">
        <v>10</v>
      </c>
      <c r="B104" s="149"/>
      <c r="C104" s="151" t="s">
        <v>84</v>
      </c>
      <c r="D104" s="151"/>
      <c r="E104" s="151"/>
      <c r="F104" s="65"/>
      <c r="I104" s="104"/>
      <c r="J104" s="5"/>
      <c r="K104" s="5"/>
      <c r="L104" s="5"/>
      <c r="M104" s="5"/>
      <c r="N104" s="5"/>
      <c r="O104" s="5"/>
      <c r="P104" s="5"/>
      <c r="Q104" s="5"/>
      <c r="R104" s="147"/>
      <c r="S104" s="147"/>
      <c r="T104" s="147"/>
      <c r="U104" s="147"/>
    </row>
    <row r="105" spans="1:22" ht="15.75" customHeight="1">
      <c r="A105" s="103"/>
      <c r="C105" s="148" t="s">
        <v>11</v>
      </c>
      <c r="D105" s="148"/>
      <c r="E105" s="148"/>
      <c r="F105" s="23"/>
      <c r="I105" s="101" t="s">
        <v>12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2" ht="15.75" customHeight="1">
      <c r="A106" s="24"/>
      <c r="C106" s="11"/>
      <c r="D106" s="11"/>
      <c r="G106" s="11"/>
      <c r="H106" s="11"/>
    </row>
    <row r="107" spans="1:22" ht="15.75" customHeight="1">
      <c r="A107" s="149" t="s">
        <v>13</v>
      </c>
      <c r="B107" s="149"/>
      <c r="C107" s="150"/>
      <c r="D107" s="150"/>
      <c r="E107" s="150"/>
      <c r="F107" s="66"/>
      <c r="I107" s="104"/>
    </row>
    <row r="108" spans="1:22" ht="15.75" customHeight="1">
      <c r="A108" s="103"/>
      <c r="C108" s="147" t="s">
        <v>11</v>
      </c>
      <c r="D108" s="147"/>
      <c r="E108" s="147"/>
      <c r="F108" s="103"/>
      <c r="I108" s="101" t="s">
        <v>12</v>
      </c>
    </row>
    <row r="109" spans="1:22" ht="15.75" customHeight="1">
      <c r="A109" s="4" t="s">
        <v>14</v>
      </c>
    </row>
    <row r="110" spans="1:22" ht="15" customHeight="1">
      <c r="A110" s="160" t="s">
        <v>15</v>
      </c>
      <c r="B110" s="160"/>
      <c r="C110" s="160"/>
      <c r="D110" s="160"/>
      <c r="E110" s="160"/>
      <c r="F110" s="160"/>
      <c r="G110" s="160"/>
      <c r="H110" s="160"/>
      <c r="I110" s="160"/>
    </row>
    <row r="111" spans="1:22" ht="45" customHeight="1">
      <c r="A111" s="152" t="s">
        <v>16</v>
      </c>
      <c r="B111" s="152"/>
      <c r="C111" s="152"/>
      <c r="D111" s="152"/>
      <c r="E111" s="152"/>
      <c r="F111" s="152"/>
      <c r="G111" s="152"/>
      <c r="H111" s="152"/>
      <c r="I111" s="152"/>
    </row>
    <row r="112" spans="1:22" ht="30" customHeight="1">
      <c r="A112" s="152" t="s">
        <v>17</v>
      </c>
      <c r="B112" s="152"/>
      <c r="C112" s="152"/>
      <c r="D112" s="152"/>
      <c r="E112" s="152"/>
      <c r="F112" s="152"/>
      <c r="G112" s="152"/>
      <c r="H112" s="152"/>
      <c r="I112" s="152"/>
    </row>
    <row r="113" spans="1:9" ht="30" customHeight="1">
      <c r="A113" s="152" t="s">
        <v>21</v>
      </c>
      <c r="B113" s="152"/>
      <c r="C113" s="152"/>
      <c r="D113" s="152"/>
      <c r="E113" s="152"/>
      <c r="F113" s="152"/>
      <c r="G113" s="152"/>
      <c r="H113" s="152"/>
      <c r="I113" s="152"/>
    </row>
    <row r="114" spans="1:9" ht="15" customHeight="1">
      <c r="A114" s="152" t="s">
        <v>20</v>
      </c>
      <c r="B114" s="152"/>
      <c r="C114" s="152"/>
      <c r="D114" s="152"/>
      <c r="E114" s="152"/>
      <c r="F114" s="152"/>
      <c r="G114" s="152"/>
      <c r="H114" s="152"/>
      <c r="I114" s="152"/>
    </row>
  </sheetData>
  <autoFilter ref="I12:I100"/>
  <mergeCells count="31">
    <mergeCell ref="A114:I114"/>
    <mergeCell ref="A102:I102"/>
    <mergeCell ref="A104:B104"/>
    <mergeCell ref="C104:E104"/>
    <mergeCell ref="R104:U104"/>
    <mergeCell ref="C105:E105"/>
    <mergeCell ref="A107:B107"/>
    <mergeCell ref="C107:E107"/>
    <mergeCell ref="C108:E108"/>
    <mergeCell ref="A110:I110"/>
    <mergeCell ref="A111:I111"/>
    <mergeCell ref="A112:I112"/>
    <mergeCell ref="A113:I113"/>
    <mergeCell ref="A100:I100"/>
    <mergeCell ref="A15:I15"/>
    <mergeCell ref="A28:I28"/>
    <mergeCell ref="A44:I44"/>
    <mergeCell ref="A55:I55"/>
    <mergeCell ref="A83:I83"/>
    <mergeCell ref="A87:I87"/>
    <mergeCell ref="A94:I94"/>
    <mergeCell ref="B95:G95"/>
    <mergeCell ref="B96:G96"/>
    <mergeCell ref="A98:I98"/>
    <mergeCell ref="A99:I99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4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107" t="s">
        <v>81</v>
      </c>
      <c r="I1" s="28"/>
    </row>
    <row r="2" spans="1:15" s="25" customFormat="1" ht="15.75" customHeight="1">
      <c r="A2" s="25" t="s">
        <v>59</v>
      </c>
      <c r="J2" s="1"/>
      <c r="K2" s="1"/>
      <c r="L2" s="1"/>
      <c r="M2" s="1"/>
    </row>
    <row r="3" spans="1:15" s="25" customFormat="1" ht="15.75">
      <c r="A3" s="142" t="s">
        <v>226</v>
      </c>
      <c r="B3" s="142"/>
      <c r="C3" s="142"/>
      <c r="D3" s="142"/>
      <c r="E3" s="142"/>
      <c r="F3" s="142"/>
      <c r="G3" s="142"/>
      <c r="H3" s="142"/>
      <c r="I3" s="142"/>
      <c r="J3" s="2"/>
      <c r="K3" s="2"/>
      <c r="L3" s="2"/>
      <c r="M3" s="2"/>
    </row>
    <row r="4" spans="1:15" s="25" customFormat="1" ht="31.5" customHeight="1">
      <c r="A4" s="143" t="s">
        <v>89</v>
      </c>
      <c r="B4" s="143"/>
      <c r="C4" s="143"/>
      <c r="D4" s="143"/>
      <c r="E4" s="143"/>
      <c r="F4" s="143"/>
      <c r="G4" s="143"/>
      <c r="H4" s="143"/>
      <c r="I4" s="143"/>
      <c r="J4" s="3"/>
      <c r="K4" s="3"/>
      <c r="L4" s="3"/>
    </row>
    <row r="5" spans="1:15" s="25" customFormat="1" ht="15.75" customHeight="1">
      <c r="A5" s="142" t="s">
        <v>227</v>
      </c>
      <c r="B5" s="144"/>
      <c r="C5" s="144"/>
      <c r="D5" s="144"/>
      <c r="E5" s="144"/>
      <c r="F5" s="144"/>
      <c r="G5" s="144"/>
      <c r="H5" s="144"/>
      <c r="I5" s="144"/>
    </row>
    <row r="6" spans="1:15" s="25" customFormat="1" ht="15.75">
      <c r="A6" s="2"/>
      <c r="B6" s="106"/>
      <c r="C6" s="106"/>
      <c r="D6" s="106"/>
      <c r="E6" s="106"/>
      <c r="F6" s="106"/>
      <c r="G6" s="106"/>
      <c r="H6" s="106"/>
      <c r="I6" s="30">
        <v>43100</v>
      </c>
      <c r="J6" s="2"/>
      <c r="K6" s="2"/>
      <c r="L6" s="2"/>
      <c r="M6" s="2"/>
    </row>
    <row r="7" spans="1:15" ht="15.75">
      <c r="B7" s="102"/>
      <c r="C7" s="102"/>
      <c r="D7" s="102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45" t="s">
        <v>188</v>
      </c>
      <c r="B8" s="145"/>
      <c r="C8" s="145"/>
      <c r="D8" s="145"/>
      <c r="E8" s="145"/>
      <c r="F8" s="145"/>
      <c r="G8" s="145"/>
      <c r="H8" s="145"/>
      <c r="I8" s="145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46" t="s">
        <v>228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108" t="s">
        <v>0</v>
      </c>
      <c r="B12" s="108" t="s">
        <v>156</v>
      </c>
      <c r="C12" s="108" t="s">
        <v>1</v>
      </c>
      <c r="D12" s="108" t="s">
        <v>18</v>
      </c>
      <c r="E12" s="108" t="s">
        <v>19</v>
      </c>
      <c r="F12" s="108"/>
      <c r="G12" s="108" t="s">
        <v>22</v>
      </c>
      <c r="H12" s="108"/>
      <c r="I12" s="108" t="s">
        <v>2</v>
      </c>
    </row>
    <row r="13" spans="1:15" s="49" customFormat="1" ht="12.75">
      <c r="A13" s="109">
        <v>1</v>
      </c>
      <c r="B13" s="109">
        <v>2</v>
      </c>
      <c r="C13" s="109">
        <v>3</v>
      </c>
      <c r="D13" s="110">
        <v>4</v>
      </c>
      <c r="E13" s="109">
        <v>5</v>
      </c>
      <c r="F13" s="109"/>
      <c r="G13" s="109">
        <v>5</v>
      </c>
      <c r="H13" s="109"/>
      <c r="I13" s="109">
        <v>6</v>
      </c>
      <c r="J13" s="111"/>
      <c r="K13" s="111"/>
      <c r="L13" s="111"/>
      <c r="M13" s="111"/>
    </row>
    <row r="14" spans="1:15" ht="15.75" customHeight="1">
      <c r="A14" s="137" t="s">
        <v>157</v>
      </c>
      <c r="B14" s="138"/>
      <c r="C14" s="138"/>
      <c r="D14" s="138"/>
      <c r="E14" s="138"/>
      <c r="F14" s="138"/>
      <c r="G14" s="138"/>
      <c r="H14" s="138"/>
      <c r="I14" s="138"/>
      <c r="J14" s="112"/>
      <c r="K14" s="112"/>
      <c r="L14" s="6"/>
      <c r="M14" s="6"/>
      <c r="N14" s="6"/>
      <c r="O14" s="6"/>
    </row>
    <row r="15" spans="1:15" ht="15.75" customHeight="1">
      <c r="A15" s="134" t="s">
        <v>3</v>
      </c>
      <c r="B15" s="135"/>
      <c r="C15" s="135"/>
      <c r="D15" s="135"/>
      <c r="E15" s="135"/>
      <c r="F15" s="135"/>
      <c r="G15" s="135"/>
      <c r="H15" s="135"/>
      <c r="I15" s="136"/>
      <c r="J15" s="6"/>
      <c r="K15" s="6"/>
      <c r="L15" s="6"/>
      <c r="M15" s="6"/>
    </row>
    <row r="16" spans="1:15" ht="15.75" customHeight="1">
      <c r="A16" s="26">
        <v>1</v>
      </c>
      <c r="B16" s="52" t="s">
        <v>82</v>
      </c>
      <c r="C16" s="68" t="s">
        <v>90</v>
      </c>
      <c r="D16" s="52" t="s">
        <v>113</v>
      </c>
      <c r="E16" s="69">
        <v>59.9</v>
      </c>
      <c r="F16" s="70">
        <f>SUM(E16*156/100)</f>
        <v>93.444000000000003</v>
      </c>
      <c r="G16" s="70">
        <v>230</v>
      </c>
      <c r="H16" s="71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87</v>
      </c>
      <c r="C17" s="68" t="s">
        <v>90</v>
      </c>
      <c r="D17" s="52" t="s">
        <v>114</v>
      </c>
      <c r="E17" s="69">
        <v>239.4</v>
      </c>
      <c r="F17" s="70">
        <f>SUM(E17*104/100)</f>
        <v>248.97600000000003</v>
      </c>
      <c r="G17" s="70">
        <v>230</v>
      </c>
      <c r="H17" s="71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88</v>
      </c>
      <c r="C18" s="68" t="s">
        <v>90</v>
      </c>
      <c r="D18" s="52" t="s">
        <v>115</v>
      </c>
      <c r="E18" s="69">
        <f>SUM(E16+E17)</f>
        <v>299.3</v>
      </c>
      <c r="F18" s="70">
        <f>SUM(E18*24/100)</f>
        <v>71.832000000000008</v>
      </c>
      <c r="G18" s="70">
        <v>661.67</v>
      </c>
      <c r="H18" s="71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91</v>
      </c>
      <c r="C19" s="68" t="s">
        <v>92</v>
      </c>
      <c r="D19" s="52" t="s">
        <v>93</v>
      </c>
      <c r="E19" s="69">
        <v>25.6</v>
      </c>
      <c r="F19" s="70">
        <f>SUM(E19/10)</f>
        <v>2.56</v>
      </c>
      <c r="G19" s="70">
        <v>223.17</v>
      </c>
      <c r="H19" s="71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4</v>
      </c>
      <c r="B20" s="52" t="s">
        <v>94</v>
      </c>
      <c r="C20" s="68" t="s">
        <v>90</v>
      </c>
      <c r="D20" s="52" t="s">
        <v>40</v>
      </c>
      <c r="E20" s="69">
        <v>10.5</v>
      </c>
      <c r="F20" s="70">
        <f>SUM(E20*2/100)</f>
        <v>0.21</v>
      </c>
      <c r="G20" s="70">
        <v>285.76</v>
      </c>
      <c r="H20" s="71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5</v>
      </c>
      <c r="B21" s="52" t="s">
        <v>95</v>
      </c>
      <c r="C21" s="68" t="s">
        <v>90</v>
      </c>
      <c r="D21" s="52" t="s">
        <v>40</v>
      </c>
      <c r="E21" s="69">
        <v>2.7</v>
      </c>
      <c r="F21" s="70">
        <f>SUM(E21*2/100)</f>
        <v>5.4000000000000006E-2</v>
      </c>
      <c r="G21" s="70">
        <v>283.44</v>
      </c>
      <c r="H21" s="71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96</v>
      </c>
      <c r="C22" s="68" t="s">
        <v>51</v>
      </c>
      <c r="D22" s="52" t="s">
        <v>93</v>
      </c>
      <c r="E22" s="69">
        <v>357</v>
      </c>
      <c r="F22" s="70">
        <f t="shared" ref="F22:F25" si="2">SUM(E22/100)</f>
        <v>3.57</v>
      </c>
      <c r="G22" s="70">
        <v>353.14</v>
      </c>
      <c r="H22" s="71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97</v>
      </c>
      <c r="C23" s="68" t="s">
        <v>51</v>
      </c>
      <c r="D23" s="52" t="s">
        <v>93</v>
      </c>
      <c r="E23" s="72">
        <v>38.64</v>
      </c>
      <c r="F23" s="70">
        <f t="shared" si="2"/>
        <v>0.38640000000000002</v>
      </c>
      <c r="G23" s="70">
        <v>58.08</v>
      </c>
      <c r="H23" s="71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98</v>
      </c>
      <c r="C24" s="68" t="s">
        <v>51</v>
      </c>
      <c r="D24" s="53" t="s">
        <v>93</v>
      </c>
      <c r="E24" s="17">
        <v>15</v>
      </c>
      <c r="F24" s="73">
        <f t="shared" si="2"/>
        <v>0.15</v>
      </c>
      <c r="G24" s="70">
        <v>511.12</v>
      </c>
      <c r="H24" s="71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99</v>
      </c>
      <c r="C25" s="68" t="s">
        <v>51</v>
      </c>
      <c r="D25" s="52" t="s">
        <v>93</v>
      </c>
      <c r="E25" s="74">
        <v>6.38</v>
      </c>
      <c r="F25" s="70">
        <f t="shared" si="2"/>
        <v>6.3799999999999996E-2</v>
      </c>
      <c r="G25" s="70">
        <v>638.04999999999995</v>
      </c>
      <c r="H25" s="71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61</v>
      </c>
      <c r="C26" s="68" t="s">
        <v>30</v>
      </c>
      <c r="D26" s="52" t="s">
        <v>80</v>
      </c>
      <c r="E26" s="69">
        <v>0.1</v>
      </c>
      <c r="F26" s="70">
        <f>SUM(E26*365)</f>
        <v>36.5</v>
      </c>
      <c r="G26" s="70">
        <v>192.84</v>
      </c>
      <c r="H26" s="71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5</v>
      </c>
      <c r="B27" s="77" t="s">
        <v>23</v>
      </c>
      <c r="C27" s="68" t="s">
        <v>24</v>
      </c>
      <c r="D27" s="52" t="s">
        <v>80</v>
      </c>
      <c r="E27" s="69">
        <v>3181</v>
      </c>
      <c r="F27" s="70">
        <f>SUM(E27*12)</f>
        <v>38172</v>
      </c>
      <c r="G27" s="70">
        <v>2.67</v>
      </c>
      <c r="H27" s="71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34" t="s">
        <v>158</v>
      </c>
      <c r="B28" s="135"/>
      <c r="C28" s="135"/>
      <c r="D28" s="135"/>
      <c r="E28" s="135"/>
      <c r="F28" s="135"/>
      <c r="G28" s="135"/>
      <c r="H28" s="135"/>
      <c r="I28" s="136"/>
      <c r="J28" s="21"/>
      <c r="K28" s="6"/>
      <c r="L28" s="6"/>
      <c r="M28" s="6"/>
    </row>
    <row r="29" spans="1:13" ht="15.75" hidden="1" customHeight="1">
      <c r="A29" s="115"/>
      <c r="B29" s="63" t="s">
        <v>159</v>
      </c>
      <c r="C29" s="116"/>
      <c r="D29" s="116"/>
      <c r="E29" s="116"/>
      <c r="F29" s="116"/>
      <c r="G29" s="116"/>
      <c r="H29" s="116"/>
      <c r="I29" s="116"/>
      <c r="J29" s="21"/>
      <c r="K29" s="6"/>
      <c r="L29" s="6"/>
      <c r="M29" s="6"/>
    </row>
    <row r="30" spans="1:13" ht="15.75" hidden="1" customHeight="1">
      <c r="A30" s="113">
        <v>6</v>
      </c>
      <c r="B30" s="52" t="s">
        <v>160</v>
      </c>
      <c r="C30" s="68" t="s">
        <v>100</v>
      </c>
      <c r="D30" s="52" t="s">
        <v>163</v>
      </c>
      <c r="E30" s="70">
        <v>210.2</v>
      </c>
      <c r="F30" s="70">
        <f>SUM(E30*52/1000)</f>
        <v>10.930399999999999</v>
      </c>
      <c r="G30" s="70">
        <v>204.44</v>
      </c>
      <c r="H30" s="71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hidden="1" customHeight="1">
      <c r="A31" s="26">
        <v>7</v>
      </c>
      <c r="B31" s="52" t="s">
        <v>161</v>
      </c>
      <c r="C31" s="68" t="s">
        <v>100</v>
      </c>
      <c r="D31" s="52" t="s">
        <v>164</v>
      </c>
      <c r="E31" s="70">
        <v>92</v>
      </c>
      <c r="F31" s="70">
        <f>SUM(E31*78/1000)</f>
        <v>7.1760000000000002</v>
      </c>
      <c r="G31" s="70">
        <v>339.21</v>
      </c>
      <c r="H31" s="71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8" t="s">
        <v>100</v>
      </c>
      <c r="D32" s="52" t="s">
        <v>52</v>
      </c>
      <c r="E32" s="70">
        <f>E30</f>
        <v>210.2</v>
      </c>
      <c r="F32" s="70">
        <f>SUM(E32/1000)</f>
        <v>0.2102</v>
      </c>
      <c r="G32" s="70">
        <v>3961.23</v>
      </c>
      <c r="H32" s="71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hidden="1" customHeight="1">
      <c r="A33" s="26">
        <v>8</v>
      </c>
      <c r="B33" s="52" t="s">
        <v>162</v>
      </c>
      <c r="C33" s="68" t="s">
        <v>28</v>
      </c>
      <c r="D33" s="52" t="s">
        <v>60</v>
      </c>
      <c r="E33" s="76">
        <f>1/3</f>
        <v>0.33333333333333331</v>
      </c>
      <c r="F33" s="70">
        <f>155/3</f>
        <v>51.666666666666664</v>
      </c>
      <c r="G33" s="70">
        <v>74.349999999999994</v>
      </c>
      <c r="H33" s="71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62</v>
      </c>
      <c r="C34" s="68" t="s">
        <v>30</v>
      </c>
      <c r="D34" s="52" t="s">
        <v>63</v>
      </c>
      <c r="E34" s="69"/>
      <c r="F34" s="70">
        <v>1</v>
      </c>
      <c r="G34" s="70">
        <v>250.92</v>
      </c>
      <c r="H34" s="71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18"/>
      <c r="B35" s="52" t="s">
        <v>119</v>
      </c>
      <c r="C35" s="68" t="s">
        <v>29</v>
      </c>
      <c r="D35" s="52" t="s">
        <v>63</v>
      </c>
      <c r="E35" s="69"/>
      <c r="F35" s="70">
        <v>1</v>
      </c>
      <c r="G35" s="70">
        <v>1490.31</v>
      </c>
      <c r="H35" s="71">
        <f t="shared" si="6"/>
        <v>1.49031</v>
      </c>
      <c r="I35" s="12">
        <v>0</v>
      </c>
      <c r="J35" s="21"/>
      <c r="K35" s="6"/>
      <c r="L35" s="6"/>
      <c r="M35" s="6"/>
    </row>
    <row r="36" spans="1:14" ht="15.75" customHeight="1">
      <c r="A36" s="115"/>
      <c r="B36" s="63" t="s">
        <v>4</v>
      </c>
      <c r="C36" s="117"/>
      <c r="D36" s="117"/>
      <c r="E36" s="117"/>
      <c r="F36" s="117"/>
      <c r="G36" s="117"/>
      <c r="H36" s="117"/>
      <c r="I36" s="117"/>
      <c r="J36" s="21"/>
      <c r="K36" s="6"/>
      <c r="L36" s="6"/>
      <c r="M36" s="6"/>
    </row>
    <row r="37" spans="1:14" ht="15.75" customHeight="1">
      <c r="A37" s="113">
        <v>6</v>
      </c>
      <c r="B37" s="52" t="s">
        <v>25</v>
      </c>
      <c r="C37" s="68" t="s">
        <v>29</v>
      </c>
      <c r="D37" s="52"/>
      <c r="E37" s="69"/>
      <c r="F37" s="70">
        <v>3</v>
      </c>
      <c r="G37" s="70">
        <v>2003</v>
      </c>
      <c r="H37" s="71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customHeight="1">
      <c r="A38" s="26">
        <v>7</v>
      </c>
      <c r="B38" s="52" t="s">
        <v>189</v>
      </c>
      <c r="C38" s="68" t="s">
        <v>27</v>
      </c>
      <c r="D38" s="52" t="s">
        <v>122</v>
      </c>
      <c r="E38" s="69">
        <v>92</v>
      </c>
      <c r="F38" s="70">
        <f>E38*30/1000</f>
        <v>2.76</v>
      </c>
      <c r="G38" s="70">
        <v>2757.78</v>
      </c>
      <c r="H38" s="71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123</v>
      </c>
      <c r="C39" s="68" t="s">
        <v>124</v>
      </c>
      <c r="D39" s="52" t="s">
        <v>63</v>
      </c>
      <c r="E39" s="69"/>
      <c r="F39" s="70">
        <v>52</v>
      </c>
      <c r="G39" s="70">
        <v>239.09</v>
      </c>
      <c r="H39" s="71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customHeight="1">
      <c r="A40" s="26">
        <v>8</v>
      </c>
      <c r="B40" s="52" t="s">
        <v>64</v>
      </c>
      <c r="C40" s="68" t="s">
        <v>27</v>
      </c>
      <c r="D40" s="52" t="s">
        <v>125</v>
      </c>
      <c r="E40" s="70">
        <f>E38</f>
        <v>92</v>
      </c>
      <c r="F40" s="70">
        <f>SUM(E40*155/1000)</f>
        <v>14.26</v>
      </c>
      <c r="G40" s="70">
        <v>460.02</v>
      </c>
      <c r="H40" s="71">
        <f t="shared" si="8"/>
        <v>6.5598852000000001</v>
      </c>
      <c r="I40" s="12">
        <f t="shared" si="9"/>
        <v>1093.3141999999998</v>
      </c>
      <c r="J40" s="22"/>
    </row>
    <row r="41" spans="1:14" ht="48" customHeight="1">
      <c r="A41" s="26">
        <v>9</v>
      </c>
      <c r="B41" s="52" t="s">
        <v>79</v>
      </c>
      <c r="C41" s="68" t="s">
        <v>100</v>
      </c>
      <c r="D41" s="52" t="s">
        <v>190</v>
      </c>
      <c r="E41" s="70">
        <v>92</v>
      </c>
      <c r="F41" s="70">
        <f>SUM(E41*35/1000)</f>
        <v>3.22</v>
      </c>
      <c r="G41" s="70">
        <v>7611.16</v>
      </c>
      <c r="H41" s="71">
        <f t="shared" si="8"/>
        <v>24.507935199999999</v>
      </c>
      <c r="I41" s="12">
        <f t="shared" si="9"/>
        <v>4084.655866666667</v>
      </c>
      <c r="J41" s="22"/>
    </row>
    <row r="42" spans="1:14" ht="15.75" hidden="1" customHeight="1">
      <c r="A42" s="26">
        <v>10</v>
      </c>
      <c r="B42" s="52" t="s">
        <v>127</v>
      </c>
      <c r="C42" s="68" t="s">
        <v>100</v>
      </c>
      <c r="D42" s="52" t="s">
        <v>191</v>
      </c>
      <c r="E42" s="70">
        <f>E38</f>
        <v>92</v>
      </c>
      <c r="F42" s="70">
        <f>SUM(E42*20/1000)</f>
        <v>1.84</v>
      </c>
      <c r="G42" s="70">
        <v>562.25</v>
      </c>
      <c r="H42" s="71">
        <f t="shared" si="8"/>
        <v>1.03454</v>
      </c>
      <c r="I42" s="12">
        <f>F42/6*G42</f>
        <v>172.42333333333335</v>
      </c>
      <c r="J42" s="22"/>
    </row>
    <row r="43" spans="1:14" ht="15.75" customHeight="1">
      <c r="A43" s="26">
        <v>10</v>
      </c>
      <c r="B43" s="52" t="s">
        <v>66</v>
      </c>
      <c r="C43" s="68" t="s">
        <v>30</v>
      </c>
      <c r="D43" s="52"/>
      <c r="E43" s="69"/>
      <c r="F43" s="70">
        <v>0.8</v>
      </c>
      <c r="G43" s="70">
        <v>992.97</v>
      </c>
      <c r="H43" s="71">
        <f t="shared" si="8"/>
        <v>0.79437600000000008</v>
      </c>
      <c r="I43" s="12">
        <f>F43/6*G43</f>
        <v>132.39600000000002</v>
      </c>
      <c r="J43" s="22"/>
    </row>
    <row r="44" spans="1:14" ht="15.75" customHeight="1">
      <c r="A44" s="153" t="s">
        <v>141</v>
      </c>
      <c r="B44" s="154"/>
      <c r="C44" s="154"/>
      <c r="D44" s="154"/>
      <c r="E44" s="154"/>
      <c r="F44" s="154"/>
      <c r="G44" s="154"/>
      <c r="H44" s="154"/>
      <c r="I44" s="155"/>
      <c r="J44" s="22"/>
      <c r="L44" s="18"/>
      <c r="M44" s="19"/>
      <c r="N44" s="20"/>
    </row>
    <row r="45" spans="1:14" ht="15.75" hidden="1" customHeight="1">
      <c r="A45" s="26">
        <v>11</v>
      </c>
      <c r="B45" s="33" t="s">
        <v>128</v>
      </c>
      <c r="C45" s="40" t="s">
        <v>100</v>
      </c>
      <c r="D45" s="33" t="s">
        <v>40</v>
      </c>
      <c r="E45" s="123">
        <v>1114.25</v>
      </c>
      <c r="F45" s="32">
        <f>SUM(E45*2/1000)</f>
        <v>2.2284999999999999</v>
      </c>
      <c r="G45" s="35">
        <v>1193.71</v>
      </c>
      <c r="H45" s="124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hidden="1" customHeight="1">
      <c r="A46" s="26">
        <v>12</v>
      </c>
      <c r="B46" s="33" t="s">
        <v>34</v>
      </c>
      <c r="C46" s="40" t="s">
        <v>100</v>
      </c>
      <c r="D46" s="33" t="s">
        <v>40</v>
      </c>
      <c r="E46" s="123">
        <v>2631</v>
      </c>
      <c r="F46" s="32">
        <f>SUM(E46*2/1000)</f>
        <v>5.2619999999999996</v>
      </c>
      <c r="G46" s="35">
        <v>1803.69</v>
      </c>
      <c r="H46" s="124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hidden="1" customHeight="1">
      <c r="A47" s="26">
        <v>13</v>
      </c>
      <c r="B47" s="33" t="s">
        <v>35</v>
      </c>
      <c r="C47" s="40" t="s">
        <v>100</v>
      </c>
      <c r="D47" s="33" t="s">
        <v>40</v>
      </c>
      <c r="E47" s="123">
        <v>1953.8</v>
      </c>
      <c r="F47" s="32">
        <f>SUM(E47*2/1000)</f>
        <v>3.9076</v>
      </c>
      <c r="G47" s="35">
        <v>1243.43</v>
      </c>
      <c r="H47" s="124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hidden="1" customHeight="1">
      <c r="A48" s="26">
        <v>14</v>
      </c>
      <c r="B48" s="33" t="s">
        <v>31</v>
      </c>
      <c r="C48" s="40" t="s">
        <v>32</v>
      </c>
      <c r="D48" s="33" t="s">
        <v>40</v>
      </c>
      <c r="E48" s="123">
        <v>91.84</v>
      </c>
      <c r="F48" s="32">
        <f>SUM(E48*2/100)</f>
        <v>1.8368</v>
      </c>
      <c r="G48" s="125">
        <v>1172.4100000000001</v>
      </c>
      <c r="H48" s="124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customHeight="1">
      <c r="A49" s="26">
        <v>11</v>
      </c>
      <c r="B49" s="33" t="s">
        <v>55</v>
      </c>
      <c r="C49" s="40" t="s">
        <v>100</v>
      </c>
      <c r="D49" s="33" t="s">
        <v>165</v>
      </c>
      <c r="E49" s="123">
        <v>3181</v>
      </c>
      <c r="F49" s="32">
        <f>SUM(E49*5/1000)</f>
        <v>15.904999999999999</v>
      </c>
      <c r="G49" s="35">
        <v>1083.69</v>
      </c>
      <c r="H49" s="124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16</v>
      </c>
      <c r="B50" s="33" t="s">
        <v>129</v>
      </c>
      <c r="C50" s="40" t="s">
        <v>100</v>
      </c>
      <c r="D50" s="33" t="s">
        <v>40</v>
      </c>
      <c r="E50" s="123">
        <v>3181</v>
      </c>
      <c r="F50" s="32">
        <f>SUM(E50*2/1000)</f>
        <v>6.3620000000000001</v>
      </c>
      <c r="G50" s="35">
        <v>1591.6</v>
      </c>
      <c r="H50" s="124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17</v>
      </c>
      <c r="B51" s="33" t="s">
        <v>130</v>
      </c>
      <c r="C51" s="40" t="s">
        <v>36</v>
      </c>
      <c r="D51" s="33" t="s">
        <v>40</v>
      </c>
      <c r="E51" s="123">
        <v>20</v>
      </c>
      <c r="F51" s="32">
        <f>SUM(E51*2/100)</f>
        <v>0.4</v>
      </c>
      <c r="G51" s="35">
        <v>4058.32</v>
      </c>
      <c r="H51" s="124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18</v>
      </c>
      <c r="B52" s="33" t="s">
        <v>37</v>
      </c>
      <c r="C52" s="40" t="s">
        <v>38</v>
      </c>
      <c r="D52" s="33" t="s">
        <v>40</v>
      </c>
      <c r="E52" s="123">
        <v>1</v>
      </c>
      <c r="F52" s="32">
        <v>0.02</v>
      </c>
      <c r="G52" s="35">
        <v>7412.92</v>
      </c>
      <c r="H52" s="124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hidden="1" customHeight="1">
      <c r="A53" s="26">
        <v>19</v>
      </c>
      <c r="B53" s="33" t="s">
        <v>131</v>
      </c>
      <c r="C53" s="40" t="s">
        <v>101</v>
      </c>
      <c r="D53" s="33" t="s">
        <v>67</v>
      </c>
      <c r="E53" s="123">
        <v>70</v>
      </c>
      <c r="F53" s="32">
        <f>E53*3</f>
        <v>210</v>
      </c>
      <c r="G53" s="35">
        <v>185.08</v>
      </c>
      <c r="H53" s="124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hidden="1" customHeight="1">
      <c r="A54" s="26">
        <v>20</v>
      </c>
      <c r="B54" s="33" t="s">
        <v>39</v>
      </c>
      <c r="C54" s="40" t="s">
        <v>101</v>
      </c>
      <c r="D54" s="33" t="s">
        <v>67</v>
      </c>
      <c r="E54" s="123">
        <v>140</v>
      </c>
      <c r="F54" s="32">
        <f>E54*3</f>
        <v>420</v>
      </c>
      <c r="G54" s="36">
        <v>86.15</v>
      </c>
      <c r="H54" s="124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53" t="s">
        <v>142</v>
      </c>
      <c r="B55" s="156"/>
      <c r="C55" s="156"/>
      <c r="D55" s="156"/>
      <c r="E55" s="156"/>
      <c r="F55" s="156"/>
      <c r="G55" s="156"/>
      <c r="H55" s="156"/>
      <c r="I55" s="157"/>
      <c r="J55" s="22"/>
      <c r="L55" s="18"/>
      <c r="M55" s="19"/>
      <c r="N55" s="20"/>
    </row>
    <row r="56" spans="1:14" ht="15.75" customHeight="1">
      <c r="A56" s="26"/>
      <c r="B56" s="93" t="s">
        <v>41</v>
      </c>
      <c r="C56" s="68"/>
      <c r="D56" s="52"/>
      <c r="E56" s="69"/>
      <c r="F56" s="70"/>
      <c r="G56" s="70"/>
      <c r="H56" s="71"/>
      <c r="I56" s="12"/>
      <c r="J56" s="22"/>
      <c r="L56" s="18"/>
      <c r="M56" s="19"/>
      <c r="N56" s="20"/>
    </row>
    <row r="57" spans="1:14" ht="31.5" customHeight="1">
      <c r="A57" s="26">
        <v>12</v>
      </c>
      <c r="B57" s="52" t="s">
        <v>132</v>
      </c>
      <c r="C57" s="68" t="s">
        <v>90</v>
      </c>
      <c r="D57" s="52" t="s">
        <v>133</v>
      </c>
      <c r="E57" s="69">
        <v>111.2</v>
      </c>
      <c r="F57" s="70">
        <f>SUM(E57*6/100)</f>
        <v>6.6720000000000006</v>
      </c>
      <c r="G57" s="12">
        <v>2431.1799999999998</v>
      </c>
      <c r="H57" s="71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15.75" hidden="1" customHeight="1">
      <c r="A58" s="26"/>
      <c r="B58" s="79" t="s">
        <v>135</v>
      </c>
      <c r="C58" s="78" t="s">
        <v>136</v>
      </c>
      <c r="D58" s="13" t="s">
        <v>63</v>
      </c>
      <c r="E58" s="80"/>
      <c r="F58" s="81">
        <v>3</v>
      </c>
      <c r="G58" s="12">
        <v>1582.05</v>
      </c>
      <c r="H58" s="71">
        <f>SUM(F58*G58/1000)</f>
        <v>4.7461499999999992</v>
      </c>
      <c r="I58" s="12">
        <v>0</v>
      </c>
      <c r="J58" s="22"/>
      <c r="L58" s="18"/>
      <c r="M58" s="19"/>
      <c r="N58" s="20"/>
    </row>
    <row r="59" spans="1:14" ht="15.75" hidden="1" customHeight="1">
      <c r="A59" s="26"/>
      <c r="B59" s="94" t="s">
        <v>42</v>
      </c>
      <c r="C59" s="78"/>
      <c r="D59" s="79"/>
      <c r="E59" s="80"/>
      <c r="F59" s="81"/>
      <c r="G59" s="12"/>
      <c r="H59" s="82"/>
      <c r="I59" s="12"/>
      <c r="J59" s="22"/>
      <c r="L59" s="18"/>
      <c r="M59" s="19"/>
      <c r="N59" s="20"/>
    </row>
    <row r="60" spans="1:14" ht="15.75" hidden="1" customHeight="1">
      <c r="A60" s="26"/>
      <c r="B60" s="79" t="s">
        <v>43</v>
      </c>
      <c r="C60" s="78" t="s">
        <v>51</v>
      </c>
      <c r="D60" s="79" t="s">
        <v>52</v>
      </c>
      <c r="E60" s="80">
        <v>222.85</v>
      </c>
      <c r="F60" s="81">
        <v>8.9</v>
      </c>
      <c r="G60" s="12">
        <v>1040.8399999999999</v>
      </c>
      <c r="H60" s="82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94" t="s">
        <v>44</v>
      </c>
      <c r="C61" s="78"/>
      <c r="D61" s="79"/>
      <c r="E61" s="80"/>
      <c r="F61" s="83"/>
      <c r="G61" s="83"/>
      <c r="H61" s="81" t="s">
        <v>110</v>
      </c>
      <c r="I61" s="12"/>
      <c r="J61" s="22"/>
      <c r="L61" s="18"/>
      <c r="M61" s="19"/>
      <c r="N61" s="20"/>
    </row>
    <row r="62" spans="1:14" ht="15.75" hidden="1" customHeight="1">
      <c r="A62" s="26">
        <v>9</v>
      </c>
      <c r="B62" s="13" t="s">
        <v>45</v>
      </c>
      <c r="C62" s="15" t="s">
        <v>101</v>
      </c>
      <c r="D62" s="13" t="s">
        <v>63</v>
      </c>
      <c r="E62" s="17">
        <v>4</v>
      </c>
      <c r="F62" s="70">
        <f>E62</f>
        <v>4</v>
      </c>
      <c r="G62" s="12">
        <v>291.68</v>
      </c>
      <c r="H62" s="84">
        <f t="shared" ref="H62:H70" si="13">SUM(F62*G62/1000)</f>
        <v>1.16672</v>
      </c>
      <c r="I62" s="12">
        <f>G62*2</f>
        <v>583.36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46</v>
      </c>
      <c r="C63" s="15" t="s">
        <v>101</v>
      </c>
      <c r="D63" s="13" t="s">
        <v>63</v>
      </c>
      <c r="E63" s="17">
        <v>4</v>
      </c>
      <c r="F63" s="70">
        <f>E63</f>
        <v>4</v>
      </c>
      <c r="G63" s="12">
        <v>100.01</v>
      </c>
      <c r="H63" s="84">
        <f t="shared" si="13"/>
        <v>0.40004000000000001</v>
      </c>
      <c r="I63" s="12">
        <f t="shared" ref="I63:I68" si="14">G63*2</f>
        <v>200.02</v>
      </c>
      <c r="J63" s="22"/>
      <c r="L63" s="18"/>
      <c r="M63" s="19"/>
      <c r="N63" s="20"/>
    </row>
    <row r="64" spans="1:14" ht="15.75" hidden="1" customHeight="1">
      <c r="A64" s="26">
        <v>24</v>
      </c>
      <c r="B64" s="13" t="s">
        <v>47</v>
      </c>
      <c r="C64" s="15" t="s">
        <v>102</v>
      </c>
      <c r="D64" s="13" t="s">
        <v>52</v>
      </c>
      <c r="E64" s="69">
        <v>12702</v>
      </c>
      <c r="F64" s="12">
        <f>SUM(E64/100)</f>
        <v>127.02</v>
      </c>
      <c r="G64" s="12">
        <v>278.24</v>
      </c>
      <c r="H64" s="84">
        <f t="shared" si="13"/>
        <v>35.342044800000004</v>
      </c>
      <c r="I64" s="12">
        <f t="shared" si="14"/>
        <v>556.48</v>
      </c>
      <c r="J64" s="22"/>
      <c r="L64" s="18"/>
      <c r="M64" s="19"/>
      <c r="N64" s="20"/>
    </row>
    <row r="65" spans="1:14" ht="15.75" hidden="1" customHeight="1">
      <c r="A65" s="26">
        <v>25</v>
      </c>
      <c r="B65" s="13" t="s">
        <v>48</v>
      </c>
      <c r="C65" s="15" t="s">
        <v>103</v>
      </c>
      <c r="D65" s="13"/>
      <c r="E65" s="69">
        <v>12702</v>
      </c>
      <c r="F65" s="12">
        <f>SUM(E65/1000)</f>
        <v>12.702</v>
      </c>
      <c r="G65" s="12">
        <v>216.68</v>
      </c>
      <c r="H65" s="84">
        <f t="shared" si="13"/>
        <v>2.7522693600000001</v>
      </c>
      <c r="I65" s="12">
        <f t="shared" si="14"/>
        <v>433.36</v>
      </c>
      <c r="J65" s="22"/>
      <c r="L65" s="18"/>
      <c r="M65" s="19"/>
      <c r="N65" s="20"/>
    </row>
    <row r="66" spans="1:14" ht="15.75" hidden="1" customHeight="1">
      <c r="A66" s="26">
        <v>26</v>
      </c>
      <c r="B66" s="13" t="s">
        <v>49</v>
      </c>
      <c r="C66" s="15" t="s">
        <v>73</v>
      </c>
      <c r="D66" s="13" t="s">
        <v>52</v>
      </c>
      <c r="E66" s="69">
        <v>2200</v>
      </c>
      <c r="F66" s="12">
        <f>SUM(E66/100)</f>
        <v>22</v>
      </c>
      <c r="G66" s="12">
        <v>2720.94</v>
      </c>
      <c r="H66" s="84">
        <f t="shared" si="13"/>
        <v>59.860680000000002</v>
      </c>
      <c r="I66" s="12">
        <f t="shared" si="14"/>
        <v>5441.88</v>
      </c>
      <c r="J66" s="22"/>
      <c r="L66" s="18"/>
      <c r="M66" s="19"/>
      <c r="N66" s="20"/>
    </row>
    <row r="67" spans="1:14" ht="15.75" hidden="1" customHeight="1">
      <c r="A67" s="26">
        <v>27</v>
      </c>
      <c r="B67" s="85" t="s">
        <v>104</v>
      </c>
      <c r="C67" s="15" t="s">
        <v>30</v>
      </c>
      <c r="D67" s="13"/>
      <c r="E67" s="69">
        <v>9.6</v>
      </c>
      <c r="F67" s="12">
        <f>SUM(E67)</f>
        <v>9.6</v>
      </c>
      <c r="G67" s="12">
        <v>42.61</v>
      </c>
      <c r="H67" s="84">
        <f t="shared" si="13"/>
        <v>0.40905599999999998</v>
      </c>
      <c r="I67" s="12">
        <f t="shared" si="14"/>
        <v>85.22</v>
      </c>
      <c r="J67" s="22"/>
      <c r="L67" s="18"/>
      <c r="M67" s="19"/>
      <c r="N67" s="20"/>
    </row>
    <row r="68" spans="1:14" ht="15.75" hidden="1" customHeight="1">
      <c r="A68" s="26">
        <v>28</v>
      </c>
      <c r="B68" s="85" t="s">
        <v>105</v>
      </c>
      <c r="C68" s="15" t="s">
        <v>30</v>
      </c>
      <c r="D68" s="13"/>
      <c r="E68" s="69">
        <v>9.6</v>
      </c>
      <c r="F68" s="12">
        <f>SUM(E68)</f>
        <v>9.6</v>
      </c>
      <c r="G68" s="12">
        <v>46.04</v>
      </c>
      <c r="H68" s="84">
        <f t="shared" si="13"/>
        <v>0.44198399999999999</v>
      </c>
      <c r="I68" s="12">
        <f t="shared" si="14"/>
        <v>92.08</v>
      </c>
      <c r="J68" s="22"/>
      <c r="L68" s="18"/>
      <c r="M68" s="19"/>
      <c r="N68" s="20"/>
    </row>
    <row r="69" spans="1:14" ht="15.75" hidden="1" customHeight="1">
      <c r="A69" s="26">
        <v>22</v>
      </c>
      <c r="B69" s="13" t="s">
        <v>56</v>
      </c>
      <c r="C69" s="15" t="s">
        <v>57</v>
      </c>
      <c r="D69" s="13" t="s">
        <v>52</v>
      </c>
      <c r="E69" s="17">
        <v>4</v>
      </c>
      <c r="F69" s="12">
        <f>SUM(E69)</f>
        <v>4</v>
      </c>
      <c r="G69" s="12">
        <v>65.42</v>
      </c>
      <c r="H69" s="84">
        <f t="shared" si="13"/>
        <v>0.26168000000000002</v>
      </c>
      <c r="I69" s="12">
        <f>G69*4</f>
        <v>261.68</v>
      </c>
      <c r="J69" s="22"/>
      <c r="L69" s="18"/>
      <c r="M69" s="19"/>
      <c r="N69" s="20"/>
    </row>
    <row r="70" spans="1:14" ht="15.75" customHeight="1">
      <c r="A70" s="26">
        <v>14</v>
      </c>
      <c r="B70" s="13" t="s">
        <v>192</v>
      </c>
      <c r="C70" s="26" t="s">
        <v>193</v>
      </c>
      <c r="D70" s="13" t="s">
        <v>63</v>
      </c>
      <c r="E70" s="17">
        <v>3181</v>
      </c>
      <c r="F70" s="70">
        <f>SUM(E70)*12</f>
        <v>38172</v>
      </c>
      <c r="G70" s="12">
        <v>2.2799999999999998</v>
      </c>
      <c r="H70" s="84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5.75" hidden="1" customHeight="1">
      <c r="A71" s="26"/>
      <c r="B71" s="63" t="s">
        <v>68</v>
      </c>
      <c r="C71" s="15"/>
      <c r="D71" s="13"/>
      <c r="E71" s="17"/>
      <c r="F71" s="12"/>
      <c r="G71" s="12"/>
      <c r="H71" s="84" t="s">
        <v>110</v>
      </c>
      <c r="I71" s="12"/>
      <c r="J71" s="22"/>
      <c r="L71" s="18"/>
      <c r="M71" s="19"/>
      <c r="N71" s="20"/>
    </row>
    <row r="72" spans="1:14" ht="31.5" hidden="1" customHeight="1">
      <c r="A72" s="26">
        <v>18</v>
      </c>
      <c r="B72" s="13" t="s">
        <v>194</v>
      </c>
      <c r="C72" s="15" t="s">
        <v>28</v>
      </c>
      <c r="D72" s="13" t="s">
        <v>63</v>
      </c>
      <c r="E72" s="17">
        <v>1</v>
      </c>
      <c r="F72" s="70">
        <f t="shared" ref="F72" si="15">E72</f>
        <v>1</v>
      </c>
      <c r="G72" s="12">
        <v>1543.4</v>
      </c>
      <c r="H72" s="84">
        <f>G72*F72/1000</f>
        <v>1.5434000000000001</v>
      </c>
      <c r="I72" s="12">
        <v>0</v>
      </c>
      <c r="J72" s="22"/>
      <c r="L72" s="18"/>
      <c r="M72" s="19"/>
      <c r="N72" s="20"/>
    </row>
    <row r="73" spans="1:14" ht="15.75" hidden="1" customHeight="1">
      <c r="A73" s="26"/>
      <c r="B73" s="51" t="s">
        <v>195</v>
      </c>
      <c r="C73" s="57" t="s">
        <v>101</v>
      </c>
      <c r="D73" s="13" t="s">
        <v>63</v>
      </c>
      <c r="E73" s="17">
        <v>1</v>
      </c>
      <c r="F73" s="70">
        <f>E73</f>
        <v>1</v>
      </c>
      <c r="G73" s="12">
        <v>130.96</v>
      </c>
      <c r="H73" s="84">
        <f>G73*F73/1000</f>
        <v>0.13096000000000002</v>
      </c>
      <c r="I73" s="12">
        <v>0</v>
      </c>
      <c r="J73" s="22"/>
      <c r="L73" s="18"/>
      <c r="M73" s="19"/>
      <c r="N73" s="20"/>
    </row>
    <row r="74" spans="1:14" ht="15.75" hidden="1" customHeight="1">
      <c r="A74" s="26"/>
      <c r="B74" s="13" t="s">
        <v>69</v>
      </c>
      <c r="C74" s="15" t="s">
        <v>71</v>
      </c>
      <c r="D74" s="13" t="s">
        <v>63</v>
      </c>
      <c r="E74" s="17">
        <v>3</v>
      </c>
      <c r="F74" s="70">
        <f>E74/10</f>
        <v>0.3</v>
      </c>
      <c r="G74" s="12">
        <v>657.87</v>
      </c>
      <c r="H74" s="84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15.75" hidden="1" customHeight="1">
      <c r="A75" s="26"/>
      <c r="B75" s="13" t="s">
        <v>70</v>
      </c>
      <c r="C75" s="15" t="s">
        <v>28</v>
      </c>
      <c r="D75" s="13" t="s">
        <v>63</v>
      </c>
      <c r="E75" s="17">
        <v>1</v>
      </c>
      <c r="F75" s="70">
        <f>E75</f>
        <v>1</v>
      </c>
      <c r="G75" s="12">
        <v>1118.72</v>
      </c>
      <c r="H75" s="84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15.75" hidden="1" customHeight="1">
      <c r="A76" s="26"/>
      <c r="B76" s="51" t="s">
        <v>196</v>
      </c>
      <c r="C76" s="57" t="s">
        <v>101</v>
      </c>
      <c r="D76" s="13" t="s">
        <v>63</v>
      </c>
      <c r="E76" s="17">
        <v>1</v>
      </c>
      <c r="F76" s="70">
        <f>E76</f>
        <v>1</v>
      </c>
      <c r="G76" s="12">
        <v>1605.83</v>
      </c>
      <c r="H76" s="84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15.75" hidden="1" customHeight="1">
      <c r="A77" s="26"/>
      <c r="B77" s="51" t="s">
        <v>197</v>
      </c>
      <c r="C77" s="57" t="s">
        <v>101</v>
      </c>
      <c r="D77" s="13" t="s">
        <v>63</v>
      </c>
      <c r="E77" s="17">
        <v>2</v>
      </c>
      <c r="F77" s="70">
        <f>E77*12</f>
        <v>24</v>
      </c>
      <c r="G77" s="12">
        <v>53.42</v>
      </c>
      <c r="H77" s="84">
        <f t="shared" si="16"/>
        <v>1.2820799999999999</v>
      </c>
      <c r="I77" s="12">
        <v>0</v>
      </c>
      <c r="J77" s="22"/>
      <c r="L77" s="18"/>
      <c r="M77" s="19"/>
      <c r="N77" s="20"/>
    </row>
    <row r="78" spans="1:14" ht="15.75" hidden="1" customHeight="1">
      <c r="A78" s="26"/>
      <c r="B78" s="86" t="s">
        <v>72</v>
      </c>
      <c r="C78" s="15"/>
      <c r="D78" s="13"/>
      <c r="E78" s="17"/>
      <c r="F78" s="12"/>
      <c r="G78" s="12" t="s">
        <v>110</v>
      </c>
      <c r="H78" s="84" t="s">
        <v>110</v>
      </c>
      <c r="I78" s="12"/>
      <c r="J78" s="22"/>
      <c r="L78" s="18"/>
      <c r="M78" s="19"/>
      <c r="N78" s="20"/>
    </row>
    <row r="79" spans="1:14" ht="15.75" hidden="1" customHeight="1">
      <c r="A79" s="26"/>
      <c r="B79" s="46" t="s">
        <v>109</v>
      </c>
      <c r="C79" s="15" t="s">
        <v>73</v>
      </c>
      <c r="D79" s="13"/>
      <c r="E79" s="17"/>
      <c r="F79" s="12">
        <v>1</v>
      </c>
      <c r="G79" s="12">
        <v>3370.89</v>
      </c>
      <c r="H79" s="84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15.75" hidden="1" customHeight="1">
      <c r="A80" s="26"/>
      <c r="B80" s="63" t="s">
        <v>106</v>
      </c>
      <c r="C80" s="86"/>
      <c r="D80" s="27"/>
      <c r="E80" s="31"/>
      <c r="F80" s="75"/>
      <c r="G80" s="75"/>
      <c r="H80" s="87">
        <f>SUM(H57:H79)</f>
        <v>227.14633412000001</v>
      </c>
      <c r="I80" s="75"/>
      <c r="J80" s="22"/>
      <c r="L80" s="18"/>
      <c r="M80" s="19"/>
      <c r="N80" s="20"/>
    </row>
    <row r="81" spans="1:14" ht="15.75" hidden="1" customHeight="1">
      <c r="A81" s="118">
        <v>15</v>
      </c>
      <c r="B81" s="54" t="s">
        <v>107</v>
      </c>
      <c r="C81" s="126"/>
      <c r="D81" s="127"/>
      <c r="E81" s="127"/>
      <c r="F81" s="128">
        <v>1</v>
      </c>
      <c r="G81" s="128">
        <v>23195</v>
      </c>
      <c r="H81" s="129">
        <f>G81*F81/1000</f>
        <v>23.195</v>
      </c>
      <c r="I81" s="90">
        <f>G81</f>
        <v>23195</v>
      </c>
      <c r="J81" s="22"/>
      <c r="L81" s="18"/>
      <c r="M81" s="19"/>
      <c r="N81" s="20"/>
    </row>
    <row r="82" spans="1:14" ht="15.75" hidden="1" customHeight="1">
      <c r="A82" s="50"/>
      <c r="B82" s="130" t="s">
        <v>198</v>
      </c>
      <c r="C82" s="15"/>
      <c r="D82" s="13"/>
      <c r="E82" s="13"/>
      <c r="F82" s="12">
        <v>69</v>
      </c>
      <c r="G82" s="12">
        <v>700</v>
      </c>
      <c r="H82" s="84">
        <f>G82*F82/1000</f>
        <v>48.3</v>
      </c>
      <c r="I82" s="131">
        <v>0</v>
      </c>
      <c r="J82" s="22"/>
      <c r="L82" s="18"/>
      <c r="M82" s="19"/>
      <c r="N82" s="20"/>
    </row>
    <row r="83" spans="1:14" ht="15.75" customHeight="1">
      <c r="A83" s="134" t="s">
        <v>143</v>
      </c>
      <c r="B83" s="164"/>
      <c r="C83" s="164"/>
      <c r="D83" s="164"/>
      <c r="E83" s="164"/>
      <c r="F83" s="164"/>
      <c r="G83" s="164"/>
      <c r="H83" s="164"/>
      <c r="I83" s="165"/>
      <c r="J83" s="22"/>
      <c r="L83" s="18"/>
      <c r="M83" s="19"/>
      <c r="N83" s="20"/>
    </row>
    <row r="84" spans="1:14" ht="15.75" customHeight="1">
      <c r="A84" s="113">
        <v>14</v>
      </c>
      <c r="B84" s="33" t="s">
        <v>134</v>
      </c>
      <c r="C84" s="38" t="s">
        <v>53</v>
      </c>
      <c r="D84" s="89" t="s">
        <v>54</v>
      </c>
      <c r="E84" s="35">
        <v>3181</v>
      </c>
      <c r="F84" s="35">
        <f>SUM(E84*12)</f>
        <v>38172</v>
      </c>
      <c r="G84" s="35">
        <v>3.1</v>
      </c>
      <c r="H84" s="120">
        <f>SUM(F84*G84/1000)</f>
        <v>118.33319999999999</v>
      </c>
      <c r="I84" s="114">
        <f>F84/12*G84</f>
        <v>9861.1</v>
      </c>
      <c r="J84" s="22"/>
      <c r="L84" s="18"/>
      <c r="M84" s="19"/>
      <c r="N84" s="20"/>
    </row>
    <row r="85" spans="1:14" ht="31.5" customHeight="1">
      <c r="A85" s="26">
        <v>15</v>
      </c>
      <c r="B85" s="13" t="s">
        <v>74</v>
      </c>
      <c r="C85" s="15"/>
      <c r="D85" s="89" t="s">
        <v>54</v>
      </c>
      <c r="E85" s="69">
        <v>3181</v>
      </c>
      <c r="F85" s="12">
        <f>E85*12</f>
        <v>38172</v>
      </c>
      <c r="G85" s="12">
        <v>3.5</v>
      </c>
      <c r="H85" s="84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77</v>
      </c>
      <c r="C86" s="15"/>
      <c r="D86" s="46"/>
      <c r="E86" s="12"/>
      <c r="F86" s="12"/>
      <c r="G86" s="12"/>
      <c r="H86" s="84">
        <f>H85</f>
        <v>133.602</v>
      </c>
      <c r="I86" s="75">
        <f>I16+I17+I18+I26+I27+I37+I38+I40+I41+I43+I49+I57+I70+I84+I85</f>
        <v>61582.046536666669</v>
      </c>
      <c r="J86" s="22"/>
      <c r="L86" s="18"/>
      <c r="M86" s="19"/>
      <c r="N86" s="20"/>
    </row>
    <row r="87" spans="1:14" ht="15.75" customHeight="1">
      <c r="A87" s="139" t="s">
        <v>58</v>
      </c>
      <c r="B87" s="140"/>
      <c r="C87" s="140"/>
      <c r="D87" s="140"/>
      <c r="E87" s="140"/>
      <c r="F87" s="140"/>
      <c r="G87" s="140"/>
      <c r="H87" s="140"/>
      <c r="I87" s="141"/>
      <c r="J87" s="22"/>
      <c r="L87" s="18"/>
      <c r="M87" s="19"/>
      <c r="N87" s="20"/>
    </row>
    <row r="88" spans="1:14" ht="15.75" customHeight="1">
      <c r="A88" s="26">
        <v>16</v>
      </c>
      <c r="B88" s="51" t="s">
        <v>166</v>
      </c>
      <c r="C88" s="57" t="s">
        <v>116</v>
      </c>
      <c r="D88" s="13"/>
      <c r="E88" s="17"/>
      <c r="F88" s="12">
        <f>66/3</f>
        <v>22</v>
      </c>
      <c r="G88" s="12">
        <v>1120.8900000000001</v>
      </c>
      <c r="H88" s="84">
        <f t="shared" ref="H88" si="18">G88*F88/1000</f>
        <v>24.659580000000002</v>
      </c>
      <c r="I88" s="90">
        <f>G88*(7/3)</f>
        <v>2615.4100000000003</v>
      </c>
      <c r="J88" s="22"/>
      <c r="L88" s="18"/>
      <c r="M88" s="19"/>
      <c r="N88" s="20"/>
    </row>
    <row r="89" spans="1:14" ht="31.5" customHeight="1">
      <c r="A89" s="26">
        <v>17</v>
      </c>
      <c r="B89" s="51" t="s">
        <v>139</v>
      </c>
      <c r="C89" s="57" t="s">
        <v>36</v>
      </c>
      <c r="D89" s="37"/>
      <c r="E89" s="16"/>
      <c r="F89" s="35">
        <v>0.03</v>
      </c>
      <c r="G89" s="35">
        <v>3581.13</v>
      </c>
      <c r="H89" s="120">
        <f>G89*F89/1000</f>
        <v>0.1074339</v>
      </c>
      <c r="I89" s="90">
        <f>G89*0.01</f>
        <v>35.811300000000003</v>
      </c>
      <c r="J89" s="22"/>
      <c r="L89" s="18"/>
      <c r="M89" s="19"/>
      <c r="N89" s="20"/>
    </row>
    <row r="90" spans="1:14" ht="15.75" customHeight="1">
      <c r="A90" s="26">
        <v>18</v>
      </c>
      <c r="B90" s="51" t="s">
        <v>239</v>
      </c>
      <c r="C90" s="57" t="s">
        <v>30</v>
      </c>
      <c r="D90" s="37"/>
      <c r="E90" s="16"/>
      <c r="F90" s="35">
        <f>(46.3+86.06+53.86+82.32+94.51+69.38)-(5.986*6)</f>
        <v>396.51400000000001</v>
      </c>
      <c r="G90" s="35">
        <v>44.31</v>
      </c>
      <c r="H90" s="35">
        <f t="shared" ref="H90" si="19">G90*F90/1000</f>
        <v>17.569535340000002</v>
      </c>
      <c r="I90" s="90">
        <f>G90*F90</f>
        <v>17569.535340000002</v>
      </c>
      <c r="J90" s="22"/>
      <c r="L90" s="18"/>
      <c r="M90" s="19"/>
      <c r="N90" s="20"/>
    </row>
    <row r="91" spans="1:14" ht="15.75" customHeight="1">
      <c r="A91" s="26"/>
      <c r="B91" s="27" t="s">
        <v>50</v>
      </c>
      <c r="C91" s="41"/>
      <c r="D91" s="47"/>
      <c r="E91" s="41">
        <v>1</v>
      </c>
      <c r="F91" s="41"/>
      <c r="G91" s="41"/>
      <c r="H91" s="41"/>
      <c r="I91" s="31">
        <f>SUM(I88:I90)</f>
        <v>20220.756640000003</v>
      </c>
      <c r="J91" s="22"/>
      <c r="L91" s="18"/>
      <c r="M91" s="19"/>
      <c r="N91" s="20"/>
    </row>
    <row r="92" spans="1:14" ht="15.75" customHeight="1">
      <c r="A92" s="26"/>
      <c r="B92" s="46" t="s">
        <v>75</v>
      </c>
      <c r="C92" s="14"/>
      <c r="D92" s="14"/>
      <c r="E92" s="42"/>
      <c r="F92" s="42"/>
      <c r="G92" s="43"/>
      <c r="H92" s="43"/>
      <c r="I92" s="16">
        <v>0</v>
      </c>
      <c r="J92" s="22"/>
      <c r="L92" s="18"/>
      <c r="M92" s="19"/>
      <c r="N92" s="20"/>
    </row>
    <row r="93" spans="1:14" ht="15.75" customHeight="1">
      <c r="A93" s="48"/>
      <c r="B93" s="45" t="s">
        <v>174</v>
      </c>
      <c r="C93" s="34"/>
      <c r="D93" s="34"/>
      <c r="E93" s="34"/>
      <c r="F93" s="34"/>
      <c r="G93" s="34"/>
      <c r="H93" s="34"/>
      <c r="I93" s="44">
        <f>I86+I91</f>
        <v>81802.803176666668</v>
      </c>
      <c r="J93" s="22"/>
      <c r="L93" s="18"/>
      <c r="M93" s="19"/>
      <c r="N93" s="20"/>
    </row>
    <row r="94" spans="1:14" ht="15.75" customHeight="1">
      <c r="A94" s="149" t="s">
        <v>240</v>
      </c>
      <c r="B94" s="149"/>
      <c r="C94" s="149"/>
      <c r="D94" s="149"/>
      <c r="E94" s="149"/>
      <c r="F94" s="149"/>
      <c r="G94" s="149"/>
      <c r="H94" s="149"/>
      <c r="I94" s="149"/>
      <c r="J94" s="22"/>
      <c r="L94" s="18"/>
      <c r="M94" s="19"/>
      <c r="N94" s="20"/>
    </row>
    <row r="95" spans="1:14" ht="15.75" customHeight="1">
      <c r="A95" s="8"/>
      <c r="B95" s="163" t="s">
        <v>241</v>
      </c>
      <c r="C95" s="163"/>
      <c r="D95" s="163"/>
      <c r="E95" s="163"/>
      <c r="F95" s="163"/>
      <c r="G95" s="163"/>
      <c r="H95" s="105"/>
      <c r="I95" s="3"/>
      <c r="J95" s="22"/>
      <c r="L95" s="18"/>
      <c r="M95" s="19"/>
      <c r="N95" s="20"/>
    </row>
    <row r="96" spans="1:14" ht="15.75" customHeight="1">
      <c r="A96" s="103"/>
      <c r="B96" s="148" t="s">
        <v>5</v>
      </c>
      <c r="C96" s="148"/>
      <c r="D96" s="148"/>
      <c r="E96" s="148"/>
      <c r="F96" s="148"/>
      <c r="G96" s="148"/>
      <c r="H96" s="23"/>
      <c r="I96" s="5"/>
      <c r="J96" s="22"/>
      <c r="K96" s="22"/>
      <c r="L96" s="22"/>
      <c r="M96" s="19"/>
      <c r="N96" s="20"/>
    </row>
    <row r="97" spans="1:22" ht="15.75" customHeight="1">
      <c r="A97" s="9"/>
      <c r="B97" s="9"/>
      <c r="C97" s="9"/>
      <c r="D97" s="9"/>
      <c r="E97" s="9"/>
      <c r="F97" s="9"/>
      <c r="G97" s="9"/>
      <c r="H97" s="9"/>
      <c r="I97" s="9"/>
      <c r="J97" s="22"/>
      <c r="K97" s="22"/>
      <c r="L97" s="22"/>
      <c r="M97" s="19"/>
      <c r="N97" s="20"/>
    </row>
    <row r="98" spans="1:22" ht="15.75" customHeight="1">
      <c r="A98" s="161" t="s">
        <v>6</v>
      </c>
      <c r="B98" s="161"/>
      <c r="C98" s="161"/>
      <c r="D98" s="161"/>
      <c r="E98" s="161"/>
      <c r="F98" s="161"/>
      <c r="G98" s="161"/>
      <c r="H98" s="161"/>
      <c r="I98" s="161"/>
      <c r="J98" s="22"/>
      <c r="K98" s="22"/>
      <c r="L98" s="22"/>
    </row>
    <row r="99" spans="1:22" ht="15.75" customHeight="1">
      <c r="A99" s="161" t="s">
        <v>7</v>
      </c>
      <c r="B99" s="161"/>
      <c r="C99" s="161"/>
      <c r="D99" s="161"/>
      <c r="E99" s="161"/>
      <c r="F99" s="161"/>
      <c r="G99" s="161"/>
      <c r="H99" s="161"/>
      <c r="I99" s="161"/>
      <c r="J99" s="22"/>
      <c r="K99" s="22"/>
      <c r="L99" s="22"/>
    </row>
    <row r="100" spans="1:22" ht="15.75" customHeight="1">
      <c r="A100" s="149" t="s">
        <v>8</v>
      </c>
      <c r="B100" s="149"/>
      <c r="C100" s="149"/>
      <c r="D100" s="149"/>
      <c r="E100" s="149"/>
      <c r="F100" s="149"/>
      <c r="G100" s="149"/>
      <c r="H100" s="149"/>
      <c r="I100" s="149"/>
    </row>
    <row r="101" spans="1:22" ht="15.75" customHeight="1">
      <c r="A101" s="1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7"/>
    </row>
    <row r="102" spans="1:22" ht="15.75" customHeight="1">
      <c r="A102" s="162" t="s">
        <v>9</v>
      </c>
      <c r="B102" s="162"/>
      <c r="C102" s="162"/>
      <c r="D102" s="162"/>
      <c r="E102" s="162"/>
      <c r="F102" s="162"/>
      <c r="G102" s="162"/>
      <c r="H102" s="162"/>
      <c r="I102" s="162"/>
      <c r="J102" s="24"/>
      <c r="K102" s="24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2" ht="15.75" customHeight="1">
      <c r="A103" s="4"/>
      <c r="J103" s="3"/>
      <c r="K103" s="3"/>
      <c r="L103" s="3"/>
      <c r="M103" s="3"/>
      <c r="N103" s="3"/>
      <c r="O103" s="3"/>
      <c r="P103" s="3"/>
      <c r="Q103" s="3"/>
      <c r="S103" s="3"/>
      <c r="T103" s="3"/>
      <c r="U103" s="3"/>
    </row>
    <row r="104" spans="1:22" ht="15.75" customHeight="1">
      <c r="A104" s="149" t="s">
        <v>10</v>
      </c>
      <c r="B104" s="149"/>
      <c r="C104" s="151" t="s">
        <v>84</v>
      </c>
      <c r="D104" s="151"/>
      <c r="E104" s="151"/>
      <c r="F104" s="65"/>
      <c r="I104" s="104"/>
      <c r="J104" s="5"/>
      <c r="K104" s="5"/>
      <c r="L104" s="5"/>
      <c r="M104" s="5"/>
      <c r="N104" s="5"/>
      <c r="O104" s="5"/>
      <c r="P104" s="5"/>
      <c r="Q104" s="5"/>
      <c r="R104" s="147"/>
      <c r="S104" s="147"/>
      <c r="T104" s="147"/>
      <c r="U104" s="147"/>
    </row>
    <row r="105" spans="1:22" ht="15.75" customHeight="1">
      <c r="A105" s="103"/>
      <c r="C105" s="148" t="s">
        <v>11</v>
      </c>
      <c r="D105" s="148"/>
      <c r="E105" s="148"/>
      <c r="F105" s="23"/>
      <c r="I105" s="101" t="s">
        <v>12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2" ht="15.75" customHeight="1">
      <c r="A106" s="24"/>
      <c r="C106" s="11"/>
      <c r="D106" s="11"/>
      <c r="G106" s="11"/>
      <c r="H106" s="11"/>
    </row>
    <row r="107" spans="1:22" ht="15.75" customHeight="1">
      <c r="A107" s="149" t="s">
        <v>13</v>
      </c>
      <c r="B107" s="149"/>
      <c r="C107" s="150"/>
      <c r="D107" s="150"/>
      <c r="E107" s="150"/>
      <c r="F107" s="66"/>
      <c r="I107" s="104"/>
    </row>
    <row r="108" spans="1:22" ht="15.75" customHeight="1">
      <c r="A108" s="103"/>
      <c r="C108" s="147" t="s">
        <v>11</v>
      </c>
      <c r="D108" s="147"/>
      <c r="E108" s="147"/>
      <c r="F108" s="103"/>
      <c r="I108" s="101" t="s">
        <v>12</v>
      </c>
    </row>
    <row r="109" spans="1:22" ht="15.75" customHeight="1">
      <c r="A109" s="4" t="s">
        <v>14</v>
      </c>
    </row>
    <row r="110" spans="1:22" ht="15" customHeight="1">
      <c r="A110" s="160" t="s">
        <v>15</v>
      </c>
      <c r="B110" s="160"/>
      <c r="C110" s="160"/>
      <c r="D110" s="160"/>
      <c r="E110" s="160"/>
      <c r="F110" s="160"/>
      <c r="G110" s="160"/>
      <c r="H110" s="160"/>
      <c r="I110" s="160"/>
    </row>
    <row r="111" spans="1:22" ht="45" customHeight="1">
      <c r="A111" s="152" t="s">
        <v>16</v>
      </c>
      <c r="B111" s="152"/>
      <c r="C111" s="152"/>
      <c r="D111" s="152"/>
      <c r="E111" s="152"/>
      <c r="F111" s="152"/>
      <c r="G111" s="152"/>
      <c r="H111" s="152"/>
      <c r="I111" s="152"/>
    </row>
    <row r="112" spans="1:22" ht="30" customHeight="1">
      <c r="A112" s="152" t="s">
        <v>17</v>
      </c>
      <c r="B112" s="152"/>
      <c r="C112" s="152"/>
      <c r="D112" s="152"/>
      <c r="E112" s="152"/>
      <c r="F112" s="152"/>
      <c r="G112" s="152"/>
      <c r="H112" s="152"/>
      <c r="I112" s="152"/>
    </row>
    <row r="113" spans="1:9" ht="30" customHeight="1">
      <c r="A113" s="152" t="s">
        <v>21</v>
      </c>
      <c r="B113" s="152"/>
      <c r="C113" s="152"/>
      <c r="D113" s="152"/>
      <c r="E113" s="152"/>
      <c r="F113" s="152"/>
      <c r="G113" s="152"/>
      <c r="H113" s="152"/>
      <c r="I113" s="152"/>
    </row>
    <row r="114" spans="1:9" ht="15" customHeight="1">
      <c r="A114" s="152" t="s">
        <v>20</v>
      </c>
      <c r="B114" s="152"/>
      <c r="C114" s="152"/>
      <c r="D114" s="152"/>
      <c r="E114" s="152"/>
      <c r="F114" s="152"/>
      <c r="G114" s="152"/>
      <c r="H114" s="152"/>
      <c r="I114" s="152"/>
    </row>
  </sheetData>
  <autoFilter ref="I12:I100"/>
  <mergeCells count="31">
    <mergeCell ref="A114:I114"/>
    <mergeCell ref="A102:I102"/>
    <mergeCell ref="A104:B104"/>
    <mergeCell ref="C104:E104"/>
    <mergeCell ref="R104:U104"/>
    <mergeCell ref="C105:E105"/>
    <mergeCell ref="A107:B107"/>
    <mergeCell ref="C107:E107"/>
    <mergeCell ref="C108:E108"/>
    <mergeCell ref="A110:I110"/>
    <mergeCell ref="A111:I111"/>
    <mergeCell ref="A112:I112"/>
    <mergeCell ref="A113:I113"/>
    <mergeCell ref="A100:I100"/>
    <mergeCell ref="A15:I15"/>
    <mergeCell ref="A28:I28"/>
    <mergeCell ref="A44:I44"/>
    <mergeCell ref="A55:I55"/>
    <mergeCell ref="A83:I83"/>
    <mergeCell ref="A87:I87"/>
    <mergeCell ref="A94:I94"/>
    <mergeCell ref="B95:G95"/>
    <mergeCell ref="B96:G96"/>
    <mergeCell ref="A98:I98"/>
    <mergeCell ref="A99:I99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29" t="s">
        <v>81</v>
      </c>
      <c r="I1" s="28"/>
    </row>
    <row r="2" spans="1:15" s="25" customFormat="1" ht="15.75" customHeight="1">
      <c r="A2" s="25" t="s">
        <v>59</v>
      </c>
      <c r="J2" s="1"/>
      <c r="K2" s="1"/>
      <c r="L2" s="1"/>
      <c r="M2" s="1"/>
    </row>
    <row r="3" spans="1:15" s="25" customFormat="1" ht="15.75">
      <c r="A3" s="142" t="s">
        <v>144</v>
      </c>
      <c r="B3" s="142"/>
      <c r="C3" s="142"/>
      <c r="D3" s="142"/>
      <c r="E3" s="142"/>
      <c r="F3" s="142"/>
      <c r="G3" s="142"/>
      <c r="H3" s="142"/>
      <c r="I3" s="142"/>
      <c r="J3" s="2"/>
      <c r="K3" s="2"/>
      <c r="L3" s="2"/>
      <c r="M3" s="2"/>
    </row>
    <row r="4" spans="1:15" s="25" customFormat="1" ht="31.5" customHeight="1">
      <c r="A4" s="143" t="s">
        <v>89</v>
      </c>
      <c r="B4" s="143"/>
      <c r="C4" s="143"/>
      <c r="D4" s="143"/>
      <c r="E4" s="143"/>
      <c r="F4" s="143"/>
      <c r="G4" s="143"/>
      <c r="H4" s="143"/>
      <c r="I4" s="143"/>
      <c r="J4" s="3"/>
      <c r="K4" s="3"/>
      <c r="L4" s="3"/>
    </row>
    <row r="5" spans="1:15" s="25" customFormat="1" ht="15.75" customHeight="1">
      <c r="A5" s="142" t="s">
        <v>175</v>
      </c>
      <c r="B5" s="144"/>
      <c r="C5" s="144"/>
      <c r="D5" s="144"/>
      <c r="E5" s="144"/>
      <c r="F5" s="144"/>
      <c r="G5" s="144"/>
      <c r="H5" s="144"/>
      <c r="I5" s="144"/>
    </row>
    <row r="6" spans="1:15" s="25" customFormat="1" ht="15.75">
      <c r="A6" s="2"/>
      <c r="B6" s="96"/>
      <c r="C6" s="96"/>
      <c r="D6" s="96"/>
      <c r="E6" s="96"/>
      <c r="F6" s="96"/>
      <c r="G6" s="96"/>
      <c r="H6" s="96"/>
      <c r="I6" s="30">
        <v>42794</v>
      </c>
      <c r="J6" s="2"/>
      <c r="K6" s="2"/>
      <c r="L6" s="2"/>
      <c r="M6" s="2"/>
    </row>
    <row r="7" spans="1:15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45" t="s">
        <v>155</v>
      </c>
      <c r="B8" s="145"/>
      <c r="C8" s="145"/>
      <c r="D8" s="145"/>
      <c r="E8" s="145"/>
      <c r="F8" s="145"/>
      <c r="G8" s="145"/>
      <c r="H8" s="145"/>
      <c r="I8" s="145"/>
      <c r="J8" s="5"/>
      <c r="K8" s="5"/>
      <c r="L8" s="5"/>
      <c r="M8" s="5"/>
    </row>
    <row r="9" spans="1:15" ht="15.75">
      <c r="A9" s="4"/>
      <c r="J9" s="2"/>
      <c r="K9" s="2"/>
      <c r="L9" s="2"/>
      <c r="M9" s="2"/>
    </row>
    <row r="10" spans="1:15" ht="47.25" customHeight="1">
      <c r="A10" s="146" t="s">
        <v>228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108" t="s">
        <v>0</v>
      </c>
      <c r="B12" s="108" t="s">
        <v>156</v>
      </c>
      <c r="C12" s="108" t="s">
        <v>1</v>
      </c>
      <c r="D12" s="108" t="s">
        <v>18</v>
      </c>
      <c r="E12" s="108" t="s">
        <v>19</v>
      </c>
      <c r="F12" s="108"/>
      <c r="G12" s="108" t="s">
        <v>22</v>
      </c>
      <c r="H12" s="108"/>
      <c r="I12" s="108" t="s">
        <v>2</v>
      </c>
    </row>
    <row r="13" spans="1:15" s="49" customFormat="1" ht="12.75">
      <c r="A13" s="109">
        <v>1</v>
      </c>
      <c r="B13" s="109">
        <v>2</v>
      </c>
      <c r="C13" s="109">
        <v>3</v>
      </c>
      <c r="D13" s="110">
        <v>4</v>
      </c>
      <c r="E13" s="109">
        <v>5</v>
      </c>
      <c r="F13" s="109"/>
      <c r="G13" s="109">
        <v>5</v>
      </c>
      <c r="H13" s="109"/>
      <c r="I13" s="109">
        <v>6</v>
      </c>
      <c r="J13" s="111"/>
      <c r="K13" s="111"/>
      <c r="L13" s="111"/>
      <c r="M13" s="111"/>
    </row>
    <row r="14" spans="1:15" ht="15.75" customHeight="1">
      <c r="A14" s="137" t="s">
        <v>157</v>
      </c>
      <c r="B14" s="138"/>
      <c r="C14" s="138"/>
      <c r="D14" s="138"/>
      <c r="E14" s="138"/>
      <c r="F14" s="138"/>
      <c r="G14" s="138"/>
      <c r="H14" s="138"/>
      <c r="I14" s="138"/>
      <c r="J14" s="112"/>
      <c r="K14" s="112"/>
      <c r="L14" s="6"/>
      <c r="M14" s="6"/>
      <c r="N14" s="6"/>
      <c r="O14" s="6"/>
    </row>
    <row r="15" spans="1:15" ht="15.75" customHeight="1">
      <c r="A15" s="134" t="s">
        <v>3</v>
      </c>
      <c r="B15" s="135"/>
      <c r="C15" s="135"/>
      <c r="D15" s="135"/>
      <c r="E15" s="135"/>
      <c r="F15" s="135"/>
      <c r="G15" s="135"/>
      <c r="H15" s="135"/>
      <c r="I15" s="136"/>
      <c r="J15" s="6"/>
      <c r="K15" s="6"/>
      <c r="L15" s="6"/>
      <c r="M15" s="6"/>
    </row>
    <row r="16" spans="1:15" ht="15.75" customHeight="1">
      <c r="A16" s="26">
        <v>1</v>
      </c>
      <c r="B16" s="52" t="s">
        <v>82</v>
      </c>
      <c r="C16" s="68" t="s">
        <v>90</v>
      </c>
      <c r="D16" s="52" t="s">
        <v>113</v>
      </c>
      <c r="E16" s="69">
        <v>59.9</v>
      </c>
      <c r="F16" s="70">
        <f>SUM(E16*156/100)</f>
        <v>93.444000000000003</v>
      </c>
      <c r="G16" s="70">
        <v>175.38</v>
      </c>
      <c r="H16" s="71">
        <f t="shared" ref="H16:H27" si="0">SUM(F16*G16/1000)</f>
        <v>16.388208719999998</v>
      </c>
      <c r="I16" s="12">
        <f>F16/12*G16</f>
        <v>1365.68406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87</v>
      </c>
      <c r="C17" s="68" t="s">
        <v>90</v>
      </c>
      <c r="D17" s="52" t="s">
        <v>114</v>
      </c>
      <c r="E17" s="69">
        <v>239.4</v>
      </c>
      <c r="F17" s="70">
        <f>SUM(E17*104/100)</f>
        <v>248.97600000000003</v>
      </c>
      <c r="G17" s="70">
        <v>175.38</v>
      </c>
      <c r="H17" s="71">
        <f t="shared" si="0"/>
        <v>43.665410880000003</v>
      </c>
      <c r="I17" s="12">
        <f>F17/12*G17</f>
        <v>3638.78424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88</v>
      </c>
      <c r="C18" s="68" t="s">
        <v>90</v>
      </c>
      <c r="D18" s="52" t="s">
        <v>115</v>
      </c>
      <c r="E18" s="69">
        <f>SUM(E16+E17)</f>
        <v>299.3</v>
      </c>
      <c r="F18" s="70">
        <f>SUM(E18*24/100)</f>
        <v>71.832000000000008</v>
      </c>
      <c r="G18" s="70">
        <v>504.5</v>
      </c>
      <c r="H18" s="71">
        <f t="shared" si="0"/>
        <v>36.239244000000006</v>
      </c>
      <c r="I18" s="12">
        <f>F18/12*G18</f>
        <v>3019.9370000000004</v>
      </c>
      <c r="J18" s="21"/>
      <c r="K18" s="6"/>
      <c r="L18" s="6"/>
      <c r="M18" s="6"/>
    </row>
    <row r="19" spans="1:13" ht="15.75" hidden="1" customHeight="1">
      <c r="A19" s="26"/>
      <c r="B19" s="52" t="s">
        <v>91</v>
      </c>
      <c r="C19" s="68" t="s">
        <v>92</v>
      </c>
      <c r="D19" s="52" t="s">
        <v>93</v>
      </c>
      <c r="E19" s="69">
        <v>40</v>
      </c>
      <c r="F19" s="70">
        <f>SUM(E19/10)</f>
        <v>4</v>
      </c>
      <c r="G19" s="70">
        <v>170.16</v>
      </c>
      <c r="H19" s="71">
        <f>SUM(F19*G19/1000)</f>
        <v>0.68064000000000002</v>
      </c>
      <c r="I19" s="12">
        <v>0</v>
      </c>
      <c r="J19" s="21"/>
      <c r="K19" s="6"/>
      <c r="L19" s="6"/>
      <c r="M19" s="6"/>
    </row>
    <row r="20" spans="1:13" ht="15.75" hidden="1" customHeight="1">
      <c r="A20" s="26"/>
      <c r="B20" s="52" t="s">
        <v>94</v>
      </c>
      <c r="C20" s="68" t="s">
        <v>90</v>
      </c>
      <c r="D20" s="52" t="s">
        <v>52</v>
      </c>
      <c r="E20" s="69">
        <v>10.5</v>
      </c>
      <c r="F20" s="70">
        <f t="shared" ref="F20:F25" si="1">SUM(E20/100)</f>
        <v>0.105</v>
      </c>
      <c r="G20" s="70">
        <v>217.88</v>
      </c>
      <c r="H20" s="71">
        <f t="shared" si="0"/>
        <v>2.2877399999999999E-2</v>
      </c>
      <c r="I20" s="12">
        <v>0</v>
      </c>
      <c r="J20" s="21"/>
      <c r="K20" s="6"/>
      <c r="L20" s="6"/>
      <c r="M20" s="6"/>
    </row>
    <row r="21" spans="1:13" ht="15.75" hidden="1" customHeight="1">
      <c r="A21" s="26"/>
      <c r="B21" s="52" t="s">
        <v>95</v>
      </c>
      <c r="C21" s="68" t="s">
        <v>90</v>
      </c>
      <c r="D21" s="52" t="s">
        <v>52</v>
      </c>
      <c r="E21" s="69">
        <v>2.7</v>
      </c>
      <c r="F21" s="70">
        <f t="shared" si="1"/>
        <v>2.7000000000000003E-2</v>
      </c>
      <c r="G21" s="70">
        <v>203.5</v>
      </c>
      <c r="H21" s="71">
        <f t="shared" si="0"/>
        <v>5.4945000000000003E-3</v>
      </c>
      <c r="I21" s="12">
        <v>0</v>
      </c>
      <c r="J21" s="21"/>
      <c r="K21" s="6"/>
      <c r="L21" s="6"/>
      <c r="M21" s="6"/>
    </row>
    <row r="22" spans="1:13" ht="15.75" hidden="1" customHeight="1">
      <c r="A22" s="26"/>
      <c r="B22" s="52" t="s">
        <v>96</v>
      </c>
      <c r="C22" s="68" t="s">
        <v>51</v>
      </c>
      <c r="D22" s="52" t="s">
        <v>93</v>
      </c>
      <c r="E22" s="69">
        <v>357</v>
      </c>
      <c r="F22" s="70">
        <f t="shared" si="1"/>
        <v>3.57</v>
      </c>
      <c r="G22" s="70">
        <v>269.26</v>
      </c>
      <c r="H22" s="71">
        <f t="shared" si="0"/>
        <v>0.96125819999999984</v>
      </c>
      <c r="I22" s="12">
        <v>0</v>
      </c>
      <c r="J22" s="21"/>
      <c r="K22" s="6"/>
      <c r="L22" s="6"/>
      <c r="M22" s="6"/>
    </row>
    <row r="23" spans="1:13" ht="15.75" hidden="1" customHeight="1">
      <c r="A23" s="26"/>
      <c r="B23" s="52" t="s">
        <v>97</v>
      </c>
      <c r="C23" s="68" t="s">
        <v>51</v>
      </c>
      <c r="D23" s="52" t="s">
        <v>93</v>
      </c>
      <c r="E23" s="72">
        <v>38.64</v>
      </c>
      <c r="F23" s="70">
        <f t="shared" si="1"/>
        <v>0.38640000000000002</v>
      </c>
      <c r="G23" s="70">
        <v>44.29</v>
      </c>
      <c r="H23" s="71">
        <f t="shared" si="0"/>
        <v>1.7113655999999998E-2</v>
      </c>
      <c r="I23" s="12">
        <v>0</v>
      </c>
      <c r="J23" s="21"/>
      <c r="K23" s="6"/>
      <c r="L23" s="6"/>
      <c r="M23" s="6"/>
    </row>
    <row r="24" spans="1:13" ht="15.75" hidden="1" customHeight="1">
      <c r="A24" s="26"/>
      <c r="B24" s="52" t="s">
        <v>98</v>
      </c>
      <c r="C24" s="68" t="s">
        <v>51</v>
      </c>
      <c r="D24" s="53" t="s">
        <v>93</v>
      </c>
      <c r="E24" s="17">
        <v>15</v>
      </c>
      <c r="F24" s="73">
        <f t="shared" si="1"/>
        <v>0.15</v>
      </c>
      <c r="G24" s="70">
        <v>389.72</v>
      </c>
      <c r="H24" s="71">
        <f t="shared" si="0"/>
        <v>5.8457999999999996E-2</v>
      </c>
      <c r="I24" s="12">
        <v>0</v>
      </c>
      <c r="J24" s="21"/>
      <c r="K24" s="6"/>
      <c r="L24" s="6"/>
      <c r="M24" s="6"/>
    </row>
    <row r="25" spans="1:13" ht="15.75" hidden="1" customHeight="1">
      <c r="A25" s="26"/>
      <c r="B25" s="52" t="s">
        <v>99</v>
      </c>
      <c r="C25" s="68" t="s">
        <v>51</v>
      </c>
      <c r="D25" s="52" t="s">
        <v>93</v>
      </c>
      <c r="E25" s="74">
        <v>6.38</v>
      </c>
      <c r="F25" s="70">
        <f t="shared" si="1"/>
        <v>6.3799999999999996E-2</v>
      </c>
      <c r="G25" s="70">
        <v>520.79999999999995</v>
      </c>
      <c r="H25" s="71">
        <f t="shared" si="0"/>
        <v>3.3227039999999992E-2</v>
      </c>
      <c r="I25" s="12">
        <v>0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61</v>
      </c>
      <c r="C26" s="68" t="s">
        <v>30</v>
      </c>
      <c r="D26" s="52" t="s">
        <v>80</v>
      </c>
      <c r="E26" s="69">
        <v>0.1</v>
      </c>
      <c r="F26" s="70">
        <f>SUM(E26*365)</f>
        <v>36.5</v>
      </c>
      <c r="G26" s="70">
        <v>147.03</v>
      </c>
      <c r="H26" s="71">
        <f t="shared" si="0"/>
        <v>5.3665950000000002</v>
      </c>
      <c r="I26" s="12">
        <f>F26/12*G26</f>
        <v>447.21625</v>
      </c>
      <c r="J26" s="21"/>
      <c r="K26" s="6"/>
      <c r="L26" s="6"/>
      <c r="M26" s="6"/>
    </row>
    <row r="27" spans="1:13" ht="15.75" customHeight="1">
      <c r="A27" s="26">
        <v>5</v>
      </c>
      <c r="B27" s="77" t="s">
        <v>23</v>
      </c>
      <c r="C27" s="68" t="s">
        <v>24</v>
      </c>
      <c r="D27" s="52" t="s">
        <v>80</v>
      </c>
      <c r="E27" s="69">
        <v>3181</v>
      </c>
      <c r="F27" s="70">
        <f>SUM(E27*12)</f>
        <v>38172</v>
      </c>
      <c r="G27" s="70">
        <v>4.95</v>
      </c>
      <c r="H27" s="71">
        <f t="shared" si="0"/>
        <v>188.95140000000001</v>
      </c>
      <c r="I27" s="12">
        <f>F27/12*G27</f>
        <v>15745.95</v>
      </c>
      <c r="J27" s="21"/>
      <c r="K27" s="6"/>
      <c r="L27" s="6"/>
      <c r="M27" s="6"/>
    </row>
    <row r="28" spans="1:13" ht="15.75" customHeight="1">
      <c r="A28" s="134" t="s">
        <v>158</v>
      </c>
      <c r="B28" s="135"/>
      <c r="C28" s="135"/>
      <c r="D28" s="135"/>
      <c r="E28" s="135"/>
      <c r="F28" s="135"/>
      <c r="G28" s="135"/>
      <c r="H28" s="135"/>
      <c r="I28" s="136"/>
      <c r="J28" s="21"/>
      <c r="K28" s="6"/>
      <c r="L28" s="6"/>
      <c r="M28" s="6"/>
    </row>
    <row r="29" spans="1:13" ht="15.75" hidden="1" customHeight="1">
      <c r="A29" s="115"/>
      <c r="B29" s="63" t="s">
        <v>159</v>
      </c>
      <c r="C29" s="116"/>
      <c r="D29" s="116"/>
      <c r="E29" s="116"/>
      <c r="F29" s="116"/>
      <c r="G29" s="116"/>
      <c r="H29" s="116"/>
      <c r="I29" s="116"/>
      <c r="J29" s="21"/>
      <c r="K29" s="6"/>
      <c r="L29" s="6"/>
      <c r="M29" s="6"/>
    </row>
    <row r="30" spans="1:13" ht="15.75" hidden="1" customHeight="1">
      <c r="A30" s="113"/>
      <c r="B30" s="52" t="s">
        <v>160</v>
      </c>
      <c r="C30" s="68" t="s">
        <v>100</v>
      </c>
      <c r="D30" s="52" t="s">
        <v>163</v>
      </c>
      <c r="E30" s="70">
        <v>786.4</v>
      </c>
      <c r="F30" s="70">
        <f>SUM(E30*52/1000)</f>
        <v>40.892799999999994</v>
      </c>
      <c r="G30" s="70">
        <v>155.88999999999999</v>
      </c>
      <c r="H30" s="71">
        <f t="shared" ref="H30:H35" si="2">SUM(F30*G30/1000)</f>
        <v>6.3747785919999984</v>
      </c>
      <c r="I30" s="12">
        <v>0</v>
      </c>
      <c r="J30" s="21"/>
      <c r="K30" s="6"/>
      <c r="L30" s="6"/>
      <c r="M30" s="6"/>
    </row>
    <row r="31" spans="1:13" ht="31.5" hidden="1" customHeight="1">
      <c r="A31" s="26"/>
      <c r="B31" s="52" t="s">
        <v>161</v>
      </c>
      <c r="C31" s="68" t="s">
        <v>100</v>
      </c>
      <c r="D31" s="52" t="s">
        <v>164</v>
      </c>
      <c r="E31" s="70">
        <v>97.33</v>
      </c>
      <c r="F31" s="70">
        <f>SUM(E31*78/1000)</f>
        <v>7.5917399999999997</v>
      </c>
      <c r="G31" s="70">
        <v>258.63</v>
      </c>
      <c r="H31" s="71">
        <f t="shared" si="2"/>
        <v>1.9634517162</v>
      </c>
      <c r="I31" s="12">
        <v>0</v>
      </c>
      <c r="J31" s="21"/>
      <c r="K31" s="6"/>
      <c r="L31" s="6"/>
      <c r="M31" s="6"/>
    </row>
    <row r="32" spans="1:13" ht="15.75" hidden="1" customHeight="1">
      <c r="A32" s="26"/>
      <c r="B32" s="52" t="s">
        <v>26</v>
      </c>
      <c r="C32" s="68" t="s">
        <v>100</v>
      </c>
      <c r="D32" s="52" t="s">
        <v>52</v>
      </c>
      <c r="E32" s="70">
        <v>786.4</v>
      </c>
      <c r="F32" s="70">
        <f>SUM(E32/1000)</f>
        <v>0.78639999999999999</v>
      </c>
      <c r="G32" s="70">
        <v>3020.33</v>
      </c>
      <c r="H32" s="71">
        <f t="shared" si="2"/>
        <v>2.3751875120000001</v>
      </c>
      <c r="I32" s="12">
        <v>0</v>
      </c>
      <c r="J32" s="21"/>
      <c r="K32" s="6"/>
      <c r="L32" s="6"/>
      <c r="M32" s="6"/>
    </row>
    <row r="33" spans="1:14" ht="15.75" hidden="1" customHeight="1">
      <c r="A33" s="26"/>
      <c r="B33" s="52" t="s">
        <v>162</v>
      </c>
      <c r="C33" s="68" t="s">
        <v>28</v>
      </c>
      <c r="D33" s="52" t="s">
        <v>60</v>
      </c>
      <c r="E33" s="76">
        <v>0.33333333333333331</v>
      </c>
      <c r="F33" s="70">
        <f>155/3</f>
        <v>51.666666666666664</v>
      </c>
      <c r="G33" s="70">
        <v>56.69</v>
      </c>
      <c r="H33" s="71">
        <f t="shared" si="2"/>
        <v>2.9289833333333331</v>
      </c>
      <c r="I33" s="12">
        <v>0</v>
      </c>
      <c r="J33" s="21"/>
      <c r="K33" s="6"/>
      <c r="L33" s="6"/>
      <c r="M33" s="6"/>
    </row>
    <row r="34" spans="1:14" ht="15.75" hidden="1" customHeight="1">
      <c r="A34" s="26"/>
      <c r="B34" s="52" t="s">
        <v>62</v>
      </c>
      <c r="C34" s="68" t="s">
        <v>30</v>
      </c>
      <c r="D34" s="52" t="s">
        <v>63</v>
      </c>
      <c r="E34" s="69"/>
      <c r="F34" s="70">
        <v>3</v>
      </c>
      <c r="G34" s="70">
        <v>191.32</v>
      </c>
      <c r="H34" s="71">
        <f t="shared" si="2"/>
        <v>0.57396000000000003</v>
      </c>
      <c r="I34" s="12">
        <v>0</v>
      </c>
      <c r="J34" s="21"/>
      <c r="K34" s="6"/>
      <c r="L34" s="6"/>
      <c r="M34" s="6"/>
    </row>
    <row r="35" spans="1:14" ht="15.75" hidden="1" customHeight="1">
      <c r="A35" s="118"/>
      <c r="B35" s="52" t="s">
        <v>119</v>
      </c>
      <c r="C35" s="68" t="s">
        <v>29</v>
      </c>
      <c r="D35" s="52" t="s">
        <v>63</v>
      </c>
      <c r="E35" s="69"/>
      <c r="F35" s="70">
        <v>2</v>
      </c>
      <c r="G35" s="70">
        <v>1136.33</v>
      </c>
      <c r="H35" s="71">
        <f t="shared" si="2"/>
        <v>2.2726599999999997</v>
      </c>
      <c r="I35" s="12">
        <v>0</v>
      </c>
      <c r="J35" s="21"/>
      <c r="K35" s="6"/>
      <c r="L35" s="6"/>
      <c r="M35" s="6"/>
    </row>
    <row r="36" spans="1:14" ht="15.75" customHeight="1">
      <c r="A36" s="115"/>
      <c r="B36" s="63" t="s">
        <v>4</v>
      </c>
      <c r="C36" s="117"/>
      <c r="D36" s="117"/>
      <c r="E36" s="117"/>
      <c r="F36" s="117"/>
      <c r="G36" s="117"/>
      <c r="H36" s="117"/>
      <c r="I36" s="117"/>
      <c r="J36" s="21"/>
      <c r="K36" s="6"/>
      <c r="L36" s="6"/>
      <c r="M36" s="6"/>
    </row>
    <row r="37" spans="1:14" ht="15.75" customHeight="1">
      <c r="A37" s="113">
        <v>6</v>
      </c>
      <c r="B37" s="52" t="s">
        <v>25</v>
      </c>
      <c r="C37" s="68" t="s">
        <v>29</v>
      </c>
      <c r="D37" s="52"/>
      <c r="E37" s="69"/>
      <c r="F37" s="70">
        <v>8</v>
      </c>
      <c r="G37" s="70">
        <v>1527.22</v>
      </c>
      <c r="H37" s="71">
        <f t="shared" ref="H37:H44" si="3">SUM(F37*G37/1000)</f>
        <v>12.21776</v>
      </c>
      <c r="I37" s="12">
        <f>F37/6*G37</f>
        <v>2036.2933333333333</v>
      </c>
      <c r="J37" s="21"/>
      <c r="K37" s="6"/>
      <c r="L37" s="6"/>
      <c r="M37" s="6"/>
    </row>
    <row r="38" spans="1:14" ht="15.75" customHeight="1">
      <c r="A38" s="26">
        <v>7</v>
      </c>
      <c r="B38" s="52" t="s">
        <v>85</v>
      </c>
      <c r="C38" s="68" t="s">
        <v>27</v>
      </c>
      <c r="D38" s="52" t="s">
        <v>120</v>
      </c>
      <c r="E38" s="69">
        <v>485.66</v>
      </c>
      <c r="F38" s="70">
        <f>E38*12/1000</f>
        <v>5.8279199999999998</v>
      </c>
      <c r="G38" s="70">
        <v>2102.71</v>
      </c>
      <c r="H38" s="71">
        <f>G38*F38/1000</f>
        <v>12.254425663199999</v>
      </c>
      <c r="I38" s="12">
        <f>F38/6*G38</f>
        <v>2042.4042772</v>
      </c>
      <c r="J38" s="21"/>
      <c r="K38" s="6"/>
      <c r="L38" s="6"/>
      <c r="M38" s="6"/>
    </row>
    <row r="39" spans="1:14" ht="15.75" customHeight="1">
      <c r="A39" s="26">
        <v>8</v>
      </c>
      <c r="B39" s="52" t="s">
        <v>121</v>
      </c>
      <c r="C39" s="68" t="s">
        <v>27</v>
      </c>
      <c r="D39" s="52" t="s">
        <v>122</v>
      </c>
      <c r="E39" s="69">
        <v>97.33</v>
      </c>
      <c r="F39" s="70">
        <f>E39*30/1000</f>
        <v>2.9199000000000002</v>
      </c>
      <c r="G39" s="70">
        <v>2102.71</v>
      </c>
      <c r="H39" s="71">
        <f>G39*F39/1000</f>
        <v>6.1397029290000003</v>
      </c>
      <c r="I39" s="12">
        <f>F39/6*G39</f>
        <v>1023.2838215</v>
      </c>
      <c r="J39" s="21"/>
      <c r="K39" s="6"/>
    </row>
    <row r="40" spans="1:14" ht="15.75" hidden="1" customHeight="1">
      <c r="A40" s="26"/>
      <c r="B40" s="52" t="s">
        <v>123</v>
      </c>
      <c r="C40" s="68" t="s">
        <v>124</v>
      </c>
      <c r="D40" s="52" t="s">
        <v>63</v>
      </c>
      <c r="E40" s="69"/>
      <c r="F40" s="70">
        <v>100</v>
      </c>
      <c r="G40" s="70">
        <v>213.2</v>
      </c>
      <c r="H40" s="71">
        <f>G40*F40/1000</f>
        <v>21.32</v>
      </c>
      <c r="I40" s="12">
        <v>0</v>
      </c>
      <c r="J40" s="22"/>
    </row>
    <row r="41" spans="1:14" ht="15.75" customHeight="1">
      <c r="A41" s="26">
        <v>9</v>
      </c>
      <c r="B41" s="52" t="s">
        <v>64</v>
      </c>
      <c r="C41" s="68" t="s">
        <v>27</v>
      </c>
      <c r="D41" s="52" t="s">
        <v>125</v>
      </c>
      <c r="E41" s="70">
        <v>97.33</v>
      </c>
      <c r="F41" s="70">
        <f>SUM(E41*155/1000)</f>
        <v>15.08615</v>
      </c>
      <c r="G41" s="70">
        <v>350.75</v>
      </c>
      <c r="H41" s="71">
        <f t="shared" si="3"/>
        <v>5.2914671124999995</v>
      </c>
      <c r="I41" s="12">
        <f>F41/6*G41</f>
        <v>881.91118541666674</v>
      </c>
      <c r="J41" s="22"/>
    </row>
    <row r="42" spans="1:14" ht="47.25" customHeight="1">
      <c r="A42" s="26">
        <v>10</v>
      </c>
      <c r="B42" s="52" t="s">
        <v>79</v>
      </c>
      <c r="C42" s="68" t="s">
        <v>100</v>
      </c>
      <c r="D42" s="52" t="s">
        <v>126</v>
      </c>
      <c r="E42" s="70">
        <v>97.33</v>
      </c>
      <c r="F42" s="70">
        <f>SUM(E42*24/1000)</f>
        <v>2.3359200000000002</v>
      </c>
      <c r="G42" s="70">
        <v>5803.28</v>
      </c>
      <c r="H42" s="71">
        <f t="shared" si="3"/>
        <v>13.5559978176</v>
      </c>
      <c r="I42" s="12">
        <f>F42/6*G42</f>
        <v>2259.3329696000001</v>
      </c>
      <c r="J42" s="22"/>
    </row>
    <row r="43" spans="1:14" ht="15.75" hidden="1" customHeight="1">
      <c r="A43" s="26">
        <v>11</v>
      </c>
      <c r="B43" s="52" t="s">
        <v>127</v>
      </c>
      <c r="C43" s="68" t="s">
        <v>100</v>
      </c>
      <c r="D43" s="52" t="s">
        <v>65</v>
      </c>
      <c r="E43" s="70">
        <v>97.33</v>
      </c>
      <c r="F43" s="70">
        <f>SUM(E43*45/1000)</f>
        <v>4.3798500000000002</v>
      </c>
      <c r="G43" s="70">
        <v>428.7</v>
      </c>
      <c r="H43" s="71">
        <f t="shared" si="3"/>
        <v>1.8776416950000001</v>
      </c>
      <c r="I43" s="12">
        <f>F43/6*G43</f>
        <v>312.94028250000002</v>
      </c>
      <c r="J43" s="22"/>
    </row>
    <row r="44" spans="1:14" ht="15.75" customHeight="1">
      <c r="A44" s="26">
        <v>11</v>
      </c>
      <c r="B44" s="52" t="s">
        <v>66</v>
      </c>
      <c r="C44" s="68" t="s">
        <v>30</v>
      </c>
      <c r="D44" s="52"/>
      <c r="E44" s="69"/>
      <c r="F44" s="70">
        <v>0.8</v>
      </c>
      <c r="G44" s="70">
        <v>798</v>
      </c>
      <c r="H44" s="71">
        <f t="shared" si="3"/>
        <v>0.63840000000000008</v>
      </c>
      <c r="I44" s="12">
        <f>F44/6*G44</f>
        <v>106.39999999999999</v>
      </c>
      <c r="J44" s="22"/>
    </row>
    <row r="45" spans="1:14" ht="15.75" customHeight="1">
      <c r="A45" s="153" t="s">
        <v>141</v>
      </c>
      <c r="B45" s="154"/>
      <c r="C45" s="154"/>
      <c r="D45" s="154"/>
      <c r="E45" s="154"/>
      <c r="F45" s="154"/>
      <c r="G45" s="154"/>
      <c r="H45" s="154"/>
      <c r="I45" s="155"/>
      <c r="J45" s="22"/>
      <c r="L45" s="18"/>
      <c r="M45" s="19"/>
      <c r="N45" s="20"/>
    </row>
    <row r="46" spans="1:14" ht="15.75" hidden="1" customHeight="1">
      <c r="A46" s="26"/>
      <c r="B46" s="52" t="s">
        <v>128</v>
      </c>
      <c r="C46" s="68" t="s">
        <v>100</v>
      </c>
      <c r="D46" s="52" t="s">
        <v>40</v>
      </c>
      <c r="E46" s="69">
        <v>1114.25</v>
      </c>
      <c r="F46" s="70">
        <f>SUM(E46*2/1000)</f>
        <v>2.2284999999999999</v>
      </c>
      <c r="G46" s="12">
        <v>910.17</v>
      </c>
      <c r="H46" s="71">
        <f t="shared" ref="H46:H56" si="4">SUM(F46*G46/1000)</f>
        <v>2.028313845</v>
      </c>
      <c r="I46" s="12">
        <v>0</v>
      </c>
      <c r="J46" s="22"/>
      <c r="L46" s="18"/>
      <c r="M46" s="19"/>
      <c r="N46" s="20"/>
    </row>
    <row r="47" spans="1:14" ht="15.75" hidden="1" customHeight="1">
      <c r="A47" s="26"/>
      <c r="B47" s="52" t="s">
        <v>33</v>
      </c>
      <c r="C47" s="68" t="s">
        <v>100</v>
      </c>
      <c r="D47" s="52" t="s">
        <v>40</v>
      </c>
      <c r="E47" s="69">
        <v>37</v>
      </c>
      <c r="F47" s="70">
        <f>E47*2/1000</f>
        <v>7.3999999999999996E-2</v>
      </c>
      <c r="G47" s="12">
        <v>579.48</v>
      </c>
      <c r="H47" s="71">
        <f t="shared" si="4"/>
        <v>4.2881519999999999E-2</v>
      </c>
      <c r="I47" s="12">
        <v>0</v>
      </c>
      <c r="J47" s="22"/>
      <c r="L47" s="18"/>
      <c r="M47" s="19"/>
      <c r="N47" s="20"/>
    </row>
    <row r="48" spans="1:14" ht="15.75" hidden="1" customHeight="1">
      <c r="A48" s="26"/>
      <c r="B48" s="52" t="s">
        <v>34</v>
      </c>
      <c r="C48" s="68" t="s">
        <v>100</v>
      </c>
      <c r="D48" s="52" t="s">
        <v>40</v>
      </c>
      <c r="E48" s="69">
        <v>2631</v>
      </c>
      <c r="F48" s="70">
        <f>SUM(E48*2/1000)</f>
        <v>5.2619999999999996</v>
      </c>
      <c r="G48" s="12">
        <v>579.48</v>
      </c>
      <c r="H48" s="71">
        <f t="shared" si="4"/>
        <v>3.0492237599999998</v>
      </c>
      <c r="I48" s="12">
        <v>0</v>
      </c>
      <c r="J48" s="22"/>
      <c r="L48" s="18"/>
      <c r="M48" s="19"/>
      <c r="N48" s="20"/>
    </row>
    <row r="49" spans="1:14" ht="15.75" hidden="1" customHeight="1">
      <c r="A49" s="26"/>
      <c r="B49" s="52" t="s">
        <v>35</v>
      </c>
      <c r="C49" s="68" t="s">
        <v>100</v>
      </c>
      <c r="D49" s="52" t="s">
        <v>40</v>
      </c>
      <c r="E49" s="69">
        <v>1953.8</v>
      </c>
      <c r="F49" s="70">
        <f>SUM(E49*2/1000)</f>
        <v>3.9076</v>
      </c>
      <c r="G49" s="12">
        <v>606.77</v>
      </c>
      <c r="H49" s="71">
        <f t="shared" si="4"/>
        <v>2.3710144519999998</v>
      </c>
      <c r="I49" s="12">
        <v>0</v>
      </c>
      <c r="J49" s="22"/>
      <c r="L49" s="18"/>
      <c r="M49" s="19"/>
      <c r="N49" s="20"/>
    </row>
    <row r="50" spans="1:14" ht="15.75" hidden="1" customHeight="1">
      <c r="A50" s="26"/>
      <c r="B50" s="52" t="s">
        <v>31</v>
      </c>
      <c r="C50" s="68" t="s">
        <v>32</v>
      </c>
      <c r="D50" s="52" t="s">
        <v>40</v>
      </c>
      <c r="E50" s="69">
        <v>91.84</v>
      </c>
      <c r="F50" s="70">
        <f>SUM(E50*2/100)</f>
        <v>1.8368</v>
      </c>
      <c r="G50" s="12">
        <v>72.81</v>
      </c>
      <c r="H50" s="71">
        <f t="shared" si="4"/>
        <v>0.13373740800000003</v>
      </c>
      <c r="I50" s="12">
        <v>0</v>
      </c>
      <c r="J50" s="22"/>
      <c r="L50" s="18"/>
      <c r="M50" s="19"/>
      <c r="N50" s="20"/>
    </row>
    <row r="51" spans="1:14" ht="15.75" customHeight="1">
      <c r="A51" s="26">
        <v>12</v>
      </c>
      <c r="B51" s="52" t="s">
        <v>55</v>
      </c>
      <c r="C51" s="68" t="s">
        <v>100</v>
      </c>
      <c r="D51" s="52" t="s">
        <v>165</v>
      </c>
      <c r="E51" s="69">
        <v>891.4</v>
      </c>
      <c r="F51" s="70">
        <f>SUM(E51*5/1000)</f>
        <v>4.4569999999999999</v>
      </c>
      <c r="G51" s="12">
        <v>1213.55</v>
      </c>
      <c r="H51" s="71">
        <f t="shared" si="4"/>
        <v>5.4087923499999997</v>
      </c>
      <c r="I51" s="12">
        <f>F51/5*G51</f>
        <v>1081.75847</v>
      </c>
      <c r="J51" s="22"/>
      <c r="L51" s="18"/>
      <c r="M51" s="19"/>
      <c r="N51" s="20"/>
    </row>
    <row r="52" spans="1:14" ht="31.5" hidden="1" customHeight="1">
      <c r="A52" s="26"/>
      <c r="B52" s="52" t="s">
        <v>129</v>
      </c>
      <c r="C52" s="68" t="s">
        <v>100</v>
      </c>
      <c r="D52" s="52" t="s">
        <v>40</v>
      </c>
      <c r="E52" s="69">
        <v>891.4</v>
      </c>
      <c r="F52" s="70">
        <f>SUM(E52*2/1000)</f>
        <v>1.7827999999999999</v>
      </c>
      <c r="G52" s="12">
        <v>1213.55</v>
      </c>
      <c r="H52" s="71">
        <f t="shared" si="4"/>
        <v>2.1635169400000001</v>
      </c>
      <c r="I52" s="12">
        <v>0</v>
      </c>
      <c r="J52" s="22"/>
      <c r="L52" s="18"/>
      <c r="M52" s="19"/>
      <c r="N52" s="20"/>
    </row>
    <row r="53" spans="1:14" ht="31.5" hidden="1" customHeight="1">
      <c r="A53" s="26"/>
      <c r="B53" s="52" t="s">
        <v>130</v>
      </c>
      <c r="C53" s="68" t="s">
        <v>36</v>
      </c>
      <c r="D53" s="52" t="s">
        <v>40</v>
      </c>
      <c r="E53" s="69">
        <v>20</v>
      </c>
      <c r="F53" s="70">
        <f>SUM(E53*2/100)</f>
        <v>0.4</v>
      </c>
      <c r="G53" s="12">
        <v>2730.49</v>
      </c>
      <c r="H53" s="71">
        <f t="shared" si="4"/>
        <v>1.0921959999999999</v>
      </c>
      <c r="I53" s="12">
        <v>0</v>
      </c>
      <c r="J53" s="22"/>
      <c r="L53" s="18"/>
      <c r="M53" s="19"/>
      <c r="N53" s="20"/>
    </row>
    <row r="54" spans="1:14" ht="15.75" hidden="1" customHeight="1">
      <c r="A54" s="26"/>
      <c r="B54" s="52" t="s">
        <v>37</v>
      </c>
      <c r="C54" s="68" t="s">
        <v>38</v>
      </c>
      <c r="D54" s="52" t="s">
        <v>40</v>
      </c>
      <c r="E54" s="69">
        <v>1</v>
      </c>
      <c r="F54" s="70">
        <v>0.02</v>
      </c>
      <c r="G54" s="12">
        <v>5652.13</v>
      </c>
      <c r="H54" s="71">
        <f t="shared" si="4"/>
        <v>0.11304260000000001</v>
      </c>
      <c r="I54" s="12">
        <v>0</v>
      </c>
      <c r="J54" s="22"/>
      <c r="L54" s="18"/>
      <c r="M54" s="19"/>
      <c r="N54" s="20"/>
    </row>
    <row r="55" spans="1:14" ht="15.75" hidden="1" customHeight="1">
      <c r="A55" s="26">
        <v>14</v>
      </c>
      <c r="B55" s="52" t="s">
        <v>131</v>
      </c>
      <c r="C55" s="68" t="s">
        <v>101</v>
      </c>
      <c r="D55" s="52" t="s">
        <v>67</v>
      </c>
      <c r="E55" s="69">
        <v>70</v>
      </c>
      <c r="F55" s="70">
        <f>E55*3</f>
        <v>210</v>
      </c>
      <c r="G55" s="12">
        <v>141.12</v>
      </c>
      <c r="H55" s="71">
        <f t="shared" si="4"/>
        <v>29.635200000000001</v>
      </c>
      <c r="I55" s="12">
        <f>E55*G55</f>
        <v>9878.4</v>
      </c>
      <c r="J55" s="22"/>
      <c r="L55" s="18"/>
      <c r="M55" s="19"/>
      <c r="N55" s="20"/>
    </row>
    <row r="56" spans="1:14" ht="15.75" hidden="1" customHeight="1">
      <c r="A56" s="26">
        <v>15</v>
      </c>
      <c r="B56" s="52" t="s">
        <v>39</v>
      </c>
      <c r="C56" s="68" t="s">
        <v>101</v>
      </c>
      <c r="D56" s="52" t="s">
        <v>67</v>
      </c>
      <c r="E56" s="69">
        <v>140</v>
      </c>
      <c r="F56" s="70">
        <f>SUM(E56)</f>
        <v>140</v>
      </c>
      <c r="G56" s="12">
        <v>65.67</v>
      </c>
      <c r="H56" s="71">
        <f t="shared" si="4"/>
        <v>9.1938000000000013</v>
      </c>
      <c r="I56" s="12">
        <f>E56*G56</f>
        <v>9193.8000000000011</v>
      </c>
      <c r="J56" s="22"/>
      <c r="L56" s="18"/>
      <c r="M56" s="19"/>
      <c r="N56" s="20"/>
    </row>
    <row r="57" spans="1:14" ht="15.75" customHeight="1">
      <c r="A57" s="153" t="s">
        <v>142</v>
      </c>
      <c r="B57" s="156"/>
      <c r="C57" s="156"/>
      <c r="D57" s="156"/>
      <c r="E57" s="156"/>
      <c r="F57" s="156"/>
      <c r="G57" s="156"/>
      <c r="H57" s="156"/>
      <c r="I57" s="157"/>
      <c r="J57" s="22"/>
      <c r="L57" s="18"/>
      <c r="M57" s="19"/>
      <c r="N57" s="20"/>
    </row>
    <row r="58" spans="1:14" ht="15.75" customHeight="1">
      <c r="A58" s="26"/>
      <c r="B58" s="93" t="s">
        <v>41</v>
      </c>
      <c r="C58" s="68"/>
      <c r="D58" s="52"/>
      <c r="E58" s="69"/>
      <c r="F58" s="70"/>
      <c r="G58" s="70"/>
      <c r="H58" s="71"/>
      <c r="I58" s="12"/>
      <c r="J58" s="22"/>
      <c r="L58" s="18"/>
      <c r="M58" s="19"/>
      <c r="N58" s="20"/>
    </row>
    <row r="59" spans="1:14" ht="31.5" customHeight="1">
      <c r="A59" s="26">
        <v>13</v>
      </c>
      <c r="B59" s="52" t="s">
        <v>132</v>
      </c>
      <c r="C59" s="68" t="s">
        <v>90</v>
      </c>
      <c r="D59" s="52" t="s">
        <v>133</v>
      </c>
      <c r="E59" s="69">
        <v>123.43</v>
      </c>
      <c r="F59" s="70">
        <f>SUM(E59*6/100)</f>
        <v>7.4058000000000002</v>
      </c>
      <c r="G59" s="12">
        <v>1547.28</v>
      </c>
      <c r="H59" s="71">
        <f>SUM(F59*G59/1000)</f>
        <v>11.458846224</v>
      </c>
      <c r="I59" s="12">
        <f>F59/6*G59</f>
        <v>1909.8077039999998</v>
      </c>
      <c r="J59" s="22"/>
      <c r="L59" s="18"/>
      <c r="M59" s="19"/>
      <c r="N59" s="20"/>
    </row>
    <row r="60" spans="1:14" ht="15.75" hidden="1" customHeight="1">
      <c r="A60" s="26"/>
      <c r="B60" s="94" t="s">
        <v>42</v>
      </c>
      <c r="C60" s="78"/>
      <c r="D60" s="79"/>
      <c r="E60" s="80"/>
      <c r="F60" s="81"/>
      <c r="G60" s="12"/>
      <c r="H60" s="82"/>
      <c r="I60" s="12"/>
      <c r="J60" s="22"/>
      <c r="L60" s="18"/>
      <c r="M60" s="19"/>
      <c r="N60" s="20"/>
    </row>
    <row r="61" spans="1:14" ht="15.75" hidden="1" customHeight="1">
      <c r="A61" s="26"/>
      <c r="B61" s="79" t="s">
        <v>43</v>
      </c>
      <c r="C61" s="78" t="s">
        <v>51</v>
      </c>
      <c r="D61" s="79" t="s">
        <v>52</v>
      </c>
      <c r="E61" s="80">
        <v>891.4</v>
      </c>
      <c r="F61" s="81">
        <v>8.9</v>
      </c>
      <c r="G61" s="12">
        <v>747.3</v>
      </c>
      <c r="H61" s="82">
        <f>F61*G61/1000</f>
        <v>6.65097</v>
      </c>
      <c r="I61" s="12">
        <v>0</v>
      </c>
      <c r="J61" s="22"/>
      <c r="L61" s="18"/>
      <c r="M61" s="19"/>
      <c r="N61" s="20"/>
    </row>
    <row r="62" spans="1:14" ht="15.75" hidden="1" customHeight="1">
      <c r="A62" s="26"/>
      <c r="B62" s="94" t="s">
        <v>44</v>
      </c>
      <c r="C62" s="78"/>
      <c r="D62" s="79"/>
      <c r="E62" s="80"/>
      <c r="F62" s="83"/>
      <c r="G62" s="83"/>
      <c r="H62" s="81" t="s">
        <v>110</v>
      </c>
      <c r="I62" s="12"/>
      <c r="J62" s="22"/>
      <c r="L62" s="18"/>
      <c r="M62" s="19"/>
      <c r="N62" s="20"/>
    </row>
    <row r="63" spans="1:14" ht="15.75" hidden="1" customHeight="1">
      <c r="A63" s="26"/>
      <c r="B63" s="13" t="s">
        <v>45</v>
      </c>
      <c r="C63" s="15" t="s">
        <v>101</v>
      </c>
      <c r="D63" s="13" t="s">
        <v>63</v>
      </c>
      <c r="E63" s="17">
        <v>15</v>
      </c>
      <c r="F63" s="70">
        <v>15</v>
      </c>
      <c r="G63" s="12">
        <v>222.4</v>
      </c>
      <c r="H63" s="84">
        <f t="shared" ref="H63:H70" si="5">SUM(F63*G63/1000)</f>
        <v>3.3359999999999999</v>
      </c>
      <c r="I63" s="12">
        <v>0</v>
      </c>
      <c r="J63" s="22"/>
      <c r="L63" s="18"/>
      <c r="M63" s="19"/>
      <c r="N63" s="20"/>
    </row>
    <row r="64" spans="1:14" ht="15.75" hidden="1" customHeight="1">
      <c r="A64" s="26">
        <v>17</v>
      </c>
      <c r="B64" s="13" t="s">
        <v>46</v>
      </c>
      <c r="C64" s="15" t="s">
        <v>101</v>
      </c>
      <c r="D64" s="13" t="s">
        <v>63</v>
      </c>
      <c r="E64" s="17">
        <v>5</v>
      </c>
      <c r="F64" s="70">
        <v>5</v>
      </c>
      <c r="G64" s="12">
        <v>76.25</v>
      </c>
      <c r="H64" s="84">
        <f t="shared" si="5"/>
        <v>0.38124999999999998</v>
      </c>
      <c r="I64" s="12">
        <v>0</v>
      </c>
      <c r="J64" s="22"/>
      <c r="L64" s="18"/>
      <c r="M64" s="19"/>
      <c r="N64" s="20"/>
    </row>
    <row r="65" spans="1:14" ht="15.75" hidden="1" customHeight="1">
      <c r="A65" s="26"/>
      <c r="B65" s="13" t="s">
        <v>47</v>
      </c>
      <c r="C65" s="15" t="s">
        <v>102</v>
      </c>
      <c r="D65" s="13" t="s">
        <v>52</v>
      </c>
      <c r="E65" s="69">
        <v>12702</v>
      </c>
      <c r="F65" s="12">
        <f>SUM(E65/100)</f>
        <v>127.02</v>
      </c>
      <c r="G65" s="12">
        <v>212.15</v>
      </c>
      <c r="H65" s="84">
        <f t="shared" si="5"/>
        <v>26.947293000000002</v>
      </c>
      <c r="I65" s="12">
        <v>0</v>
      </c>
      <c r="J65" s="22"/>
      <c r="L65" s="18"/>
      <c r="M65" s="19"/>
      <c r="N65" s="20"/>
    </row>
    <row r="66" spans="1:14" ht="15.75" hidden="1" customHeight="1">
      <c r="A66" s="26"/>
      <c r="B66" s="13" t="s">
        <v>48</v>
      </c>
      <c r="C66" s="15" t="s">
        <v>103</v>
      </c>
      <c r="D66" s="13"/>
      <c r="E66" s="69">
        <v>12702</v>
      </c>
      <c r="F66" s="12">
        <f>SUM(E66/1000)</f>
        <v>12.702</v>
      </c>
      <c r="G66" s="12">
        <v>165.21</v>
      </c>
      <c r="H66" s="84">
        <f t="shared" si="5"/>
        <v>2.0984974200000002</v>
      </c>
      <c r="I66" s="12">
        <v>0</v>
      </c>
      <c r="J66" s="22"/>
      <c r="L66" s="18"/>
      <c r="M66" s="19"/>
      <c r="N66" s="20"/>
    </row>
    <row r="67" spans="1:14" ht="15.75" hidden="1" customHeight="1">
      <c r="A67" s="26"/>
      <c r="B67" s="13" t="s">
        <v>49</v>
      </c>
      <c r="C67" s="15" t="s">
        <v>73</v>
      </c>
      <c r="D67" s="13" t="s">
        <v>52</v>
      </c>
      <c r="E67" s="69">
        <v>2184</v>
      </c>
      <c r="F67" s="12">
        <f>SUM(E67/100)</f>
        <v>21.84</v>
      </c>
      <c r="G67" s="12">
        <v>2074.63</v>
      </c>
      <c r="H67" s="84">
        <f t="shared" si="5"/>
        <v>45.309919200000003</v>
      </c>
      <c r="I67" s="12">
        <v>0</v>
      </c>
      <c r="J67" s="22"/>
      <c r="L67" s="18"/>
      <c r="M67" s="19"/>
      <c r="N67" s="20"/>
    </row>
    <row r="68" spans="1:14" ht="15.75" hidden="1" customHeight="1">
      <c r="A68" s="26"/>
      <c r="B68" s="85" t="s">
        <v>104</v>
      </c>
      <c r="C68" s="15" t="s">
        <v>30</v>
      </c>
      <c r="D68" s="13"/>
      <c r="E68" s="69">
        <v>11.6</v>
      </c>
      <c r="F68" s="12">
        <f>SUM(E68)</f>
        <v>11.6</v>
      </c>
      <c r="G68" s="12">
        <v>42.67</v>
      </c>
      <c r="H68" s="84">
        <f t="shared" si="5"/>
        <v>0.49497199999999997</v>
      </c>
      <c r="I68" s="12">
        <v>0</v>
      </c>
      <c r="J68" s="22"/>
      <c r="L68" s="18"/>
      <c r="M68" s="19"/>
      <c r="N68" s="20"/>
    </row>
    <row r="69" spans="1:14" ht="15.75" hidden="1" customHeight="1">
      <c r="A69" s="26"/>
      <c r="B69" s="85" t="s">
        <v>105</v>
      </c>
      <c r="C69" s="15" t="s">
        <v>30</v>
      </c>
      <c r="D69" s="13"/>
      <c r="E69" s="69">
        <v>11.6</v>
      </c>
      <c r="F69" s="12">
        <f>SUM(E69)</f>
        <v>11.6</v>
      </c>
      <c r="G69" s="12">
        <v>39.81</v>
      </c>
      <c r="H69" s="84">
        <f t="shared" si="5"/>
        <v>0.46179599999999998</v>
      </c>
      <c r="I69" s="12">
        <v>0</v>
      </c>
      <c r="J69" s="22"/>
      <c r="L69" s="18"/>
      <c r="M69" s="19"/>
      <c r="N69" s="20"/>
    </row>
    <row r="70" spans="1:14" ht="15.75" hidden="1" customHeight="1">
      <c r="A70" s="26"/>
      <c r="B70" s="13" t="s">
        <v>56</v>
      </c>
      <c r="C70" s="15" t="s">
        <v>57</v>
      </c>
      <c r="D70" s="13" t="s">
        <v>52</v>
      </c>
      <c r="E70" s="17">
        <v>5</v>
      </c>
      <c r="F70" s="70">
        <v>5</v>
      </c>
      <c r="G70" s="12">
        <v>49.88</v>
      </c>
      <c r="H70" s="84">
        <f t="shared" si="5"/>
        <v>0.24940000000000001</v>
      </c>
      <c r="I70" s="12">
        <v>0</v>
      </c>
      <c r="J70" s="22"/>
      <c r="L70" s="18"/>
      <c r="M70" s="19"/>
      <c r="N70" s="20"/>
    </row>
    <row r="71" spans="1:14" ht="15.75" hidden="1" customHeight="1">
      <c r="A71" s="26"/>
      <c r="B71" s="63" t="s">
        <v>68</v>
      </c>
      <c r="C71" s="15"/>
      <c r="D71" s="13"/>
      <c r="E71" s="17"/>
      <c r="F71" s="12"/>
      <c r="G71" s="12"/>
      <c r="H71" s="84" t="s">
        <v>110</v>
      </c>
      <c r="I71" s="12"/>
      <c r="J71" s="22"/>
      <c r="L71" s="18"/>
      <c r="M71" s="19"/>
      <c r="N71" s="20"/>
    </row>
    <row r="72" spans="1:14" ht="15.75" hidden="1" customHeight="1">
      <c r="A72" s="26"/>
      <c r="B72" s="13" t="s">
        <v>69</v>
      </c>
      <c r="C72" s="15" t="s">
        <v>71</v>
      </c>
      <c r="D72" s="13"/>
      <c r="E72" s="17">
        <v>5</v>
      </c>
      <c r="F72" s="12">
        <v>0.5</v>
      </c>
      <c r="G72" s="12">
        <v>501.62</v>
      </c>
      <c r="H72" s="84">
        <f t="shared" ref="H72" si="6">SUM(F72*G72/1000)</f>
        <v>0.25080999999999998</v>
      </c>
      <c r="I72" s="12">
        <v>0</v>
      </c>
      <c r="J72" s="22"/>
      <c r="L72" s="18"/>
      <c r="M72" s="19"/>
      <c r="N72" s="20"/>
    </row>
    <row r="73" spans="1:14" ht="15.75" hidden="1" customHeight="1">
      <c r="A73" s="26"/>
      <c r="B73" s="13" t="s">
        <v>70</v>
      </c>
      <c r="C73" s="15" t="s">
        <v>28</v>
      </c>
      <c r="D73" s="13"/>
      <c r="E73" s="17">
        <v>1</v>
      </c>
      <c r="F73" s="64">
        <v>1</v>
      </c>
      <c r="G73" s="12">
        <v>852.99</v>
      </c>
      <c r="H73" s="84">
        <f>F73*G73/1000</f>
        <v>0.85299000000000003</v>
      </c>
      <c r="I73" s="12">
        <v>0</v>
      </c>
      <c r="J73" s="22"/>
      <c r="L73" s="18"/>
      <c r="M73" s="19"/>
      <c r="N73" s="20"/>
    </row>
    <row r="74" spans="1:14" ht="15.75" hidden="1" customHeight="1">
      <c r="A74" s="26"/>
      <c r="B74" s="13" t="s">
        <v>108</v>
      </c>
      <c r="C74" s="15" t="s">
        <v>28</v>
      </c>
      <c r="D74" s="13"/>
      <c r="E74" s="17">
        <v>1</v>
      </c>
      <c r="F74" s="12">
        <v>1</v>
      </c>
      <c r="G74" s="12">
        <v>358.51</v>
      </c>
      <c r="H74" s="84">
        <f>G74*F74/1000</f>
        <v>0.35851</v>
      </c>
      <c r="I74" s="12">
        <v>0</v>
      </c>
      <c r="J74" s="22"/>
      <c r="L74" s="18"/>
      <c r="M74" s="19"/>
      <c r="N74" s="20"/>
    </row>
    <row r="75" spans="1:14" ht="15.75" hidden="1" customHeight="1">
      <c r="A75" s="26"/>
      <c r="B75" s="86" t="s">
        <v>72</v>
      </c>
      <c r="C75" s="15"/>
      <c r="D75" s="13"/>
      <c r="E75" s="17"/>
      <c r="F75" s="12"/>
      <c r="G75" s="12" t="s">
        <v>110</v>
      </c>
      <c r="H75" s="84" t="s">
        <v>110</v>
      </c>
      <c r="I75" s="12"/>
      <c r="J75" s="22"/>
      <c r="L75" s="18"/>
      <c r="M75" s="19"/>
      <c r="N75" s="20"/>
    </row>
    <row r="76" spans="1:14" ht="15.75" hidden="1" customHeight="1">
      <c r="A76" s="26"/>
      <c r="B76" s="46" t="s">
        <v>109</v>
      </c>
      <c r="C76" s="15" t="s">
        <v>73</v>
      </c>
      <c r="D76" s="13"/>
      <c r="E76" s="17"/>
      <c r="F76" s="12">
        <v>1</v>
      </c>
      <c r="G76" s="12">
        <v>2579.44</v>
      </c>
      <c r="H76" s="84">
        <f t="shared" ref="H76" si="7">SUM(F76*G76/1000)</f>
        <v>2.57944</v>
      </c>
      <c r="I76" s="12">
        <v>0</v>
      </c>
      <c r="J76" s="22"/>
      <c r="L76" s="18"/>
      <c r="M76" s="19"/>
      <c r="N76" s="20"/>
    </row>
    <row r="77" spans="1:14" ht="15.75" customHeight="1">
      <c r="A77" s="26"/>
      <c r="B77" s="63" t="s">
        <v>106</v>
      </c>
      <c r="C77" s="86"/>
      <c r="D77" s="27"/>
      <c r="E77" s="31"/>
      <c r="F77" s="75"/>
      <c r="G77" s="75"/>
      <c r="H77" s="87">
        <f>SUM(H59:H76)</f>
        <v>101.43069384400002</v>
      </c>
      <c r="I77" s="75"/>
      <c r="J77" s="22"/>
      <c r="L77" s="18"/>
      <c r="M77" s="19"/>
      <c r="N77" s="20"/>
    </row>
    <row r="78" spans="1:14" ht="15.75" customHeight="1">
      <c r="A78" s="26">
        <v>14</v>
      </c>
      <c r="B78" s="52" t="s">
        <v>107</v>
      </c>
      <c r="C78" s="15"/>
      <c r="D78" s="13"/>
      <c r="E78" s="88"/>
      <c r="F78" s="12">
        <v>1</v>
      </c>
      <c r="G78" s="12">
        <v>23195</v>
      </c>
      <c r="H78" s="84">
        <f>G78*F78/1000</f>
        <v>23.195</v>
      </c>
      <c r="I78" s="12">
        <f>G78</f>
        <v>23195</v>
      </c>
      <c r="J78" s="22"/>
      <c r="L78" s="18"/>
      <c r="M78" s="19"/>
      <c r="N78" s="20"/>
    </row>
    <row r="79" spans="1:14" ht="15.75" customHeight="1">
      <c r="A79" s="153" t="s">
        <v>143</v>
      </c>
      <c r="B79" s="158"/>
      <c r="C79" s="158"/>
      <c r="D79" s="158"/>
      <c r="E79" s="158"/>
      <c r="F79" s="158"/>
      <c r="G79" s="158"/>
      <c r="H79" s="158"/>
      <c r="I79" s="159"/>
      <c r="J79" s="22"/>
      <c r="L79" s="18"/>
      <c r="M79" s="19"/>
      <c r="N79" s="20"/>
    </row>
    <row r="80" spans="1:14" ht="15.75" customHeight="1">
      <c r="A80" s="26">
        <v>15</v>
      </c>
      <c r="B80" s="52" t="s">
        <v>134</v>
      </c>
      <c r="C80" s="15" t="s">
        <v>53</v>
      </c>
      <c r="D80" s="89" t="s">
        <v>54</v>
      </c>
      <c r="E80" s="12">
        <v>3181</v>
      </c>
      <c r="F80" s="12">
        <f>SUM(E80*12)</f>
        <v>38172</v>
      </c>
      <c r="G80" s="12">
        <v>2.1</v>
      </c>
      <c r="H80" s="84">
        <f>SUM(F80*G80/1000)</f>
        <v>80.161199999999994</v>
      </c>
      <c r="I80" s="12">
        <f>F80/12*G80</f>
        <v>6680.1</v>
      </c>
      <c r="J80" s="22"/>
      <c r="L80" s="18"/>
      <c r="M80" s="19"/>
      <c r="N80" s="20"/>
    </row>
    <row r="81" spans="1:14" ht="31.5" customHeight="1">
      <c r="A81" s="26">
        <v>16</v>
      </c>
      <c r="B81" s="13" t="s">
        <v>74</v>
      </c>
      <c r="C81" s="15"/>
      <c r="D81" s="89" t="s">
        <v>54</v>
      </c>
      <c r="E81" s="12">
        <v>3181</v>
      </c>
      <c r="F81" s="12">
        <f>E81*12</f>
        <v>38172</v>
      </c>
      <c r="G81" s="12">
        <v>1.63</v>
      </c>
      <c r="H81" s="84">
        <f>F81*G81/1000</f>
        <v>62.220359999999992</v>
      </c>
      <c r="I81" s="12">
        <f>F81/12*G81</f>
        <v>5185.03</v>
      </c>
      <c r="J81" s="22"/>
      <c r="L81" s="18"/>
      <c r="M81" s="19"/>
      <c r="N81" s="20"/>
    </row>
    <row r="82" spans="1:14" ht="15.75" customHeight="1">
      <c r="A82" s="50"/>
      <c r="B82" s="39" t="s">
        <v>77</v>
      </c>
      <c r="C82" s="15"/>
      <c r="D82" s="46"/>
      <c r="E82" s="12"/>
      <c r="F82" s="12"/>
      <c r="G82" s="12"/>
      <c r="H82" s="84">
        <f>H81</f>
        <v>62.220359999999992</v>
      </c>
      <c r="I82" s="75">
        <f>I16+I17+I18+I26+I27+I37+I38+I39+I41+I42+I44+I51+I59+I78+I80+I81</f>
        <v>70618.893311050007</v>
      </c>
      <c r="J82" s="22"/>
      <c r="L82" s="18"/>
      <c r="M82" s="19"/>
      <c r="N82" s="20"/>
    </row>
    <row r="83" spans="1:14" ht="15.75" customHeight="1">
      <c r="A83" s="139" t="s">
        <v>58</v>
      </c>
      <c r="B83" s="140"/>
      <c r="C83" s="140"/>
      <c r="D83" s="140"/>
      <c r="E83" s="140"/>
      <c r="F83" s="140"/>
      <c r="G83" s="140"/>
      <c r="H83" s="140"/>
      <c r="I83" s="141"/>
      <c r="J83" s="22"/>
      <c r="L83" s="18"/>
      <c r="M83" s="19"/>
      <c r="N83" s="20"/>
    </row>
    <row r="84" spans="1:14" ht="15.75" customHeight="1">
      <c r="A84" s="119">
        <v>17</v>
      </c>
      <c r="B84" s="56" t="s">
        <v>166</v>
      </c>
      <c r="C84" s="55" t="s">
        <v>116</v>
      </c>
      <c r="D84" s="13"/>
      <c r="E84" s="17"/>
      <c r="F84" s="12">
        <v>3</v>
      </c>
      <c r="G84" s="12">
        <v>1120.8900000000001</v>
      </c>
      <c r="H84" s="84">
        <f t="shared" ref="H84:H87" si="8">G84*F84/1000</f>
        <v>3.36267</v>
      </c>
      <c r="I84" s="90">
        <f>G84*2</f>
        <v>2241.7800000000002</v>
      </c>
      <c r="J84" s="22"/>
      <c r="L84" s="18"/>
      <c r="M84" s="19"/>
      <c r="N84" s="20"/>
    </row>
    <row r="85" spans="1:14" ht="31.5" customHeight="1">
      <c r="A85" s="26">
        <v>18</v>
      </c>
      <c r="B85" s="67" t="s">
        <v>137</v>
      </c>
      <c r="C85" s="26" t="s">
        <v>138</v>
      </c>
      <c r="D85" s="13"/>
      <c r="E85" s="17"/>
      <c r="F85" s="12">
        <v>1</v>
      </c>
      <c r="G85" s="12">
        <v>1934.94</v>
      </c>
      <c r="H85" s="84">
        <f t="shared" si="8"/>
        <v>1.9349400000000001</v>
      </c>
      <c r="I85" s="90">
        <f>G85</f>
        <v>1934.94</v>
      </c>
      <c r="J85" s="22"/>
      <c r="L85" s="18"/>
      <c r="M85" s="19"/>
      <c r="N85" s="20"/>
    </row>
    <row r="86" spans="1:14" ht="15.75" customHeight="1">
      <c r="A86" s="26">
        <v>19</v>
      </c>
      <c r="B86" s="51" t="s">
        <v>176</v>
      </c>
      <c r="C86" s="57" t="s">
        <v>177</v>
      </c>
      <c r="D86" s="13"/>
      <c r="E86" s="17"/>
      <c r="F86" s="12">
        <v>1</v>
      </c>
      <c r="G86" s="12">
        <v>195.85</v>
      </c>
      <c r="H86" s="12">
        <f t="shared" si="8"/>
        <v>0.19585</v>
      </c>
      <c r="I86" s="90">
        <f>G86</f>
        <v>195.85</v>
      </c>
      <c r="J86" s="22"/>
      <c r="L86" s="18"/>
      <c r="M86" s="19"/>
      <c r="N86" s="20"/>
    </row>
    <row r="87" spans="1:14" ht="15.75" customHeight="1">
      <c r="A87" s="26">
        <v>20</v>
      </c>
      <c r="B87" s="51" t="s">
        <v>135</v>
      </c>
      <c r="C87" s="57" t="s">
        <v>136</v>
      </c>
      <c r="D87" s="13"/>
      <c r="E87" s="17"/>
      <c r="F87" s="12">
        <v>3</v>
      </c>
      <c r="G87" s="12">
        <v>1582</v>
      </c>
      <c r="H87" s="84">
        <f t="shared" si="8"/>
        <v>4.7460000000000004</v>
      </c>
      <c r="I87" s="90">
        <f>G87*3.5</f>
        <v>5537</v>
      </c>
      <c r="J87" s="22"/>
      <c r="L87" s="18"/>
      <c r="M87" s="19"/>
      <c r="N87" s="20"/>
    </row>
    <row r="88" spans="1:14" ht="15.75" customHeight="1">
      <c r="A88" s="26"/>
      <c r="B88" s="27" t="s">
        <v>50</v>
      </c>
      <c r="C88" s="41"/>
      <c r="D88" s="47"/>
      <c r="E88" s="41">
        <v>1</v>
      </c>
      <c r="F88" s="41"/>
      <c r="G88" s="41"/>
      <c r="H88" s="41"/>
      <c r="I88" s="31">
        <f>SUM(I84:I87)</f>
        <v>9909.57</v>
      </c>
      <c r="J88" s="22"/>
      <c r="L88" s="18"/>
      <c r="M88" s="19"/>
      <c r="N88" s="20"/>
    </row>
    <row r="89" spans="1:14" ht="15.75" customHeight="1">
      <c r="A89" s="26"/>
      <c r="B89" s="46" t="s">
        <v>75</v>
      </c>
      <c r="C89" s="14"/>
      <c r="D89" s="14"/>
      <c r="E89" s="42"/>
      <c r="F89" s="42"/>
      <c r="G89" s="43"/>
      <c r="H89" s="43"/>
      <c r="I89" s="16">
        <v>0</v>
      </c>
      <c r="J89" s="22"/>
      <c r="L89" s="18"/>
      <c r="M89" s="19"/>
      <c r="N89" s="20"/>
    </row>
    <row r="90" spans="1:14" ht="15.75" customHeight="1">
      <c r="A90" s="48"/>
      <c r="B90" s="45" t="s">
        <v>174</v>
      </c>
      <c r="C90" s="34"/>
      <c r="D90" s="34"/>
      <c r="E90" s="34"/>
      <c r="F90" s="34"/>
      <c r="G90" s="34"/>
      <c r="H90" s="34"/>
      <c r="I90" s="44">
        <f>I82+I88</f>
        <v>80528.46331105</v>
      </c>
      <c r="J90" s="22"/>
      <c r="L90" s="18"/>
      <c r="M90" s="19"/>
      <c r="N90" s="20"/>
    </row>
    <row r="91" spans="1:14" ht="15.75" customHeight="1">
      <c r="A91" s="149" t="s">
        <v>231</v>
      </c>
      <c r="B91" s="149"/>
      <c r="C91" s="149"/>
      <c r="D91" s="149"/>
      <c r="E91" s="149"/>
      <c r="F91" s="149"/>
      <c r="G91" s="149"/>
      <c r="H91" s="149"/>
      <c r="I91" s="149"/>
      <c r="J91" s="22"/>
      <c r="L91" s="18"/>
      <c r="M91" s="19"/>
      <c r="N91" s="20"/>
    </row>
    <row r="92" spans="1:14" ht="15.75" customHeight="1">
      <c r="A92" s="8"/>
      <c r="B92" s="163" t="s">
        <v>232</v>
      </c>
      <c r="C92" s="163"/>
      <c r="D92" s="163"/>
      <c r="E92" s="163"/>
      <c r="F92" s="163"/>
      <c r="G92" s="163"/>
      <c r="H92" s="95"/>
      <c r="I92" s="3"/>
      <c r="J92" s="22"/>
      <c r="L92" s="18"/>
      <c r="M92" s="19"/>
      <c r="N92" s="20"/>
    </row>
    <row r="93" spans="1:14" ht="15.75" customHeight="1">
      <c r="A93" s="97"/>
      <c r="B93" s="148" t="s">
        <v>5</v>
      </c>
      <c r="C93" s="148"/>
      <c r="D93" s="148"/>
      <c r="E93" s="148"/>
      <c r="F93" s="148"/>
      <c r="G93" s="148"/>
      <c r="H93" s="23"/>
      <c r="I93" s="5"/>
      <c r="J93" s="22"/>
      <c r="K93" s="22"/>
      <c r="L93" s="22"/>
      <c r="M93" s="19"/>
      <c r="N93" s="20"/>
    </row>
    <row r="94" spans="1:14" ht="15.75" customHeight="1">
      <c r="A94" s="9"/>
      <c r="B94" s="9"/>
      <c r="C94" s="9"/>
      <c r="D94" s="9"/>
      <c r="E94" s="9"/>
      <c r="F94" s="9"/>
      <c r="G94" s="9"/>
      <c r="H94" s="9"/>
      <c r="I94" s="9"/>
      <c r="J94" s="22"/>
      <c r="K94" s="22"/>
      <c r="L94" s="22"/>
      <c r="M94" s="19"/>
      <c r="N94" s="20"/>
    </row>
    <row r="95" spans="1:14" ht="15.75" customHeight="1">
      <c r="A95" s="161" t="s">
        <v>6</v>
      </c>
      <c r="B95" s="161"/>
      <c r="C95" s="161"/>
      <c r="D95" s="161"/>
      <c r="E95" s="161"/>
      <c r="F95" s="161"/>
      <c r="G95" s="161"/>
      <c r="H95" s="161"/>
      <c r="I95" s="161"/>
      <c r="J95" s="22"/>
      <c r="K95" s="22"/>
      <c r="L95" s="22"/>
    </row>
    <row r="96" spans="1:14" ht="15.75" customHeight="1">
      <c r="A96" s="161" t="s">
        <v>7</v>
      </c>
      <c r="B96" s="161"/>
      <c r="C96" s="161"/>
      <c r="D96" s="161"/>
      <c r="E96" s="161"/>
      <c r="F96" s="161"/>
      <c r="G96" s="161"/>
      <c r="H96" s="161"/>
      <c r="I96" s="161"/>
      <c r="J96" s="22"/>
      <c r="K96" s="22"/>
      <c r="L96" s="22"/>
    </row>
    <row r="97" spans="1:22" ht="15.75" customHeight="1">
      <c r="A97" s="149" t="s">
        <v>8</v>
      </c>
      <c r="B97" s="149"/>
      <c r="C97" s="149"/>
      <c r="D97" s="149"/>
      <c r="E97" s="149"/>
      <c r="F97" s="149"/>
      <c r="G97" s="149"/>
      <c r="H97" s="149"/>
      <c r="I97" s="149"/>
    </row>
    <row r="98" spans="1:22" ht="15.75" customHeight="1">
      <c r="A98" s="10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7"/>
    </row>
    <row r="99" spans="1:22" ht="15.75" customHeight="1">
      <c r="A99" s="162" t="s">
        <v>9</v>
      </c>
      <c r="B99" s="162"/>
      <c r="C99" s="162"/>
      <c r="D99" s="162"/>
      <c r="E99" s="162"/>
      <c r="F99" s="162"/>
      <c r="G99" s="162"/>
      <c r="H99" s="162"/>
      <c r="I99" s="162"/>
      <c r="J99" s="24"/>
      <c r="K99" s="24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2" ht="15.75" customHeight="1">
      <c r="A100" s="4"/>
      <c r="J100" s="3"/>
      <c r="K100" s="3"/>
      <c r="L100" s="3"/>
      <c r="M100" s="3"/>
      <c r="N100" s="3"/>
      <c r="O100" s="3"/>
      <c r="P100" s="3"/>
      <c r="Q100" s="3"/>
      <c r="S100" s="3"/>
      <c r="T100" s="3"/>
      <c r="U100" s="3"/>
    </row>
    <row r="101" spans="1:22" ht="15.75" customHeight="1">
      <c r="A101" s="149" t="s">
        <v>10</v>
      </c>
      <c r="B101" s="149"/>
      <c r="C101" s="151" t="s">
        <v>84</v>
      </c>
      <c r="D101" s="151"/>
      <c r="E101" s="151"/>
      <c r="F101" s="65"/>
      <c r="I101" s="100"/>
      <c r="J101" s="5"/>
      <c r="K101" s="5"/>
      <c r="L101" s="5"/>
      <c r="M101" s="5"/>
      <c r="N101" s="5"/>
      <c r="O101" s="5"/>
      <c r="P101" s="5"/>
      <c r="Q101" s="5"/>
      <c r="R101" s="147"/>
      <c r="S101" s="147"/>
      <c r="T101" s="147"/>
      <c r="U101" s="147"/>
    </row>
    <row r="102" spans="1:22" ht="15.75" customHeight="1">
      <c r="A102" s="97"/>
      <c r="C102" s="148" t="s">
        <v>11</v>
      </c>
      <c r="D102" s="148"/>
      <c r="E102" s="148"/>
      <c r="F102" s="23"/>
      <c r="I102" s="98" t="s">
        <v>12</v>
      </c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2" ht="15.75" customHeight="1">
      <c r="A103" s="24"/>
      <c r="C103" s="11"/>
      <c r="D103" s="11"/>
      <c r="G103" s="11"/>
      <c r="H103" s="11"/>
    </row>
    <row r="104" spans="1:22" ht="15.75" customHeight="1">
      <c r="A104" s="149" t="s">
        <v>13</v>
      </c>
      <c r="B104" s="149"/>
      <c r="C104" s="150"/>
      <c r="D104" s="150"/>
      <c r="E104" s="150"/>
      <c r="F104" s="66"/>
      <c r="I104" s="100"/>
    </row>
    <row r="105" spans="1:22" ht="15.75" customHeight="1">
      <c r="A105" s="97"/>
      <c r="C105" s="147" t="s">
        <v>11</v>
      </c>
      <c r="D105" s="147"/>
      <c r="E105" s="147"/>
      <c r="F105" s="97"/>
      <c r="I105" s="98" t="s">
        <v>12</v>
      </c>
    </row>
    <row r="106" spans="1:22" ht="15.75" customHeight="1">
      <c r="A106" s="4" t="s">
        <v>14</v>
      </c>
    </row>
    <row r="107" spans="1:22" ht="15" customHeight="1">
      <c r="A107" s="160" t="s">
        <v>15</v>
      </c>
      <c r="B107" s="160"/>
      <c r="C107" s="160"/>
      <c r="D107" s="160"/>
      <c r="E107" s="160"/>
      <c r="F107" s="160"/>
      <c r="G107" s="160"/>
      <c r="H107" s="160"/>
      <c r="I107" s="160"/>
    </row>
    <row r="108" spans="1:22" ht="45" customHeight="1">
      <c r="A108" s="152" t="s">
        <v>16</v>
      </c>
      <c r="B108" s="152"/>
      <c r="C108" s="152"/>
      <c r="D108" s="152"/>
      <c r="E108" s="152"/>
      <c r="F108" s="152"/>
      <c r="G108" s="152"/>
      <c r="H108" s="152"/>
      <c r="I108" s="152"/>
    </row>
    <row r="109" spans="1:22" ht="30" customHeight="1">
      <c r="A109" s="152" t="s">
        <v>17</v>
      </c>
      <c r="B109" s="152"/>
      <c r="C109" s="152"/>
      <c r="D109" s="152"/>
      <c r="E109" s="152"/>
      <c r="F109" s="152"/>
      <c r="G109" s="152"/>
      <c r="H109" s="152"/>
      <c r="I109" s="152"/>
    </row>
    <row r="110" spans="1:22" ht="30" customHeight="1">
      <c r="A110" s="152" t="s">
        <v>21</v>
      </c>
      <c r="B110" s="152"/>
      <c r="C110" s="152"/>
      <c r="D110" s="152"/>
      <c r="E110" s="152"/>
      <c r="F110" s="152"/>
      <c r="G110" s="152"/>
      <c r="H110" s="152"/>
      <c r="I110" s="152"/>
    </row>
    <row r="111" spans="1:22" ht="15" customHeight="1">
      <c r="A111" s="152" t="s">
        <v>20</v>
      </c>
      <c r="B111" s="152"/>
      <c r="C111" s="152"/>
      <c r="D111" s="152"/>
      <c r="E111" s="152"/>
      <c r="F111" s="152"/>
      <c r="G111" s="152"/>
      <c r="H111" s="152"/>
      <c r="I111" s="152"/>
    </row>
  </sheetData>
  <autoFilter ref="I12:I97"/>
  <mergeCells count="31">
    <mergeCell ref="A14:I14"/>
    <mergeCell ref="A3:I3"/>
    <mergeCell ref="A4:I4"/>
    <mergeCell ref="A5:I5"/>
    <mergeCell ref="A8:I8"/>
    <mergeCell ref="A10:I10"/>
    <mergeCell ref="A97:I97"/>
    <mergeCell ref="A15:I15"/>
    <mergeCell ref="A28:I28"/>
    <mergeCell ref="A45:I45"/>
    <mergeCell ref="A57:I57"/>
    <mergeCell ref="A79:I79"/>
    <mergeCell ref="A83:I83"/>
    <mergeCell ref="A91:I91"/>
    <mergeCell ref="B92:G92"/>
    <mergeCell ref="B93:G93"/>
    <mergeCell ref="A95:I95"/>
    <mergeCell ref="A96:I96"/>
    <mergeCell ref="A111:I111"/>
    <mergeCell ref="A99:I99"/>
    <mergeCell ref="A101:B101"/>
    <mergeCell ref="C101:E101"/>
    <mergeCell ref="R101:U101"/>
    <mergeCell ref="C102:E102"/>
    <mergeCell ref="A104:B104"/>
    <mergeCell ref="C104:E104"/>
    <mergeCell ref="C105:E105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29" t="s">
        <v>81</v>
      </c>
      <c r="I1" s="28"/>
    </row>
    <row r="2" spans="1:15" s="25" customFormat="1" ht="15.75" customHeight="1">
      <c r="A2" s="25" t="s">
        <v>59</v>
      </c>
      <c r="J2" s="1"/>
      <c r="K2" s="1"/>
      <c r="L2" s="1"/>
      <c r="M2" s="1"/>
    </row>
    <row r="3" spans="1:15" s="25" customFormat="1" ht="15.75">
      <c r="A3" s="142" t="s">
        <v>145</v>
      </c>
      <c r="B3" s="142"/>
      <c r="C3" s="142"/>
      <c r="D3" s="142"/>
      <c r="E3" s="142"/>
      <c r="F3" s="142"/>
      <c r="G3" s="142"/>
      <c r="H3" s="142"/>
      <c r="I3" s="142"/>
      <c r="J3" s="2"/>
      <c r="K3" s="2"/>
      <c r="L3" s="2"/>
      <c r="M3" s="2"/>
    </row>
    <row r="4" spans="1:15" s="25" customFormat="1" ht="31.5" customHeight="1">
      <c r="A4" s="143" t="s">
        <v>89</v>
      </c>
      <c r="B4" s="143"/>
      <c r="C4" s="143"/>
      <c r="D4" s="143"/>
      <c r="E4" s="143"/>
      <c r="F4" s="143"/>
      <c r="G4" s="143"/>
      <c r="H4" s="143"/>
      <c r="I4" s="143"/>
      <c r="J4" s="3"/>
      <c r="K4" s="3"/>
      <c r="L4" s="3"/>
    </row>
    <row r="5" spans="1:15" s="25" customFormat="1" ht="15.75" customHeight="1">
      <c r="A5" s="142" t="s">
        <v>178</v>
      </c>
      <c r="B5" s="144"/>
      <c r="C5" s="144"/>
      <c r="D5" s="144"/>
      <c r="E5" s="144"/>
      <c r="F5" s="144"/>
      <c r="G5" s="144"/>
      <c r="H5" s="144"/>
      <c r="I5" s="144"/>
    </row>
    <row r="6" spans="1:15" s="25" customFormat="1" ht="15.75">
      <c r="A6" s="2"/>
      <c r="B6" s="96"/>
      <c r="C6" s="96"/>
      <c r="D6" s="96"/>
      <c r="E6" s="96"/>
      <c r="F6" s="96"/>
      <c r="G6" s="96"/>
      <c r="H6" s="96"/>
      <c r="I6" s="30">
        <v>42825</v>
      </c>
      <c r="J6" s="2"/>
      <c r="K6" s="2"/>
      <c r="L6" s="2"/>
      <c r="M6" s="2"/>
    </row>
    <row r="7" spans="1:15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45" t="s">
        <v>155</v>
      </c>
      <c r="B8" s="145"/>
      <c r="C8" s="145"/>
      <c r="D8" s="145"/>
      <c r="E8" s="145"/>
      <c r="F8" s="145"/>
      <c r="G8" s="145"/>
      <c r="H8" s="145"/>
      <c r="I8" s="145"/>
      <c r="J8" s="5"/>
      <c r="K8" s="5"/>
      <c r="L8" s="5"/>
      <c r="M8" s="5"/>
    </row>
    <row r="9" spans="1:15" ht="7.5" customHeight="1">
      <c r="A9" s="4"/>
      <c r="J9" s="2"/>
      <c r="K9" s="2"/>
      <c r="L9" s="2"/>
      <c r="M9" s="2"/>
    </row>
    <row r="10" spans="1:15" ht="47.25" customHeight="1">
      <c r="A10" s="146" t="s">
        <v>228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108" t="s">
        <v>0</v>
      </c>
      <c r="B12" s="108" t="s">
        <v>156</v>
      </c>
      <c r="C12" s="108" t="s">
        <v>1</v>
      </c>
      <c r="D12" s="108" t="s">
        <v>18</v>
      </c>
      <c r="E12" s="108" t="s">
        <v>19</v>
      </c>
      <c r="F12" s="108"/>
      <c r="G12" s="108" t="s">
        <v>22</v>
      </c>
      <c r="H12" s="108"/>
      <c r="I12" s="108" t="s">
        <v>2</v>
      </c>
    </row>
    <row r="13" spans="1:15" s="49" customFormat="1" ht="12.75">
      <c r="A13" s="109">
        <v>1</v>
      </c>
      <c r="B13" s="109">
        <v>2</v>
      </c>
      <c r="C13" s="109">
        <v>3</v>
      </c>
      <c r="D13" s="110">
        <v>4</v>
      </c>
      <c r="E13" s="109">
        <v>5</v>
      </c>
      <c r="F13" s="109"/>
      <c r="G13" s="109">
        <v>5</v>
      </c>
      <c r="H13" s="109"/>
      <c r="I13" s="109">
        <v>6</v>
      </c>
      <c r="J13" s="111"/>
      <c r="K13" s="111"/>
      <c r="L13" s="111"/>
      <c r="M13" s="111"/>
    </row>
    <row r="14" spans="1:15" ht="15.75" customHeight="1">
      <c r="A14" s="137" t="s">
        <v>157</v>
      </c>
      <c r="B14" s="138"/>
      <c r="C14" s="138"/>
      <c r="D14" s="138"/>
      <c r="E14" s="138"/>
      <c r="F14" s="138"/>
      <c r="G14" s="138"/>
      <c r="H14" s="138"/>
      <c r="I14" s="138"/>
      <c r="J14" s="112"/>
      <c r="K14" s="112"/>
      <c r="L14" s="6"/>
      <c r="M14" s="6"/>
      <c r="N14" s="6"/>
      <c r="O14" s="6"/>
    </row>
    <row r="15" spans="1:15" ht="15.75" customHeight="1">
      <c r="A15" s="134" t="s">
        <v>3</v>
      </c>
      <c r="B15" s="135"/>
      <c r="C15" s="135"/>
      <c r="D15" s="135"/>
      <c r="E15" s="135"/>
      <c r="F15" s="135"/>
      <c r="G15" s="135"/>
      <c r="H15" s="135"/>
      <c r="I15" s="136"/>
      <c r="J15" s="6"/>
      <c r="K15" s="6"/>
      <c r="L15" s="6"/>
      <c r="M15" s="6"/>
    </row>
    <row r="16" spans="1:15" ht="15.75" customHeight="1">
      <c r="A16" s="26">
        <v>1</v>
      </c>
      <c r="B16" s="52" t="s">
        <v>82</v>
      </c>
      <c r="C16" s="68" t="s">
        <v>90</v>
      </c>
      <c r="D16" s="52" t="s">
        <v>113</v>
      </c>
      <c r="E16" s="69">
        <v>59.9</v>
      </c>
      <c r="F16" s="70">
        <f>SUM(E16*156/100)</f>
        <v>93.444000000000003</v>
      </c>
      <c r="G16" s="70">
        <v>175.38</v>
      </c>
      <c r="H16" s="71">
        <f t="shared" ref="H16:H27" si="0">SUM(F16*G16/1000)</f>
        <v>16.388208719999998</v>
      </c>
      <c r="I16" s="12">
        <f>F16/12*G16</f>
        <v>1365.68406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87</v>
      </c>
      <c r="C17" s="68" t="s">
        <v>90</v>
      </c>
      <c r="D17" s="52" t="s">
        <v>114</v>
      </c>
      <c r="E17" s="69">
        <v>239.4</v>
      </c>
      <c r="F17" s="70">
        <f>SUM(E17*104/100)</f>
        <v>248.97600000000003</v>
      </c>
      <c r="G17" s="70">
        <v>175.38</v>
      </c>
      <c r="H17" s="71">
        <f t="shared" si="0"/>
        <v>43.665410880000003</v>
      </c>
      <c r="I17" s="12">
        <f>F17/12*G17</f>
        <v>3638.78424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88</v>
      </c>
      <c r="C18" s="68" t="s">
        <v>90</v>
      </c>
      <c r="D18" s="52" t="s">
        <v>115</v>
      </c>
      <c r="E18" s="69">
        <f>SUM(E16+E17)</f>
        <v>299.3</v>
      </c>
      <c r="F18" s="70">
        <f>SUM(E18*24/100)</f>
        <v>71.832000000000008</v>
      </c>
      <c r="G18" s="70">
        <v>504.5</v>
      </c>
      <c r="H18" s="71">
        <f t="shared" si="0"/>
        <v>36.239244000000006</v>
      </c>
      <c r="I18" s="12">
        <f>F18/12*G18</f>
        <v>3019.9370000000004</v>
      </c>
      <c r="J18" s="21"/>
      <c r="K18" s="6"/>
      <c r="L18" s="6"/>
      <c r="M18" s="6"/>
    </row>
    <row r="19" spans="1:13" ht="15.75" hidden="1" customHeight="1">
      <c r="A19" s="26"/>
      <c r="B19" s="52" t="s">
        <v>91</v>
      </c>
      <c r="C19" s="68" t="s">
        <v>92</v>
      </c>
      <c r="D19" s="52" t="s">
        <v>93</v>
      </c>
      <c r="E19" s="69">
        <v>40</v>
      </c>
      <c r="F19" s="70">
        <f>SUM(E19/10)</f>
        <v>4</v>
      </c>
      <c r="G19" s="70">
        <v>170.16</v>
      </c>
      <c r="H19" s="71">
        <f>SUM(F19*G19/1000)</f>
        <v>0.68064000000000002</v>
      </c>
      <c r="I19" s="12">
        <v>0</v>
      </c>
      <c r="J19" s="21"/>
      <c r="K19" s="6"/>
      <c r="L19" s="6"/>
      <c r="M19" s="6"/>
    </row>
    <row r="20" spans="1:13" ht="15.75" hidden="1" customHeight="1">
      <c r="A20" s="26"/>
      <c r="B20" s="52" t="s">
        <v>94</v>
      </c>
      <c r="C20" s="68" t="s">
        <v>90</v>
      </c>
      <c r="D20" s="52" t="s">
        <v>52</v>
      </c>
      <c r="E20" s="69">
        <v>10.5</v>
      </c>
      <c r="F20" s="70">
        <f t="shared" ref="F20:F25" si="1">SUM(E20/100)</f>
        <v>0.105</v>
      </c>
      <c r="G20" s="70">
        <v>217.88</v>
      </c>
      <c r="H20" s="71">
        <f t="shared" si="0"/>
        <v>2.2877399999999999E-2</v>
      </c>
      <c r="I20" s="12">
        <v>0</v>
      </c>
      <c r="J20" s="21"/>
      <c r="K20" s="6"/>
      <c r="L20" s="6"/>
      <c r="M20" s="6"/>
    </row>
    <row r="21" spans="1:13" ht="15.75" hidden="1" customHeight="1">
      <c r="A21" s="26"/>
      <c r="B21" s="52" t="s">
        <v>95</v>
      </c>
      <c r="C21" s="68" t="s">
        <v>90</v>
      </c>
      <c r="D21" s="52" t="s">
        <v>52</v>
      </c>
      <c r="E21" s="69">
        <v>2.7</v>
      </c>
      <c r="F21" s="70">
        <f t="shared" si="1"/>
        <v>2.7000000000000003E-2</v>
      </c>
      <c r="G21" s="70">
        <v>203.5</v>
      </c>
      <c r="H21" s="71">
        <f t="shared" si="0"/>
        <v>5.4945000000000003E-3</v>
      </c>
      <c r="I21" s="12">
        <v>0</v>
      </c>
      <c r="J21" s="21"/>
      <c r="K21" s="6"/>
      <c r="L21" s="6"/>
      <c r="M21" s="6"/>
    </row>
    <row r="22" spans="1:13" ht="15.75" hidden="1" customHeight="1">
      <c r="A22" s="26"/>
      <c r="B22" s="52" t="s">
        <v>96</v>
      </c>
      <c r="C22" s="68" t="s">
        <v>51</v>
      </c>
      <c r="D22" s="52" t="s">
        <v>93</v>
      </c>
      <c r="E22" s="69">
        <v>357</v>
      </c>
      <c r="F22" s="70">
        <f t="shared" si="1"/>
        <v>3.57</v>
      </c>
      <c r="G22" s="70">
        <v>269.26</v>
      </c>
      <c r="H22" s="71">
        <f t="shared" si="0"/>
        <v>0.96125819999999984</v>
      </c>
      <c r="I22" s="12">
        <v>0</v>
      </c>
      <c r="J22" s="21"/>
      <c r="K22" s="6"/>
      <c r="L22" s="6"/>
      <c r="M22" s="6"/>
    </row>
    <row r="23" spans="1:13" ht="15.75" hidden="1" customHeight="1">
      <c r="A23" s="26"/>
      <c r="B23" s="52" t="s">
        <v>97</v>
      </c>
      <c r="C23" s="68" t="s">
        <v>51</v>
      </c>
      <c r="D23" s="52" t="s">
        <v>93</v>
      </c>
      <c r="E23" s="72">
        <v>38.64</v>
      </c>
      <c r="F23" s="70">
        <f t="shared" si="1"/>
        <v>0.38640000000000002</v>
      </c>
      <c r="G23" s="70">
        <v>44.29</v>
      </c>
      <c r="H23" s="71">
        <f t="shared" si="0"/>
        <v>1.7113655999999998E-2</v>
      </c>
      <c r="I23" s="12">
        <v>0</v>
      </c>
      <c r="J23" s="21"/>
      <c r="K23" s="6"/>
      <c r="L23" s="6"/>
      <c r="M23" s="6"/>
    </row>
    <row r="24" spans="1:13" ht="15.75" hidden="1" customHeight="1">
      <c r="A24" s="26"/>
      <c r="B24" s="52" t="s">
        <v>98</v>
      </c>
      <c r="C24" s="68" t="s">
        <v>51</v>
      </c>
      <c r="D24" s="53" t="s">
        <v>93</v>
      </c>
      <c r="E24" s="17">
        <v>15</v>
      </c>
      <c r="F24" s="73">
        <f t="shared" si="1"/>
        <v>0.15</v>
      </c>
      <c r="G24" s="70">
        <v>389.72</v>
      </c>
      <c r="H24" s="71">
        <f t="shared" si="0"/>
        <v>5.8457999999999996E-2</v>
      </c>
      <c r="I24" s="12">
        <v>0</v>
      </c>
      <c r="J24" s="21"/>
      <c r="K24" s="6"/>
      <c r="L24" s="6"/>
      <c r="M24" s="6"/>
    </row>
    <row r="25" spans="1:13" ht="15.75" hidden="1" customHeight="1">
      <c r="A25" s="26"/>
      <c r="B25" s="52" t="s">
        <v>99</v>
      </c>
      <c r="C25" s="68" t="s">
        <v>51</v>
      </c>
      <c r="D25" s="52" t="s">
        <v>93</v>
      </c>
      <c r="E25" s="74">
        <v>6.38</v>
      </c>
      <c r="F25" s="70">
        <f t="shared" si="1"/>
        <v>6.3799999999999996E-2</v>
      </c>
      <c r="G25" s="70">
        <v>520.79999999999995</v>
      </c>
      <c r="H25" s="71">
        <f t="shared" si="0"/>
        <v>3.3227039999999992E-2</v>
      </c>
      <c r="I25" s="12">
        <v>0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61</v>
      </c>
      <c r="C26" s="68" t="s">
        <v>30</v>
      </c>
      <c r="D26" s="52" t="s">
        <v>80</v>
      </c>
      <c r="E26" s="69">
        <v>0.1</v>
      </c>
      <c r="F26" s="70">
        <f>SUM(E26*365)</f>
        <v>36.5</v>
      </c>
      <c r="G26" s="70">
        <v>147.03</v>
      </c>
      <c r="H26" s="71">
        <f t="shared" si="0"/>
        <v>5.3665950000000002</v>
      </c>
      <c r="I26" s="12">
        <f>F26/12*G26</f>
        <v>447.21625</v>
      </c>
      <c r="J26" s="21"/>
      <c r="K26" s="6"/>
      <c r="L26" s="6"/>
      <c r="M26" s="6"/>
    </row>
    <row r="27" spans="1:13" ht="15.75" customHeight="1">
      <c r="A27" s="26">
        <v>5</v>
      </c>
      <c r="B27" s="77" t="s">
        <v>23</v>
      </c>
      <c r="C27" s="68" t="s">
        <v>24</v>
      </c>
      <c r="D27" s="52" t="s">
        <v>80</v>
      </c>
      <c r="E27" s="69">
        <v>3181</v>
      </c>
      <c r="F27" s="70">
        <f>SUM(E27*12)</f>
        <v>38172</v>
      </c>
      <c r="G27" s="70">
        <v>4.95</v>
      </c>
      <c r="H27" s="71">
        <f t="shared" si="0"/>
        <v>188.95140000000001</v>
      </c>
      <c r="I27" s="12">
        <f>F27/12*G27</f>
        <v>15745.95</v>
      </c>
      <c r="J27" s="21"/>
      <c r="K27" s="6"/>
      <c r="L27" s="6"/>
      <c r="M27" s="6"/>
    </row>
    <row r="28" spans="1:13" ht="15.75" customHeight="1">
      <c r="A28" s="134" t="s">
        <v>158</v>
      </c>
      <c r="B28" s="135"/>
      <c r="C28" s="135"/>
      <c r="D28" s="135"/>
      <c r="E28" s="135"/>
      <c r="F28" s="135"/>
      <c r="G28" s="135"/>
      <c r="H28" s="135"/>
      <c r="I28" s="136"/>
      <c r="J28" s="21"/>
      <c r="K28" s="6"/>
      <c r="L28" s="6"/>
      <c r="M28" s="6"/>
    </row>
    <row r="29" spans="1:13" ht="15.75" hidden="1" customHeight="1">
      <c r="A29" s="115"/>
      <c r="B29" s="63" t="s">
        <v>159</v>
      </c>
      <c r="C29" s="116"/>
      <c r="D29" s="116"/>
      <c r="E29" s="116"/>
      <c r="F29" s="116"/>
      <c r="G29" s="116"/>
      <c r="H29" s="116"/>
      <c r="I29" s="116"/>
      <c r="J29" s="21"/>
      <c r="K29" s="6"/>
      <c r="L29" s="6"/>
      <c r="M29" s="6"/>
    </row>
    <row r="30" spans="1:13" ht="15.75" hidden="1" customHeight="1">
      <c r="A30" s="113"/>
      <c r="B30" s="52" t="s">
        <v>160</v>
      </c>
      <c r="C30" s="68" t="s">
        <v>100</v>
      </c>
      <c r="D30" s="52" t="s">
        <v>163</v>
      </c>
      <c r="E30" s="70">
        <v>786.4</v>
      </c>
      <c r="F30" s="70">
        <f>SUM(E30*52/1000)</f>
        <v>40.892799999999994</v>
      </c>
      <c r="G30" s="70">
        <v>155.88999999999999</v>
      </c>
      <c r="H30" s="71">
        <f t="shared" ref="H30:H35" si="2">SUM(F30*G30/1000)</f>
        <v>6.3747785919999984</v>
      </c>
      <c r="I30" s="12">
        <v>0</v>
      </c>
      <c r="J30" s="21"/>
      <c r="K30" s="6"/>
      <c r="L30" s="6"/>
      <c r="M30" s="6"/>
    </row>
    <row r="31" spans="1:13" ht="31.5" hidden="1" customHeight="1">
      <c r="A31" s="26"/>
      <c r="B31" s="52" t="s">
        <v>161</v>
      </c>
      <c r="C31" s="68" t="s">
        <v>100</v>
      </c>
      <c r="D31" s="52" t="s">
        <v>164</v>
      </c>
      <c r="E31" s="70">
        <v>97.33</v>
      </c>
      <c r="F31" s="70">
        <f>SUM(E31*78/1000)</f>
        <v>7.5917399999999997</v>
      </c>
      <c r="G31" s="70">
        <v>258.63</v>
      </c>
      <c r="H31" s="71">
        <f t="shared" si="2"/>
        <v>1.9634517162</v>
      </c>
      <c r="I31" s="12">
        <v>0</v>
      </c>
      <c r="J31" s="21"/>
      <c r="K31" s="6"/>
      <c r="L31" s="6"/>
      <c r="M31" s="6"/>
    </row>
    <row r="32" spans="1:13" ht="15.75" hidden="1" customHeight="1">
      <c r="A32" s="26"/>
      <c r="B32" s="52" t="s">
        <v>26</v>
      </c>
      <c r="C32" s="68" t="s">
        <v>100</v>
      </c>
      <c r="D32" s="52" t="s">
        <v>52</v>
      </c>
      <c r="E32" s="70">
        <v>786.4</v>
      </c>
      <c r="F32" s="70">
        <f>SUM(E32/1000)</f>
        <v>0.78639999999999999</v>
      </c>
      <c r="G32" s="70">
        <v>3020.33</v>
      </c>
      <c r="H32" s="71">
        <f t="shared" si="2"/>
        <v>2.3751875120000001</v>
      </c>
      <c r="I32" s="12">
        <v>0</v>
      </c>
      <c r="J32" s="21"/>
      <c r="K32" s="6"/>
      <c r="L32" s="6"/>
      <c r="M32" s="6"/>
    </row>
    <row r="33" spans="1:14" ht="15.75" hidden="1" customHeight="1">
      <c r="A33" s="26"/>
      <c r="B33" s="52" t="s">
        <v>162</v>
      </c>
      <c r="C33" s="68" t="s">
        <v>28</v>
      </c>
      <c r="D33" s="52" t="s">
        <v>60</v>
      </c>
      <c r="E33" s="76">
        <v>0.33333333333333331</v>
      </c>
      <c r="F33" s="70">
        <f>155/3</f>
        <v>51.666666666666664</v>
      </c>
      <c r="G33" s="70">
        <v>56.69</v>
      </c>
      <c r="H33" s="71">
        <f t="shared" si="2"/>
        <v>2.9289833333333331</v>
      </c>
      <c r="I33" s="12">
        <v>0</v>
      </c>
      <c r="J33" s="21"/>
      <c r="K33" s="6"/>
      <c r="L33" s="6"/>
      <c r="M33" s="6"/>
    </row>
    <row r="34" spans="1:14" ht="15.75" hidden="1" customHeight="1">
      <c r="A34" s="26"/>
      <c r="B34" s="52" t="s">
        <v>62</v>
      </c>
      <c r="C34" s="68" t="s">
        <v>30</v>
      </c>
      <c r="D34" s="52" t="s">
        <v>63</v>
      </c>
      <c r="E34" s="69"/>
      <c r="F34" s="70">
        <v>3</v>
      </c>
      <c r="G34" s="70">
        <v>191.32</v>
      </c>
      <c r="H34" s="71">
        <f t="shared" si="2"/>
        <v>0.57396000000000003</v>
      </c>
      <c r="I34" s="12">
        <v>0</v>
      </c>
      <c r="J34" s="21"/>
      <c r="K34" s="6"/>
      <c r="L34" s="6"/>
      <c r="M34" s="6"/>
    </row>
    <row r="35" spans="1:14" ht="15.75" hidden="1" customHeight="1">
      <c r="A35" s="118"/>
      <c r="B35" s="52" t="s">
        <v>119</v>
      </c>
      <c r="C35" s="68" t="s">
        <v>29</v>
      </c>
      <c r="D35" s="52" t="s">
        <v>63</v>
      </c>
      <c r="E35" s="69"/>
      <c r="F35" s="70">
        <v>2</v>
      </c>
      <c r="G35" s="70">
        <v>1136.33</v>
      </c>
      <c r="H35" s="71">
        <f t="shared" si="2"/>
        <v>2.2726599999999997</v>
      </c>
      <c r="I35" s="12">
        <v>0</v>
      </c>
      <c r="J35" s="21"/>
      <c r="K35" s="6"/>
      <c r="L35" s="6"/>
      <c r="M35" s="6"/>
    </row>
    <row r="36" spans="1:14" ht="15.75" customHeight="1">
      <c r="A36" s="115"/>
      <c r="B36" s="63" t="s">
        <v>4</v>
      </c>
      <c r="C36" s="117"/>
      <c r="D36" s="117"/>
      <c r="E36" s="117"/>
      <c r="F36" s="117"/>
      <c r="G36" s="117"/>
      <c r="H36" s="117"/>
      <c r="I36" s="117"/>
      <c r="J36" s="21"/>
      <c r="K36" s="6"/>
      <c r="L36" s="6"/>
      <c r="M36" s="6"/>
    </row>
    <row r="37" spans="1:14" ht="15.75" customHeight="1">
      <c r="A37" s="113">
        <v>6</v>
      </c>
      <c r="B37" s="52" t="s">
        <v>25</v>
      </c>
      <c r="C37" s="68" t="s">
        <v>29</v>
      </c>
      <c r="D37" s="52"/>
      <c r="E37" s="69"/>
      <c r="F37" s="70">
        <v>8</v>
      </c>
      <c r="G37" s="70">
        <v>1527.22</v>
      </c>
      <c r="H37" s="71">
        <f t="shared" ref="H37:H44" si="3">SUM(F37*G37/1000)</f>
        <v>12.21776</v>
      </c>
      <c r="I37" s="12">
        <f>F37/6*G37</f>
        <v>2036.2933333333333</v>
      </c>
      <c r="J37" s="21"/>
      <c r="K37" s="6"/>
      <c r="L37" s="6"/>
      <c r="M37" s="6"/>
    </row>
    <row r="38" spans="1:14" ht="15.75" customHeight="1">
      <c r="A38" s="26">
        <v>7</v>
      </c>
      <c r="B38" s="52" t="s">
        <v>85</v>
      </c>
      <c r="C38" s="68" t="s">
        <v>27</v>
      </c>
      <c r="D38" s="52" t="s">
        <v>120</v>
      </c>
      <c r="E38" s="69">
        <v>485.66</v>
      </c>
      <c r="F38" s="70">
        <f>E38*12/1000</f>
        <v>5.8279199999999998</v>
      </c>
      <c r="G38" s="70">
        <v>2102.71</v>
      </c>
      <c r="H38" s="71">
        <f>G38*F38/1000</f>
        <v>12.254425663199999</v>
      </c>
      <c r="I38" s="12">
        <f>F38/6*G38</f>
        <v>2042.4042772</v>
      </c>
      <c r="J38" s="21"/>
      <c r="K38" s="6"/>
      <c r="L38" s="6"/>
      <c r="M38" s="6"/>
    </row>
    <row r="39" spans="1:14" ht="15.75" customHeight="1">
      <c r="A39" s="26">
        <v>8</v>
      </c>
      <c r="B39" s="52" t="s">
        <v>121</v>
      </c>
      <c r="C39" s="68" t="s">
        <v>27</v>
      </c>
      <c r="D39" s="52" t="s">
        <v>122</v>
      </c>
      <c r="E39" s="69">
        <v>97.33</v>
      </c>
      <c r="F39" s="70">
        <f>E39*30/1000</f>
        <v>2.9199000000000002</v>
      </c>
      <c r="G39" s="70">
        <v>2102.71</v>
      </c>
      <c r="H39" s="71">
        <f>G39*F39/1000</f>
        <v>6.1397029290000003</v>
      </c>
      <c r="I39" s="12">
        <f>F39/6*G39</f>
        <v>1023.2838215</v>
      </c>
      <c r="J39" s="21"/>
      <c r="K39" s="6"/>
    </row>
    <row r="40" spans="1:14" ht="15.75" hidden="1" customHeight="1">
      <c r="A40" s="26"/>
      <c r="B40" s="52" t="s">
        <v>123</v>
      </c>
      <c r="C40" s="68" t="s">
        <v>124</v>
      </c>
      <c r="D40" s="52" t="s">
        <v>63</v>
      </c>
      <c r="E40" s="69"/>
      <c r="F40" s="70">
        <v>100</v>
      </c>
      <c r="G40" s="70">
        <v>213.2</v>
      </c>
      <c r="H40" s="71">
        <f>G40*F40/1000</f>
        <v>21.32</v>
      </c>
      <c r="I40" s="12">
        <v>0</v>
      </c>
      <c r="J40" s="22"/>
    </row>
    <row r="41" spans="1:14" ht="15.75" customHeight="1">
      <c r="A41" s="26">
        <v>9</v>
      </c>
      <c r="B41" s="52" t="s">
        <v>64</v>
      </c>
      <c r="C41" s="68" t="s">
        <v>27</v>
      </c>
      <c r="D41" s="52" t="s">
        <v>125</v>
      </c>
      <c r="E41" s="70">
        <v>97.33</v>
      </c>
      <c r="F41" s="70">
        <f>SUM(E41*155/1000)</f>
        <v>15.08615</v>
      </c>
      <c r="G41" s="70">
        <v>350.75</v>
      </c>
      <c r="H41" s="71">
        <f t="shared" si="3"/>
        <v>5.2914671124999995</v>
      </c>
      <c r="I41" s="12">
        <f>F41/6*G41</f>
        <v>881.91118541666674</v>
      </c>
      <c r="J41" s="22"/>
    </row>
    <row r="42" spans="1:14" ht="47.25" customHeight="1">
      <c r="A42" s="26">
        <v>10</v>
      </c>
      <c r="B42" s="52" t="s">
        <v>79</v>
      </c>
      <c r="C42" s="68" t="s">
        <v>100</v>
      </c>
      <c r="D42" s="52" t="s">
        <v>126</v>
      </c>
      <c r="E42" s="70">
        <v>97.33</v>
      </c>
      <c r="F42" s="70">
        <f>SUM(E42*24/1000)</f>
        <v>2.3359200000000002</v>
      </c>
      <c r="G42" s="70">
        <v>5803.28</v>
      </c>
      <c r="H42" s="71">
        <f t="shared" si="3"/>
        <v>13.5559978176</v>
      </c>
      <c r="I42" s="12">
        <f>F42/6*G42</f>
        <v>2259.3329696000001</v>
      </c>
      <c r="J42" s="22"/>
    </row>
    <row r="43" spans="1:14" ht="15.75" customHeight="1">
      <c r="A43" s="26">
        <v>11</v>
      </c>
      <c r="B43" s="33" t="s">
        <v>127</v>
      </c>
      <c r="C43" s="40" t="s">
        <v>100</v>
      </c>
      <c r="D43" s="33" t="s">
        <v>233</v>
      </c>
      <c r="E43" s="32">
        <v>97.33</v>
      </c>
      <c r="F43" s="166">
        <f>SUM(E43*15/1000)</f>
        <v>1.4599500000000001</v>
      </c>
      <c r="G43" s="32">
        <v>428.7</v>
      </c>
      <c r="H43" s="124">
        <f t="shared" ref="H43" si="4">SUM(F43*G43/1000)</f>
        <v>0.625880565</v>
      </c>
      <c r="I43" s="12">
        <f>F43/2*G43</f>
        <v>312.94028250000002</v>
      </c>
      <c r="J43" s="22"/>
    </row>
    <row r="44" spans="1:14" ht="15.75" customHeight="1">
      <c r="A44" s="26">
        <v>12</v>
      </c>
      <c r="B44" s="52" t="s">
        <v>66</v>
      </c>
      <c r="C44" s="68" t="s">
        <v>30</v>
      </c>
      <c r="D44" s="52"/>
      <c r="E44" s="69"/>
      <c r="F44" s="70">
        <v>0.8</v>
      </c>
      <c r="G44" s="70">
        <v>798</v>
      </c>
      <c r="H44" s="71">
        <f t="shared" si="3"/>
        <v>0.63840000000000008</v>
      </c>
      <c r="I44" s="12">
        <f>F44/6*G44</f>
        <v>106.39999999999999</v>
      </c>
      <c r="J44" s="22"/>
    </row>
    <row r="45" spans="1:14" ht="15.75" customHeight="1">
      <c r="A45" s="153" t="s">
        <v>141</v>
      </c>
      <c r="B45" s="154"/>
      <c r="C45" s="154"/>
      <c r="D45" s="154"/>
      <c r="E45" s="154"/>
      <c r="F45" s="154"/>
      <c r="G45" s="154"/>
      <c r="H45" s="154"/>
      <c r="I45" s="155"/>
      <c r="J45" s="22"/>
      <c r="L45" s="18"/>
      <c r="M45" s="19"/>
      <c r="N45" s="20"/>
    </row>
    <row r="46" spans="1:14" ht="15.75" hidden="1" customHeight="1">
      <c r="A46" s="26"/>
      <c r="B46" s="52" t="s">
        <v>128</v>
      </c>
      <c r="C46" s="68" t="s">
        <v>100</v>
      </c>
      <c r="D46" s="52" t="s">
        <v>40</v>
      </c>
      <c r="E46" s="69">
        <v>1114.25</v>
      </c>
      <c r="F46" s="70">
        <f>SUM(E46*2/1000)</f>
        <v>2.2284999999999999</v>
      </c>
      <c r="G46" s="12">
        <v>910.17</v>
      </c>
      <c r="H46" s="71">
        <f t="shared" ref="H46:H56" si="5">SUM(F46*G46/1000)</f>
        <v>2.028313845</v>
      </c>
      <c r="I46" s="12">
        <v>0</v>
      </c>
      <c r="J46" s="22"/>
      <c r="L46" s="18"/>
      <c r="M46" s="19"/>
      <c r="N46" s="20"/>
    </row>
    <row r="47" spans="1:14" ht="15.75" hidden="1" customHeight="1">
      <c r="A47" s="26"/>
      <c r="B47" s="52" t="s">
        <v>33</v>
      </c>
      <c r="C47" s="68" t="s">
        <v>100</v>
      </c>
      <c r="D47" s="52" t="s">
        <v>40</v>
      </c>
      <c r="E47" s="69">
        <v>37</v>
      </c>
      <c r="F47" s="70">
        <f>E47*2/1000</f>
        <v>7.3999999999999996E-2</v>
      </c>
      <c r="G47" s="12">
        <v>579.48</v>
      </c>
      <c r="H47" s="71">
        <f t="shared" si="5"/>
        <v>4.2881519999999999E-2</v>
      </c>
      <c r="I47" s="12">
        <v>0</v>
      </c>
      <c r="J47" s="22"/>
      <c r="L47" s="18"/>
      <c r="M47" s="19"/>
      <c r="N47" s="20"/>
    </row>
    <row r="48" spans="1:14" ht="15.75" hidden="1" customHeight="1">
      <c r="A48" s="26"/>
      <c r="B48" s="52" t="s">
        <v>34</v>
      </c>
      <c r="C48" s="68" t="s">
        <v>100</v>
      </c>
      <c r="D48" s="52" t="s">
        <v>40</v>
      </c>
      <c r="E48" s="69">
        <v>2631</v>
      </c>
      <c r="F48" s="70">
        <f>SUM(E48*2/1000)</f>
        <v>5.2619999999999996</v>
      </c>
      <c r="G48" s="12">
        <v>579.48</v>
      </c>
      <c r="H48" s="71">
        <f t="shared" si="5"/>
        <v>3.0492237599999998</v>
      </c>
      <c r="I48" s="12">
        <v>0</v>
      </c>
      <c r="J48" s="22"/>
      <c r="L48" s="18"/>
      <c r="M48" s="19"/>
      <c r="N48" s="20"/>
    </row>
    <row r="49" spans="1:14" ht="15.75" hidden="1" customHeight="1">
      <c r="A49" s="26"/>
      <c r="B49" s="52" t="s">
        <v>35</v>
      </c>
      <c r="C49" s="68" t="s">
        <v>100</v>
      </c>
      <c r="D49" s="52" t="s">
        <v>40</v>
      </c>
      <c r="E49" s="69">
        <v>1953.8</v>
      </c>
      <c r="F49" s="70">
        <f>SUM(E49*2/1000)</f>
        <v>3.9076</v>
      </c>
      <c r="G49" s="12">
        <v>606.77</v>
      </c>
      <c r="H49" s="71">
        <f t="shared" si="5"/>
        <v>2.3710144519999998</v>
      </c>
      <c r="I49" s="12">
        <v>0</v>
      </c>
      <c r="J49" s="22"/>
      <c r="L49" s="18"/>
      <c r="M49" s="19"/>
      <c r="N49" s="20"/>
    </row>
    <row r="50" spans="1:14" ht="15.75" hidden="1" customHeight="1">
      <c r="A50" s="26"/>
      <c r="B50" s="52" t="s">
        <v>31</v>
      </c>
      <c r="C50" s="68" t="s">
        <v>32</v>
      </c>
      <c r="D50" s="52" t="s">
        <v>40</v>
      </c>
      <c r="E50" s="69">
        <v>91.84</v>
      </c>
      <c r="F50" s="70">
        <f>SUM(E50*2/100)</f>
        <v>1.8368</v>
      </c>
      <c r="G50" s="12">
        <v>72.81</v>
      </c>
      <c r="H50" s="71">
        <f t="shared" si="5"/>
        <v>0.13373740800000003</v>
      </c>
      <c r="I50" s="12">
        <v>0</v>
      </c>
      <c r="J50" s="22"/>
      <c r="L50" s="18"/>
      <c r="M50" s="19"/>
      <c r="N50" s="20"/>
    </row>
    <row r="51" spans="1:14" ht="15.75" hidden="1" customHeight="1">
      <c r="A51" s="26">
        <v>13</v>
      </c>
      <c r="B51" s="52" t="s">
        <v>55</v>
      </c>
      <c r="C51" s="68" t="s">
        <v>100</v>
      </c>
      <c r="D51" s="52" t="s">
        <v>165</v>
      </c>
      <c r="E51" s="69">
        <v>891.4</v>
      </c>
      <c r="F51" s="70">
        <f>SUM(E51*5/1000)</f>
        <v>4.4569999999999999</v>
      </c>
      <c r="G51" s="12">
        <v>1213.55</v>
      </c>
      <c r="H51" s="71">
        <f t="shared" si="5"/>
        <v>5.4087923499999997</v>
      </c>
      <c r="I51" s="12">
        <f>F51/5*G51</f>
        <v>1081.75847</v>
      </c>
      <c r="J51" s="22"/>
      <c r="L51" s="18"/>
      <c r="M51" s="19"/>
      <c r="N51" s="20"/>
    </row>
    <row r="52" spans="1:14" ht="31.5" customHeight="1">
      <c r="A52" s="26">
        <v>13</v>
      </c>
      <c r="B52" s="52" t="s">
        <v>129</v>
      </c>
      <c r="C52" s="68" t="s">
        <v>100</v>
      </c>
      <c r="D52" s="52" t="s">
        <v>40</v>
      </c>
      <c r="E52" s="69">
        <v>891.4</v>
      </c>
      <c r="F52" s="70">
        <f>SUM(E52*2/1000)</f>
        <v>1.7827999999999999</v>
      </c>
      <c r="G52" s="12">
        <v>1213.55</v>
      </c>
      <c r="H52" s="71">
        <f t="shared" si="5"/>
        <v>2.1635169400000001</v>
      </c>
      <c r="I52" s="12">
        <f>F52/2*G52</f>
        <v>1081.75847</v>
      </c>
      <c r="J52" s="22"/>
      <c r="L52" s="18"/>
      <c r="M52" s="19"/>
      <c r="N52" s="20"/>
    </row>
    <row r="53" spans="1:14" ht="31.5" customHeight="1">
      <c r="A53" s="26">
        <v>14</v>
      </c>
      <c r="B53" s="52" t="s">
        <v>130</v>
      </c>
      <c r="C53" s="68" t="s">
        <v>36</v>
      </c>
      <c r="D53" s="52" t="s">
        <v>40</v>
      </c>
      <c r="E53" s="69">
        <v>20</v>
      </c>
      <c r="F53" s="70">
        <f>SUM(E53*2/100)</f>
        <v>0.4</v>
      </c>
      <c r="G53" s="12">
        <v>2730.49</v>
      </c>
      <c r="H53" s="71">
        <f t="shared" si="5"/>
        <v>1.0921959999999999</v>
      </c>
      <c r="I53" s="12">
        <f t="shared" ref="I53:I54" si="6">F53/2*G53</f>
        <v>546.09799999999996</v>
      </c>
      <c r="J53" s="22"/>
      <c r="L53" s="18"/>
      <c r="M53" s="19"/>
      <c r="N53" s="20"/>
    </row>
    <row r="54" spans="1:14" ht="15.75" customHeight="1">
      <c r="A54" s="26">
        <v>15</v>
      </c>
      <c r="B54" s="52" t="s">
        <v>37</v>
      </c>
      <c r="C54" s="68" t="s">
        <v>38</v>
      </c>
      <c r="D54" s="52" t="s">
        <v>40</v>
      </c>
      <c r="E54" s="69">
        <v>1</v>
      </c>
      <c r="F54" s="70">
        <v>0.02</v>
      </c>
      <c r="G54" s="12">
        <v>5652.13</v>
      </c>
      <c r="H54" s="71">
        <f t="shared" si="5"/>
        <v>0.11304260000000001</v>
      </c>
      <c r="I54" s="12">
        <f t="shared" si="6"/>
        <v>56.521300000000004</v>
      </c>
      <c r="J54" s="22"/>
      <c r="L54" s="18"/>
      <c r="M54" s="19"/>
      <c r="N54" s="20"/>
    </row>
    <row r="55" spans="1:14" ht="15.75" hidden="1" customHeight="1">
      <c r="A55" s="26">
        <v>14</v>
      </c>
      <c r="B55" s="52" t="s">
        <v>131</v>
      </c>
      <c r="C55" s="68" t="s">
        <v>101</v>
      </c>
      <c r="D55" s="52" t="s">
        <v>67</v>
      </c>
      <c r="E55" s="69">
        <v>70</v>
      </c>
      <c r="F55" s="70">
        <f>E55*3</f>
        <v>210</v>
      </c>
      <c r="G55" s="12">
        <v>141.12</v>
      </c>
      <c r="H55" s="71">
        <f t="shared" si="5"/>
        <v>29.635200000000001</v>
      </c>
      <c r="I55" s="12">
        <f>E55*G55</f>
        <v>9878.4</v>
      </c>
      <c r="J55" s="22"/>
      <c r="L55" s="18"/>
      <c r="M55" s="19"/>
      <c r="N55" s="20"/>
    </row>
    <row r="56" spans="1:14" ht="15.75" hidden="1" customHeight="1">
      <c r="A56" s="26">
        <v>15</v>
      </c>
      <c r="B56" s="52" t="s">
        <v>39</v>
      </c>
      <c r="C56" s="68" t="s">
        <v>101</v>
      </c>
      <c r="D56" s="52" t="s">
        <v>67</v>
      </c>
      <c r="E56" s="69">
        <v>140</v>
      </c>
      <c r="F56" s="70">
        <f>SUM(E56)</f>
        <v>140</v>
      </c>
      <c r="G56" s="12">
        <v>65.67</v>
      </c>
      <c r="H56" s="71">
        <f t="shared" si="5"/>
        <v>9.1938000000000013</v>
      </c>
      <c r="I56" s="12">
        <f>E56*G56</f>
        <v>9193.8000000000011</v>
      </c>
      <c r="J56" s="22"/>
      <c r="L56" s="18"/>
      <c r="M56" s="19"/>
      <c r="N56" s="20"/>
    </row>
    <row r="57" spans="1:14" ht="15.75" customHeight="1">
      <c r="A57" s="153" t="s">
        <v>142</v>
      </c>
      <c r="B57" s="156"/>
      <c r="C57" s="156"/>
      <c r="D57" s="156"/>
      <c r="E57" s="156"/>
      <c r="F57" s="156"/>
      <c r="G57" s="156"/>
      <c r="H57" s="156"/>
      <c r="I57" s="157"/>
      <c r="J57" s="22"/>
      <c r="L57" s="18"/>
      <c r="M57" s="19"/>
      <c r="N57" s="20"/>
    </row>
    <row r="58" spans="1:14" ht="15.75" customHeight="1">
      <c r="A58" s="26"/>
      <c r="B58" s="93" t="s">
        <v>41</v>
      </c>
      <c r="C58" s="68"/>
      <c r="D58" s="52"/>
      <c r="E58" s="69"/>
      <c r="F58" s="70"/>
      <c r="G58" s="70"/>
      <c r="H58" s="71"/>
      <c r="I58" s="12"/>
      <c r="J58" s="22"/>
      <c r="L58" s="18"/>
      <c r="M58" s="19"/>
      <c r="N58" s="20"/>
    </row>
    <row r="59" spans="1:14" ht="31.5" customHeight="1">
      <c r="A59" s="26">
        <v>16</v>
      </c>
      <c r="B59" s="52" t="s">
        <v>132</v>
      </c>
      <c r="C59" s="68" t="s">
        <v>90</v>
      </c>
      <c r="D59" s="52" t="s">
        <v>133</v>
      </c>
      <c r="E59" s="69">
        <v>123.43</v>
      </c>
      <c r="F59" s="70">
        <f>SUM(E59*6/100)</f>
        <v>7.4058000000000002</v>
      </c>
      <c r="G59" s="12">
        <v>1547.28</v>
      </c>
      <c r="H59" s="71">
        <f>SUM(F59*G59/1000)</f>
        <v>11.458846224</v>
      </c>
      <c r="I59" s="12">
        <f>F59/6*G59</f>
        <v>1909.8077039999998</v>
      </c>
      <c r="J59" s="22"/>
      <c r="L59" s="18"/>
      <c r="M59" s="19"/>
      <c r="N59" s="20"/>
    </row>
    <row r="60" spans="1:14" ht="15.75" hidden="1" customHeight="1">
      <c r="A60" s="26"/>
      <c r="B60" s="94" t="s">
        <v>42</v>
      </c>
      <c r="C60" s="78"/>
      <c r="D60" s="79"/>
      <c r="E60" s="80"/>
      <c r="F60" s="81"/>
      <c r="G60" s="12"/>
      <c r="H60" s="82"/>
      <c r="I60" s="12"/>
      <c r="J60" s="22"/>
      <c r="L60" s="18"/>
      <c r="M60" s="19"/>
      <c r="N60" s="20"/>
    </row>
    <row r="61" spans="1:14" ht="15.75" hidden="1" customHeight="1">
      <c r="A61" s="26"/>
      <c r="B61" s="79" t="s">
        <v>43</v>
      </c>
      <c r="C61" s="78" t="s">
        <v>51</v>
      </c>
      <c r="D61" s="79" t="s">
        <v>52</v>
      </c>
      <c r="E61" s="80">
        <v>891.4</v>
      </c>
      <c r="F61" s="81">
        <v>8.9</v>
      </c>
      <c r="G61" s="12">
        <v>747.3</v>
      </c>
      <c r="H61" s="82">
        <f>F61*G61/1000</f>
        <v>6.65097</v>
      </c>
      <c r="I61" s="12">
        <v>0</v>
      </c>
      <c r="J61" s="22"/>
      <c r="L61" s="18"/>
      <c r="M61" s="19"/>
      <c r="N61" s="20"/>
    </row>
    <row r="62" spans="1:14" ht="15.75" customHeight="1">
      <c r="A62" s="26"/>
      <c r="B62" s="94" t="s">
        <v>44</v>
      </c>
      <c r="C62" s="78"/>
      <c r="D62" s="79"/>
      <c r="E62" s="80"/>
      <c r="F62" s="83"/>
      <c r="G62" s="83"/>
      <c r="H62" s="81" t="s">
        <v>110</v>
      </c>
      <c r="I62" s="12"/>
      <c r="J62" s="22"/>
      <c r="L62" s="18"/>
      <c r="M62" s="19"/>
      <c r="N62" s="20"/>
    </row>
    <row r="63" spans="1:14" ht="15.75" customHeight="1">
      <c r="A63" s="26">
        <v>17</v>
      </c>
      <c r="B63" s="13" t="s">
        <v>45</v>
      </c>
      <c r="C63" s="15" t="s">
        <v>101</v>
      </c>
      <c r="D63" s="13" t="s">
        <v>63</v>
      </c>
      <c r="E63" s="17">
        <v>15</v>
      </c>
      <c r="F63" s="70">
        <v>15</v>
      </c>
      <c r="G63" s="12">
        <v>222.4</v>
      </c>
      <c r="H63" s="84">
        <f t="shared" ref="H63:H70" si="7">SUM(F63*G63/1000)</f>
        <v>3.3359999999999999</v>
      </c>
      <c r="I63" s="12">
        <f>G63*12</f>
        <v>2668.8</v>
      </c>
      <c r="J63" s="22"/>
      <c r="L63" s="18"/>
      <c r="M63" s="19"/>
      <c r="N63" s="20"/>
    </row>
    <row r="64" spans="1:14" ht="15.75" hidden="1" customHeight="1">
      <c r="A64" s="26">
        <v>17</v>
      </c>
      <c r="B64" s="13" t="s">
        <v>46</v>
      </c>
      <c r="C64" s="15" t="s">
        <v>101</v>
      </c>
      <c r="D64" s="13" t="s">
        <v>63</v>
      </c>
      <c r="E64" s="17">
        <v>5</v>
      </c>
      <c r="F64" s="70">
        <v>5</v>
      </c>
      <c r="G64" s="12">
        <v>76.25</v>
      </c>
      <c r="H64" s="84">
        <f t="shared" si="7"/>
        <v>0.38124999999999998</v>
      </c>
      <c r="I64" s="12">
        <v>0</v>
      </c>
      <c r="J64" s="22"/>
      <c r="L64" s="18"/>
      <c r="M64" s="19"/>
      <c r="N64" s="20"/>
    </row>
    <row r="65" spans="1:14" ht="15.75" hidden="1" customHeight="1">
      <c r="A65" s="26"/>
      <c r="B65" s="13" t="s">
        <v>47</v>
      </c>
      <c r="C65" s="15" t="s">
        <v>102</v>
      </c>
      <c r="D65" s="13" t="s">
        <v>52</v>
      </c>
      <c r="E65" s="69">
        <v>12702</v>
      </c>
      <c r="F65" s="12">
        <f>SUM(E65/100)</f>
        <v>127.02</v>
      </c>
      <c r="G65" s="12">
        <v>212.15</v>
      </c>
      <c r="H65" s="84">
        <f t="shared" si="7"/>
        <v>26.947293000000002</v>
      </c>
      <c r="I65" s="12">
        <v>0</v>
      </c>
      <c r="J65" s="22"/>
      <c r="L65" s="18"/>
      <c r="M65" s="19"/>
      <c r="N65" s="20"/>
    </row>
    <row r="66" spans="1:14" ht="15.75" hidden="1" customHeight="1">
      <c r="A66" s="26"/>
      <c r="B66" s="13" t="s">
        <v>48</v>
      </c>
      <c r="C66" s="15" t="s">
        <v>103</v>
      </c>
      <c r="D66" s="13"/>
      <c r="E66" s="69">
        <v>12702</v>
      </c>
      <c r="F66" s="12">
        <f>SUM(E66/1000)</f>
        <v>12.702</v>
      </c>
      <c r="G66" s="12">
        <v>165.21</v>
      </c>
      <c r="H66" s="84">
        <f t="shared" si="7"/>
        <v>2.0984974200000002</v>
      </c>
      <c r="I66" s="12">
        <v>0</v>
      </c>
      <c r="J66" s="22"/>
      <c r="L66" s="18"/>
      <c r="M66" s="19"/>
      <c r="N66" s="20"/>
    </row>
    <row r="67" spans="1:14" ht="15.75" hidden="1" customHeight="1">
      <c r="A67" s="26"/>
      <c r="B67" s="13" t="s">
        <v>49</v>
      </c>
      <c r="C67" s="15" t="s">
        <v>73</v>
      </c>
      <c r="D67" s="13" t="s">
        <v>52</v>
      </c>
      <c r="E67" s="69">
        <v>2184</v>
      </c>
      <c r="F67" s="12">
        <f>SUM(E67/100)</f>
        <v>21.84</v>
      </c>
      <c r="G67" s="12">
        <v>2074.63</v>
      </c>
      <c r="H67" s="84">
        <f t="shared" si="7"/>
        <v>45.309919200000003</v>
      </c>
      <c r="I67" s="12">
        <v>0</v>
      </c>
      <c r="J67" s="22"/>
      <c r="L67" s="18"/>
      <c r="M67" s="19"/>
      <c r="N67" s="20"/>
    </row>
    <row r="68" spans="1:14" ht="15.75" hidden="1" customHeight="1">
      <c r="A68" s="26"/>
      <c r="B68" s="85" t="s">
        <v>104</v>
      </c>
      <c r="C68" s="15" t="s">
        <v>30</v>
      </c>
      <c r="D68" s="13"/>
      <c r="E68" s="69">
        <v>11.6</v>
      </c>
      <c r="F68" s="12">
        <f>SUM(E68)</f>
        <v>11.6</v>
      </c>
      <c r="G68" s="12">
        <v>42.67</v>
      </c>
      <c r="H68" s="84">
        <f t="shared" si="7"/>
        <v>0.49497199999999997</v>
      </c>
      <c r="I68" s="12">
        <v>0</v>
      </c>
      <c r="J68" s="22"/>
      <c r="L68" s="18"/>
      <c r="M68" s="19"/>
      <c r="N68" s="20"/>
    </row>
    <row r="69" spans="1:14" ht="15.75" hidden="1" customHeight="1">
      <c r="A69" s="26"/>
      <c r="B69" s="85" t="s">
        <v>105</v>
      </c>
      <c r="C69" s="15" t="s">
        <v>30</v>
      </c>
      <c r="D69" s="13"/>
      <c r="E69" s="69">
        <v>11.6</v>
      </c>
      <c r="F69" s="12">
        <f>SUM(E69)</f>
        <v>11.6</v>
      </c>
      <c r="G69" s="12">
        <v>39.81</v>
      </c>
      <c r="H69" s="84">
        <f t="shared" si="7"/>
        <v>0.46179599999999998</v>
      </c>
      <c r="I69" s="12">
        <v>0</v>
      </c>
      <c r="J69" s="22"/>
      <c r="L69" s="18"/>
      <c r="M69" s="19"/>
      <c r="N69" s="20"/>
    </row>
    <row r="70" spans="1:14" ht="15.75" hidden="1" customHeight="1">
      <c r="A70" s="26"/>
      <c r="B70" s="13" t="s">
        <v>56</v>
      </c>
      <c r="C70" s="15" t="s">
        <v>57</v>
      </c>
      <c r="D70" s="13" t="s">
        <v>52</v>
      </c>
      <c r="E70" s="17">
        <v>5</v>
      </c>
      <c r="F70" s="70">
        <v>5</v>
      </c>
      <c r="G70" s="12">
        <v>49.88</v>
      </c>
      <c r="H70" s="84">
        <f t="shared" si="7"/>
        <v>0.24940000000000001</v>
      </c>
      <c r="I70" s="12">
        <v>0</v>
      </c>
      <c r="J70" s="22"/>
      <c r="L70" s="18"/>
      <c r="M70" s="19"/>
      <c r="N70" s="20"/>
    </row>
    <row r="71" spans="1:14" ht="15.75" customHeight="1">
      <c r="A71" s="26"/>
      <c r="B71" s="63" t="s">
        <v>68</v>
      </c>
      <c r="C71" s="15"/>
      <c r="D71" s="13"/>
      <c r="E71" s="17"/>
      <c r="F71" s="12"/>
      <c r="G71" s="12"/>
      <c r="H71" s="84" t="s">
        <v>110</v>
      </c>
      <c r="I71" s="12"/>
      <c r="J71" s="22"/>
      <c r="L71" s="18"/>
      <c r="M71" s="19"/>
      <c r="N71" s="20"/>
    </row>
    <row r="72" spans="1:14" ht="15.75" customHeight="1">
      <c r="A72" s="26">
        <v>18</v>
      </c>
      <c r="B72" s="13" t="s">
        <v>69</v>
      </c>
      <c r="C72" s="15" t="s">
        <v>71</v>
      </c>
      <c r="D72" s="13"/>
      <c r="E72" s="17">
        <v>5</v>
      </c>
      <c r="F72" s="12">
        <v>0.5</v>
      </c>
      <c r="G72" s="12">
        <v>501.62</v>
      </c>
      <c r="H72" s="84">
        <f t="shared" ref="H72" si="8">SUM(F72*G72/1000)</f>
        <v>0.25080999999999998</v>
      </c>
      <c r="I72" s="12">
        <f>G72*0.1</f>
        <v>50.162000000000006</v>
      </c>
      <c r="J72" s="22"/>
      <c r="L72" s="18"/>
      <c r="M72" s="19"/>
      <c r="N72" s="20"/>
    </row>
    <row r="73" spans="1:14" ht="15.75" hidden="1" customHeight="1">
      <c r="A73" s="26"/>
      <c r="B73" s="13" t="s">
        <v>70</v>
      </c>
      <c r="C73" s="15" t="s">
        <v>28</v>
      </c>
      <c r="D73" s="13"/>
      <c r="E73" s="17">
        <v>1</v>
      </c>
      <c r="F73" s="64">
        <v>1</v>
      </c>
      <c r="G73" s="12">
        <v>852.99</v>
      </c>
      <c r="H73" s="84">
        <f>F73*G73/1000</f>
        <v>0.85299000000000003</v>
      </c>
      <c r="I73" s="12">
        <v>0</v>
      </c>
      <c r="J73" s="22"/>
      <c r="L73" s="18"/>
      <c r="M73" s="19"/>
      <c r="N73" s="20"/>
    </row>
    <row r="74" spans="1:14" ht="15.75" hidden="1" customHeight="1">
      <c r="A74" s="26"/>
      <c r="B74" s="13" t="s">
        <v>108</v>
      </c>
      <c r="C74" s="15" t="s">
        <v>28</v>
      </c>
      <c r="D74" s="13"/>
      <c r="E74" s="17">
        <v>1</v>
      </c>
      <c r="F74" s="12">
        <v>1</v>
      </c>
      <c r="G74" s="12">
        <v>358.51</v>
      </c>
      <c r="H74" s="84">
        <f>G74*F74/1000</f>
        <v>0.35851</v>
      </c>
      <c r="I74" s="12">
        <v>0</v>
      </c>
      <c r="J74" s="22"/>
      <c r="L74" s="18"/>
      <c r="M74" s="19"/>
      <c r="N74" s="20"/>
    </row>
    <row r="75" spans="1:14" ht="15.75" hidden="1" customHeight="1">
      <c r="A75" s="26"/>
      <c r="B75" s="86" t="s">
        <v>72</v>
      </c>
      <c r="C75" s="15"/>
      <c r="D75" s="13"/>
      <c r="E75" s="17"/>
      <c r="F75" s="12"/>
      <c r="G75" s="12" t="s">
        <v>110</v>
      </c>
      <c r="H75" s="84" t="s">
        <v>110</v>
      </c>
      <c r="I75" s="12"/>
      <c r="J75" s="22"/>
      <c r="L75" s="18"/>
      <c r="M75" s="19"/>
      <c r="N75" s="20"/>
    </row>
    <row r="76" spans="1:14" ht="15.75" hidden="1" customHeight="1">
      <c r="A76" s="26"/>
      <c r="B76" s="46" t="s">
        <v>109</v>
      </c>
      <c r="C76" s="15" t="s">
        <v>73</v>
      </c>
      <c r="D76" s="13"/>
      <c r="E76" s="17"/>
      <c r="F76" s="12">
        <v>1</v>
      </c>
      <c r="G76" s="12">
        <v>2579.44</v>
      </c>
      <c r="H76" s="84">
        <f t="shared" ref="H76" si="9">SUM(F76*G76/1000)</f>
        <v>2.57944</v>
      </c>
      <c r="I76" s="12">
        <v>0</v>
      </c>
      <c r="J76" s="22"/>
      <c r="L76" s="18"/>
      <c r="M76" s="19"/>
      <c r="N76" s="20"/>
    </row>
    <row r="77" spans="1:14" ht="15.75" hidden="1" customHeight="1">
      <c r="A77" s="26"/>
      <c r="B77" s="63" t="s">
        <v>106</v>
      </c>
      <c r="C77" s="86"/>
      <c r="D77" s="27"/>
      <c r="E77" s="31"/>
      <c r="F77" s="75"/>
      <c r="G77" s="75"/>
      <c r="H77" s="87">
        <f>SUM(H59:H76)</f>
        <v>101.43069384400002</v>
      </c>
      <c r="I77" s="75"/>
      <c r="J77" s="22"/>
      <c r="L77" s="18"/>
      <c r="M77" s="19"/>
      <c r="N77" s="20"/>
    </row>
    <row r="78" spans="1:14" ht="15.75" hidden="1" customHeight="1">
      <c r="A78" s="26">
        <v>15</v>
      </c>
      <c r="B78" s="52" t="s">
        <v>107</v>
      </c>
      <c r="C78" s="15"/>
      <c r="D78" s="13"/>
      <c r="E78" s="88"/>
      <c r="F78" s="12">
        <v>1</v>
      </c>
      <c r="G78" s="12">
        <v>23195</v>
      </c>
      <c r="H78" s="84">
        <f>G78*F78/1000</f>
        <v>23.195</v>
      </c>
      <c r="I78" s="12">
        <f>G78</f>
        <v>23195</v>
      </c>
      <c r="J78" s="22"/>
      <c r="L78" s="18"/>
      <c r="M78" s="19"/>
      <c r="N78" s="20"/>
    </row>
    <row r="79" spans="1:14" ht="15.75" customHeight="1">
      <c r="A79" s="153" t="s">
        <v>143</v>
      </c>
      <c r="B79" s="158"/>
      <c r="C79" s="158"/>
      <c r="D79" s="158"/>
      <c r="E79" s="158"/>
      <c r="F79" s="158"/>
      <c r="G79" s="158"/>
      <c r="H79" s="158"/>
      <c r="I79" s="159"/>
      <c r="J79" s="22"/>
      <c r="L79" s="18"/>
      <c r="M79" s="19"/>
      <c r="N79" s="20"/>
    </row>
    <row r="80" spans="1:14" ht="15.75" customHeight="1">
      <c r="A80" s="26">
        <v>19</v>
      </c>
      <c r="B80" s="52" t="s">
        <v>134</v>
      </c>
      <c r="C80" s="15" t="s">
        <v>53</v>
      </c>
      <c r="D80" s="89" t="s">
        <v>54</v>
      </c>
      <c r="E80" s="12">
        <v>3181</v>
      </c>
      <c r="F80" s="12">
        <f>SUM(E80*12)</f>
        <v>38172</v>
      </c>
      <c r="G80" s="12">
        <v>2.1</v>
      </c>
      <c r="H80" s="84">
        <f>SUM(F80*G80/1000)</f>
        <v>80.161199999999994</v>
      </c>
      <c r="I80" s="12">
        <f>F80/12*G80</f>
        <v>6680.1</v>
      </c>
      <c r="J80" s="22"/>
      <c r="L80" s="18"/>
      <c r="M80" s="19"/>
      <c r="N80" s="20"/>
    </row>
    <row r="81" spans="1:14" ht="31.5" customHeight="1">
      <c r="A81" s="26">
        <v>20</v>
      </c>
      <c r="B81" s="13" t="s">
        <v>74</v>
      </c>
      <c r="C81" s="15"/>
      <c r="D81" s="89" t="s">
        <v>54</v>
      </c>
      <c r="E81" s="12">
        <v>3181</v>
      </c>
      <c r="F81" s="12">
        <f>E81*12</f>
        <v>38172</v>
      </c>
      <c r="G81" s="12">
        <v>1.63</v>
      </c>
      <c r="H81" s="84">
        <f>F81*G81/1000</f>
        <v>62.220359999999992</v>
      </c>
      <c r="I81" s="12">
        <f>F81/12*G81</f>
        <v>5185.03</v>
      </c>
      <c r="J81" s="22"/>
      <c r="L81" s="18"/>
      <c r="M81" s="19"/>
      <c r="N81" s="20"/>
    </row>
    <row r="82" spans="1:14" ht="15.75" customHeight="1">
      <c r="A82" s="50"/>
      <c r="B82" s="39" t="s">
        <v>77</v>
      </c>
      <c r="C82" s="15"/>
      <c r="D82" s="46"/>
      <c r="E82" s="12"/>
      <c r="F82" s="12"/>
      <c r="G82" s="12"/>
      <c r="H82" s="84">
        <f>H81</f>
        <v>62.220359999999992</v>
      </c>
      <c r="I82" s="75">
        <f>I16+I17+I18+I26+I27+I37+I38+I39+I41+I42+I43+I44+I52+I53+I54+I59+I63+I72+I80+I81</f>
        <v>51058.414893549998</v>
      </c>
      <c r="J82" s="22"/>
      <c r="L82" s="18"/>
      <c r="M82" s="19"/>
      <c r="N82" s="20"/>
    </row>
    <row r="83" spans="1:14" ht="15.75" customHeight="1">
      <c r="A83" s="139" t="s">
        <v>58</v>
      </c>
      <c r="B83" s="140"/>
      <c r="C83" s="140"/>
      <c r="D83" s="140"/>
      <c r="E83" s="140"/>
      <c r="F83" s="140"/>
      <c r="G83" s="140"/>
      <c r="H83" s="140"/>
      <c r="I83" s="141"/>
      <c r="J83" s="22"/>
      <c r="L83" s="18"/>
      <c r="M83" s="19"/>
      <c r="N83" s="20"/>
    </row>
    <row r="84" spans="1:14" ht="31.5" customHeight="1">
      <c r="A84" s="50">
        <v>21</v>
      </c>
      <c r="B84" s="51" t="s">
        <v>179</v>
      </c>
      <c r="C84" s="57" t="s">
        <v>168</v>
      </c>
      <c r="D84" s="37"/>
      <c r="E84" s="16"/>
      <c r="F84" s="35">
        <v>0.5</v>
      </c>
      <c r="G84" s="35">
        <v>1187</v>
      </c>
      <c r="H84" s="120">
        <f>G84*F84/1000</f>
        <v>0.59350000000000003</v>
      </c>
      <c r="I84" s="90">
        <f>G84*0.5</f>
        <v>593.5</v>
      </c>
      <c r="J84" s="22"/>
      <c r="L84" s="18"/>
      <c r="M84" s="19"/>
      <c r="N84" s="20"/>
    </row>
    <row r="85" spans="1:14" ht="31.5" customHeight="1">
      <c r="A85" s="26">
        <v>22</v>
      </c>
      <c r="B85" s="51" t="s">
        <v>180</v>
      </c>
      <c r="C85" s="57" t="s">
        <v>168</v>
      </c>
      <c r="D85" s="37"/>
      <c r="E85" s="16"/>
      <c r="F85" s="35">
        <v>2</v>
      </c>
      <c r="G85" s="35">
        <v>1183.51</v>
      </c>
      <c r="H85" s="35">
        <f>G85*F85/1000</f>
        <v>2.3670200000000001</v>
      </c>
      <c r="I85" s="90">
        <f>G85*2</f>
        <v>2367.02</v>
      </c>
      <c r="J85" s="22"/>
      <c r="L85" s="18"/>
      <c r="M85" s="19"/>
      <c r="N85" s="20"/>
    </row>
    <row r="86" spans="1:14" ht="15.75" customHeight="1">
      <c r="A86" s="26">
        <v>23</v>
      </c>
      <c r="B86" s="51" t="s">
        <v>111</v>
      </c>
      <c r="C86" s="57" t="s">
        <v>112</v>
      </c>
      <c r="D86" s="37"/>
      <c r="E86" s="16"/>
      <c r="F86" s="35">
        <v>1</v>
      </c>
      <c r="G86" s="35">
        <v>206.54</v>
      </c>
      <c r="H86" s="120">
        <f t="shared" ref="H86" si="10">G86*F86/1000</f>
        <v>0.20654</v>
      </c>
      <c r="I86" s="90">
        <f>G86</f>
        <v>206.54</v>
      </c>
      <c r="J86" s="22"/>
      <c r="L86" s="18"/>
      <c r="M86" s="19"/>
      <c r="N86" s="20"/>
    </row>
    <row r="87" spans="1:14" ht="31.5" customHeight="1">
      <c r="A87" s="26">
        <v>24</v>
      </c>
      <c r="B87" s="121" t="s">
        <v>76</v>
      </c>
      <c r="C87" s="122" t="s">
        <v>101</v>
      </c>
      <c r="D87" s="37"/>
      <c r="E87" s="16"/>
      <c r="F87" s="35">
        <v>1</v>
      </c>
      <c r="G87" s="35">
        <v>83.36</v>
      </c>
      <c r="H87" s="35">
        <f>F87*G87/1000</f>
        <v>8.3360000000000004E-2</v>
      </c>
      <c r="I87" s="90">
        <f>G87</f>
        <v>83.36</v>
      </c>
      <c r="J87" s="22"/>
      <c r="L87" s="18"/>
      <c r="M87" s="19"/>
      <c r="N87" s="20"/>
    </row>
    <row r="88" spans="1:14" ht="15.75" customHeight="1">
      <c r="A88" s="26"/>
      <c r="B88" s="27" t="s">
        <v>50</v>
      </c>
      <c r="C88" s="41"/>
      <c r="D88" s="47"/>
      <c r="E88" s="41">
        <v>1</v>
      </c>
      <c r="F88" s="41"/>
      <c r="G88" s="41"/>
      <c r="H88" s="41"/>
      <c r="I88" s="31">
        <f>SUM(I84:I87)</f>
        <v>3250.42</v>
      </c>
      <c r="J88" s="22"/>
      <c r="L88" s="18"/>
      <c r="M88" s="19"/>
      <c r="N88" s="20"/>
    </row>
    <row r="89" spans="1:14" ht="15.75" customHeight="1">
      <c r="A89" s="26"/>
      <c r="B89" s="46" t="s">
        <v>75</v>
      </c>
      <c r="C89" s="14"/>
      <c r="D89" s="14"/>
      <c r="E89" s="42"/>
      <c r="F89" s="42"/>
      <c r="G89" s="43"/>
      <c r="H89" s="43"/>
      <c r="I89" s="16">
        <v>0</v>
      </c>
      <c r="J89" s="22"/>
      <c r="L89" s="18"/>
      <c r="M89" s="19"/>
      <c r="N89" s="20"/>
    </row>
    <row r="90" spans="1:14" ht="15.75" customHeight="1">
      <c r="A90" s="48"/>
      <c r="B90" s="45" t="s">
        <v>174</v>
      </c>
      <c r="C90" s="34"/>
      <c r="D90" s="34"/>
      <c r="E90" s="34"/>
      <c r="F90" s="34"/>
      <c r="G90" s="34"/>
      <c r="H90" s="34"/>
      <c r="I90" s="44">
        <f>I82+I88</f>
        <v>54308.834893549996</v>
      </c>
      <c r="J90" s="22"/>
      <c r="L90" s="18"/>
      <c r="M90" s="19"/>
      <c r="N90" s="20"/>
    </row>
    <row r="91" spans="1:14" ht="15.75" customHeight="1">
      <c r="A91" s="149" t="s">
        <v>181</v>
      </c>
      <c r="B91" s="149"/>
      <c r="C91" s="149"/>
      <c r="D91" s="149"/>
      <c r="E91" s="149"/>
      <c r="F91" s="149"/>
      <c r="G91" s="149"/>
      <c r="H91" s="149"/>
      <c r="I91" s="149"/>
      <c r="J91" s="22"/>
      <c r="L91" s="18"/>
      <c r="M91" s="19"/>
      <c r="N91" s="20"/>
    </row>
    <row r="92" spans="1:14" ht="15.75" customHeight="1">
      <c r="A92" s="8"/>
      <c r="B92" s="163" t="s">
        <v>182</v>
      </c>
      <c r="C92" s="163"/>
      <c r="D92" s="163"/>
      <c r="E92" s="163"/>
      <c r="F92" s="163"/>
      <c r="G92" s="163"/>
      <c r="H92" s="95"/>
      <c r="I92" s="3"/>
      <c r="J92" s="22"/>
      <c r="L92" s="18"/>
      <c r="M92" s="19"/>
      <c r="N92" s="20"/>
    </row>
    <row r="93" spans="1:14" ht="15.75" customHeight="1">
      <c r="A93" s="97"/>
      <c r="B93" s="148" t="s">
        <v>5</v>
      </c>
      <c r="C93" s="148"/>
      <c r="D93" s="148"/>
      <c r="E93" s="148"/>
      <c r="F93" s="148"/>
      <c r="G93" s="148"/>
      <c r="H93" s="23"/>
      <c r="I93" s="5"/>
      <c r="J93" s="22"/>
      <c r="K93" s="22"/>
      <c r="L93" s="22"/>
      <c r="M93" s="19"/>
      <c r="N93" s="20"/>
    </row>
    <row r="94" spans="1:14" ht="7.5" customHeight="1">
      <c r="A94" s="9"/>
      <c r="B94" s="9"/>
      <c r="C94" s="9"/>
      <c r="D94" s="9"/>
      <c r="E94" s="9"/>
      <c r="F94" s="9"/>
      <c r="G94" s="9"/>
      <c r="H94" s="9"/>
      <c r="I94" s="9"/>
      <c r="J94" s="22"/>
      <c r="K94" s="22"/>
      <c r="L94" s="22"/>
      <c r="M94" s="19"/>
      <c r="N94" s="20"/>
    </row>
    <row r="95" spans="1:14" ht="15.75" customHeight="1">
      <c r="A95" s="161" t="s">
        <v>6</v>
      </c>
      <c r="B95" s="161"/>
      <c r="C95" s="161"/>
      <c r="D95" s="161"/>
      <c r="E95" s="161"/>
      <c r="F95" s="161"/>
      <c r="G95" s="161"/>
      <c r="H95" s="161"/>
      <c r="I95" s="161"/>
      <c r="J95" s="22"/>
      <c r="K95" s="22"/>
      <c r="L95" s="22"/>
    </row>
    <row r="96" spans="1:14" ht="15.75" customHeight="1">
      <c r="A96" s="161" t="s">
        <v>7</v>
      </c>
      <c r="B96" s="161"/>
      <c r="C96" s="161"/>
      <c r="D96" s="161"/>
      <c r="E96" s="161"/>
      <c r="F96" s="161"/>
      <c r="G96" s="161"/>
      <c r="H96" s="161"/>
      <c r="I96" s="161"/>
      <c r="J96" s="22"/>
      <c r="K96" s="22"/>
      <c r="L96" s="22"/>
    </row>
    <row r="97" spans="1:22" ht="15.75" customHeight="1">
      <c r="A97" s="149" t="s">
        <v>8</v>
      </c>
      <c r="B97" s="149"/>
      <c r="C97" s="149"/>
      <c r="D97" s="149"/>
      <c r="E97" s="149"/>
      <c r="F97" s="149"/>
      <c r="G97" s="149"/>
      <c r="H97" s="149"/>
      <c r="I97" s="149"/>
    </row>
    <row r="98" spans="1:22" ht="8.25" customHeight="1">
      <c r="A98" s="10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7"/>
    </row>
    <row r="99" spans="1:22" ht="15.75" customHeight="1">
      <c r="A99" s="162" t="s">
        <v>9</v>
      </c>
      <c r="B99" s="162"/>
      <c r="C99" s="162"/>
      <c r="D99" s="162"/>
      <c r="E99" s="162"/>
      <c r="F99" s="162"/>
      <c r="G99" s="162"/>
      <c r="H99" s="162"/>
      <c r="I99" s="162"/>
      <c r="J99" s="24"/>
      <c r="K99" s="24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2" ht="15.75" customHeight="1">
      <c r="A100" s="4"/>
      <c r="J100" s="3"/>
      <c r="K100" s="3"/>
      <c r="L100" s="3"/>
      <c r="M100" s="3"/>
      <c r="N100" s="3"/>
      <c r="O100" s="3"/>
      <c r="P100" s="3"/>
      <c r="Q100" s="3"/>
      <c r="S100" s="3"/>
      <c r="T100" s="3"/>
      <c r="U100" s="3"/>
    </row>
    <row r="101" spans="1:22" ht="15.75" customHeight="1">
      <c r="A101" s="149" t="s">
        <v>10</v>
      </c>
      <c r="B101" s="149"/>
      <c r="C101" s="151" t="s">
        <v>84</v>
      </c>
      <c r="D101" s="151"/>
      <c r="E101" s="151"/>
      <c r="F101" s="65"/>
      <c r="I101" s="100"/>
      <c r="J101" s="5"/>
      <c r="K101" s="5"/>
      <c r="L101" s="5"/>
      <c r="M101" s="5"/>
      <c r="N101" s="5"/>
      <c r="O101" s="5"/>
      <c r="P101" s="5"/>
      <c r="Q101" s="5"/>
      <c r="R101" s="147"/>
      <c r="S101" s="147"/>
      <c r="T101" s="147"/>
      <c r="U101" s="147"/>
    </row>
    <row r="102" spans="1:22" ht="15.75" customHeight="1">
      <c r="A102" s="97"/>
      <c r="C102" s="148" t="s">
        <v>11</v>
      </c>
      <c r="D102" s="148"/>
      <c r="E102" s="148"/>
      <c r="F102" s="23"/>
      <c r="I102" s="98" t="s">
        <v>12</v>
      </c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2" ht="15.75" customHeight="1">
      <c r="A103" s="24"/>
      <c r="C103" s="11"/>
      <c r="D103" s="11"/>
      <c r="G103" s="11"/>
      <c r="H103" s="11"/>
    </row>
    <row r="104" spans="1:22" ht="15.75" customHeight="1">
      <c r="A104" s="149" t="s">
        <v>13</v>
      </c>
      <c r="B104" s="149"/>
      <c r="C104" s="150"/>
      <c r="D104" s="150"/>
      <c r="E104" s="150"/>
      <c r="F104" s="66"/>
      <c r="I104" s="100"/>
    </row>
    <row r="105" spans="1:22" ht="15.75" customHeight="1">
      <c r="A105" s="97"/>
      <c r="C105" s="147" t="s">
        <v>11</v>
      </c>
      <c r="D105" s="147"/>
      <c r="E105" s="147"/>
      <c r="F105" s="97"/>
      <c r="I105" s="98" t="s">
        <v>12</v>
      </c>
    </row>
    <row r="106" spans="1:22" ht="15.75" customHeight="1">
      <c r="A106" s="4" t="s">
        <v>14</v>
      </c>
    </row>
    <row r="107" spans="1:22" ht="15" customHeight="1">
      <c r="A107" s="160" t="s">
        <v>15</v>
      </c>
      <c r="B107" s="160"/>
      <c r="C107" s="160"/>
      <c r="D107" s="160"/>
      <c r="E107" s="160"/>
      <c r="F107" s="160"/>
      <c r="G107" s="160"/>
      <c r="H107" s="160"/>
      <c r="I107" s="160"/>
    </row>
    <row r="108" spans="1:22" ht="45" customHeight="1">
      <c r="A108" s="152" t="s">
        <v>16</v>
      </c>
      <c r="B108" s="152"/>
      <c r="C108" s="152"/>
      <c r="D108" s="152"/>
      <c r="E108" s="152"/>
      <c r="F108" s="152"/>
      <c r="G108" s="152"/>
      <c r="H108" s="152"/>
      <c r="I108" s="152"/>
    </row>
    <row r="109" spans="1:22" ht="30" customHeight="1">
      <c r="A109" s="152" t="s">
        <v>17</v>
      </c>
      <c r="B109" s="152"/>
      <c r="C109" s="152"/>
      <c r="D109" s="152"/>
      <c r="E109" s="152"/>
      <c r="F109" s="152"/>
      <c r="G109" s="152"/>
      <c r="H109" s="152"/>
      <c r="I109" s="152"/>
    </row>
    <row r="110" spans="1:22" ht="30" customHeight="1">
      <c r="A110" s="152" t="s">
        <v>21</v>
      </c>
      <c r="B110" s="152"/>
      <c r="C110" s="152"/>
      <c r="D110" s="152"/>
      <c r="E110" s="152"/>
      <c r="F110" s="152"/>
      <c r="G110" s="152"/>
      <c r="H110" s="152"/>
      <c r="I110" s="152"/>
    </row>
    <row r="111" spans="1:22" ht="15" customHeight="1">
      <c r="A111" s="152" t="s">
        <v>20</v>
      </c>
      <c r="B111" s="152"/>
      <c r="C111" s="152"/>
      <c r="D111" s="152"/>
      <c r="E111" s="152"/>
      <c r="F111" s="152"/>
      <c r="G111" s="152"/>
      <c r="H111" s="152"/>
      <c r="I111" s="152"/>
    </row>
  </sheetData>
  <autoFilter ref="I12:I97"/>
  <mergeCells count="31">
    <mergeCell ref="A14:I14"/>
    <mergeCell ref="A3:I3"/>
    <mergeCell ref="A4:I4"/>
    <mergeCell ref="A5:I5"/>
    <mergeCell ref="A8:I8"/>
    <mergeCell ref="A10:I10"/>
    <mergeCell ref="A97:I97"/>
    <mergeCell ref="A15:I15"/>
    <mergeCell ref="A28:I28"/>
    <mergeCell ref="A45:I45"/>
    <mergeCell ref="A57:I57"/>
    <mergeCell ref="A79:I79"/>
    <mergeCell ref="A83:I83"/>
    <mergeCell ref="A91:I91"/>
    <mergeCell ref="B92:G92"/>
    <mergeCell ref="B93:G93"/>
    <mergeCell ref="A95:I95"/>
    <mergeCell ref="A96:I96"/>
    <mergeCell ref="A111:I111"/>
    <mergeCell ref="A99:I99"/>
    <mergeCell ref="A101:B101"/>
    <mergeCell ref="C101:E101"/>
    <mergeCell ref="R101:U101"/>
    <mergeCell ref="C102:E102"/>
    <mergeCell ref="A104:B104"/>
    <mergeCell ref="C104:E104"/>
    <mergeCell ref="C105:E105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29" t="s">
        <v>81</v>
      </c>
      <c r="I1" s="28"/>
    </row>
    <row r="2" spans="1:15" s="25" customFormat="1" ht="15.75" customHeight="1">
      <c r="A2" s="25" t="s">
        <v>59</v>
      </c>
      <c r="J2" s="1"/>
      <c r="K2" s="1"/>
      <c r="L2" s="1"/>
      <c r="M2" s="1"/>
    </row>
    <row r="3" spans="1:15" s="25" customFormat="1" ht="15.75">
      <c r="A3" s="142" t="s">
        <v>146</v>
      </c>
      <c r="B3" s="142"/>
      <c r="C3" s="142"/>
      <c r="D3" s="142"/>
      <c r="E3" s="142"/>
      <c r="F3" s="142"/>
      <c r="G3" s="142"/>
      <c r="H3" s="142"/>
      <c r="I3" s="142"/>
      <c r="J3" s="2"/>
      <c r="K3" s="2"/>
      <c r="L3" s="2"/>
      <c r="M3" s="2"/>
    </row>
    <row r="4" spans="1:15" s="25" customFormat="1" ht="31.5" customHeight="1">
      <c r="A4" s="143" t="s">
        <v>89</v>
      </c>
      <c r="B4" s="143"/>
      <c r="C4" s="143"/>
      <c r="D4" s="143"/>
      <c r="E4" s="143"/>
      <c r="F4" s="143"/>
      <c r="G4" s="143"/>
      <c r="H4" s="143"/>
      <c r="I4" s="143"/>
      <c r="J4" s="3"/>
      <c r="K4" s="3"/>
      <c r="L4" s="3"/>
    </row>
    <row r="5" spans="1:15" s="25" customFormat="1" ht="15.75" customHeight="1">
      <c r="A5" s="142" t="s">
        <v>183</v>
      </c>
      <c r="B5" s="144"/>
      <c r="C5" s="144"/>
      <c r="D5" s="144"/>
      <c r="E5" s="144"/>
      <c r="F5" s="144"/>
      <c r="G5" s="144"/>
      <c r="H5" s="144"/>
      <c r="I5" s="144"/>
    </row>
    <row r="6" spans="1:15" s="25" customFormat="1" ht="15.75">
      <c r="A6" s="2"/>
      <c r="B6" s="96"/>
      <c r="C6" s="96"/>
      <c r="D6" s="96"/>
      <c r="E6" s="96"/>
      <c r="F6" s="96"/>
      <c r="G6" s="96"/>
      <c r="H6" s="96"/>
      <c r="I6" s="30">
        <v>42855</v>
      </c>
      <c r="J6" s="2"/>
      <c r="K6" s="2"/>
      <c r="L6" s="2"/>
      <c r="M6" s="2"/>
    </row>
    <row r="7" spans="1:15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45" t="s">
        <v>155</v>
      </c>
      <c r="B8" s="145"/>
      <c r="C8" s="145"/>
      <c r="D8" s="145"/>
      <c r="E8" s="145"/>
      <c r="F8" s="145"/>
      <c r="G8" s="145"/>
      <c r="H8" s="145"/>
      <c r="I8" s="145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46" t="s">
        <v>228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108" t="s">
        <v>0</v>
      </c>
      <c r="B12" s="108" t="s">
        <v>156</v>
      </c>
      <c r="C12" s="108" t="s">
        <v>1</v>
      </c>
      <c r="D12" s="108" t="s">
        <v>18</v>
      </c>
      <c r="E12" s="108" t="s">
        <v>19</v>
      </c>
      <c r="F12" s="108"/>
      <c r="G12" s="108" t="s">
        <v>22</v>
      </c>
      <c r="H12" s="108"/>
      <c r="I12" s="108" t="s">
        <v>2</v>
      </c>
    </row>
    <row r="13" spans="1:15" s="49" customFormat="1" ht="12.75">
      <c r="A13" s="109">
        <v>1</v>
      </c>
      <c r="B13" s="109">
        <v>2</v>
      </c>
      <c r="C13" s="109">
        <v>3</v>
      </c>
      <c r="D13" s="110">
        <v>4</v>
      </c>
      <c r="E13" s="109">
        <v>5</v>
      </c>
      <c r="F13" s="109"/>
      <c r="G13" s="109">
        <v>5</v>
      </c>
      <c r="H13" s="109"/>
      <c r="I13" s="109">
        <v>6</v>
      </c>
      <c r="J13" s="111"/>
      <c r="K13" s="111"/>
      <c r="L13" s="111"/>
      <c r="M13" s="111"/>
    </row>
    <row r="14" spans="1:15" ht="15.75" customHeight="1">
      <c r="A14" s="137" t="s">
        <v>157</v>
      </c>
      <c r="B14" s="138"/>
      <c r="C14" s="138"/>
      <c r="D14" s="138"/>
      <c r="E14" s="138"/>
      <c r="F14" s="138"/>
      <c r="G14" s="138"/>
      <c r="H14" s="138"/>
      <c r="I14" s="138"/>
      <c r="J14" s="112"/>
      <c r="K14" s="112"/>
      <c r="L14" s="6"/>
      <c r="M14" s="6"/>
      <c r="N14" s="6"/>
      <c r="O14" s="6"/>
    </row>
    <row r="15" spans="1:15" ht="15.75" customHeight="1">
      <c r="A15" s="134" t="s">
        <v>3</v>
      </c>
      <c r="B15" s="135"/>
      <c r="C15" s="135"/>
      <c r="D15" s="135"/>
      <c r="E15" s="135"/>
      <c r="F15" s="135"/>
      <c r="G15" s="135"/>
      <c r="H15" s="135"/>
      <c r="I15" s="136"/>
      <c r="J15" s="6"/>
      <c r="K15" s="6"/>
      <c r="L15" s="6"/>
      <c r="M15" s="6"/>
    </row>
    <row r="16" spans="1:15" ht="15.75" customHeight="1">
      <c r="A16" s="26">
        <v>1</v>
      </c>
      <c r="B16" s="52" t="s">
        <v>82</v>
      </c>
      <c r="C16" s="68" t="s">
        <v>90</v>
      </c>
      <c r="D16" s="52" t="s">
        <v>113</v>
      </c>
      <c r="E16" s="69">
        <v>59.9</v>
      </c>
      <c r="F16" s="70">
        <f>SUM(E16*156/100)</f>
        <v>93.444000000000003</v>
      </c>
      <c r="G16" s="70">
        <v>175.38</v>
      </c>
      <c r="H16" s="71">
        <f t="shared" ref="H16:H27" si="0">SUM(F16*G16/1000)</f>
        <v>16.388208719999998</v>
      </c>
      <c r="I16" s="12">
        <f>F16/12*G16</f>
        <v>1365.68406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87</v>
      </c>
      <c r="C17" s="68" t="s">
        <v>90</v>
      </c>
      <c r="D17" s="52" t="s">
        <v>114</v>
      </c>
      <c r="E17" s="69">
        <v>239.4</v>
      </c>
      <c r="F17" s="70">
        <f>SUM(E17*104/100)</f>
        <v>248.97600000000003</v>
      </c>
      <c r="G17" s="70">
        <v>175.38</v>
      </c>
      <c r="H17" s="71">
        <f t="shared" si="0"/>
        <v>43.665410880000003</v>
      </c>
      <c r="I17" s="12">
        <f>F17/12*G17</f>
        <v>3638.78424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88</v>
      </c>
      <c r="C18" s="68" t="s">
        <v>90</v>
      </c>
      <c r="D18" s="52" t="s">
        <v>115</v>
      </c>
      <c r="E18" s="69">
        <f>SUM(E16+E17)</f>
        <v>299.3</v>
      </c>
      <c r="F18" s="70">
        <f>SUM(E18*24/100)</f>
        <v>71.832000000000008</v>
      </c>
      <c r="G18" s="70">
        <v>504.5</v>
      </c>
      <c r="H18" s="71">
        <f t="shared" si="0"/>
        <v>36.239244000000006</v>
      </c>
      <c r="I18" s="12">
        <f>F18/12*G18</f>
        <v>3019.9370000000004</v>
      </c>
      <c r="J18" s="21"/>
      <c r="K18" s="6"/>
      <c r="L18" s="6"/>
      <c r="M18" s="6"/>
    </row>
    <row r="19" spans="1:13" ht="15.75" hidden="1" customHeight="1">
      <c r="A19" s="26"/>
      <c r="B19" s="52" t="s">
        <v>91</v>
      </c>
      <c r="C19" s="68" t="s">
        <v>92</v>
      </c>
      <c r="D19" s="52" t="s">
        <v>93</v>
      </c>
      <c r="E19" s="69">
        <v>40</v>
      </c>
      <c r="F19" s="70">
        <f>SUM(E19/10)</f>
        <v>4</v>
      </c>
      <c r="G19" s="70">
        <v>170.16</v>
      </c>
      <c r="H19" s="71">
        <f>SUM(F19*G19/1000)</f>
        <v>0.68064000000000002</v>
      </c>
      <c r="I19" s="12">
        <v>0</v>
      </c>
      <c r="J19" s="21"/>
      <c r="K19" s="6"/>
      <c r="L19" s="6"/>
      <c r="M19" s="6"/>
    </row>
    <row r="20" spans="1:13" ht="15.75" hidden="1" customHeight="1">
      <c r="A20" s="26"/>
      <c r="B20" s="52" t="s">
        <v>94</v>
      </c>
      <c r="C20" s="68" t="s">
        <v>90</v>
      </c>
      <c r="D20" s="52" t="s">
        <v>52</v>
      </c>
      <c r="E20" s="69">
        <v>10.5</v>
      </c>
      <c r="F20" s="70">
        <f t="shared" ref="F20:F25" si="1">SUM(E20/100)</f>
        <v>0.105</v>
      </c>
      <c r="G20" s="70">
        <v>217.88</v>
      </c>
      <c r="H20" s="71">
        <f t="shared" si="0"/>
        <v>2.2877399999999999E-2</v>
      </c>
      <c r="I20" s="12">
        <v>0</v>
      </c>
      <c r="J20" s="21"/>
      <c r="K20" s="6"/>
      <c r="L20" s="6"/>
      <c r="M20" s="6"/>
    </row>
    <row r="21" spans="1:13" ht="15.75" hidden="1" customHeight="1">
      <c r="A21" s="26"/>
      <c r="B21" s="52" t="s">
        <v>95</v>
      </c>
      <c r="C21" s="68" t="s">
        <v>90</v>
      </c>
      <c r="D21" s="52" t="s">
        <v>52</v>
      </c>
      <c r="E21" s="69">
        <v>2.7</v>
      </c>
      <c r="F21" s="70">
        <f t="shared" si="1"/>
        <v>2.7000000000000003E-2</v>
      </c>
      <c r="G21" s="70">
        <v>203.5</v>
      </c>
      <c r="H21" s="71">
        <f t="shared" si="0"/>
        <v>5.4945000000000003E-3</v>
      </c>
      <c r="I21" s="12">
        <v>0</v>
      </c>
      <c r="J21" s="21"/>
      <c r="K21" s="6"/>
      <c r="L21" s="6"/>
      <c r="M21" s="6"/>
    </row>
    <row r="22" spans="1:13" ht="15.75" hidden="1" customHeight="1">
      <c r="A22" s="26"/>
      <c r="B22" s="52" t="s">
        <v>96</v>
      </c>
      <c r="C22" s="68" t="s">
        <v>51</v>
      </c>
      <c r="D22" s="52" t="s">
        <v>93</v>
      </c>
      <c r="E22" s="69">
        <v>357</v>
      </c>
      <c r="F22" s="70">
        <f t="shared" si="1"/>
        <v>3.57</v>
      </c>
      <c r="G22" s="70">
        <v>269.26</v>
      </c>
      <c r="H22" s="71">
        <f t="shared" si="0"/>
        <v>0.96125819999999984</v>
      </c>
      <c r="I22" s="12">
        <v>0</v>
      </c>
      <c r="J22" s="21"/>
      <c r="K22" s="6"/>
      <c r="L22" s="6"/>
      <c r="M22" s="6"/>
    </row>
    <row r="23" spans="1:13" ht="15.75" hidden="1" customHeight="1">
      <c r="A23" s="26"/>
      <c r="B23" s="52" t="s">
        <v>97</v>
      </c>
      <c r="C23" s="68" t="s">
        <v>51</v>
      </c>
      <c r="D23" s="52" t="s">
        <v>93</v>
      </c>
      <c r="E23" s="72">
        <v>38.64</v>
      </c>
      <c r="F23" s="70">
        <f t="shared" si="1"/>
        <v>0.38640000000000002</v>
      </c>
      <c r="G23" s="70">
        <v>44.29</v>
      </c>
      <c r="H23" s="71">
        <f t="shared" si="0"/>
        <v>1.7113655999999998E-2</v>
      </c>
      <c r="I23" s="12">
        <v>0</v>
      </c>
      <c r="J23" s="21"/>
      <c r="K23" s="6"/>
      <c r="L23" s="6"/>
      <c r="M23" s="6"/>
    </row>
    <row r="24" spans="1:13" ht="15.75" hidden="1" customHeight="1">
      <c r="A24" s="26"/>
      <c r="B24" s="52" t="s">
        <v>98</v>
      </c>
      <c r="C24" s="68" t="s">
        <v>51</v>
      </c>
      <c r="D24" s="53" t="s">
        <v>93</v>
      </c>
      <c r="E24" s="17">
        <v>15</v>
      </c>
      <c r="F24" s="73">
        <f t="shared" si="1"/>
        <v>0.15</v>
      </c>
      <c r="G24" s="70">
        <v>389.72</v>
      </c>
      <c r="H24" s="71">
        <f t="shared" si="0"/>
        <v>5.8457999999999996E-2</v>
      </c>
      <c r="I24" s="12">
        <v>0</v>
      </c>
      <c r="J24" s="21"/>
      <c r="K24" s="6"/>
      <c r="L24" s="6"/>
      <c r="M24" s="6"/>
    </row>
    <row r="25" spans="1:13" ht="15.75" hidden="1" customHeight="1">
      <c r="A25" s="26"/>
      <c r="B25" s="52" t="s">
        <v>99</v>
      </c>
      <c r="C25" s="68" t="s">
        <v>51</v>
      </c>
      <c r="D25" s="52" t="s">
        <v>93</v>
      </c>
      <c r="E25" s="74">
        <v>6.38</v>
      </c>
      <c r="F25" s="70">
        <f t="shared" si="1"/>
        <v>6.3799999999999996E-2</v>
      </c>
      <c r="G25" s="70">
        <v>520.79999999999995</v>
      </c>
      <c r="H25" s="71">
        <f t="shared" si="0"/>
        <v>3.3227039999999992E-2</v>
      </c>
      <c r="I25" s="12">
        <v>0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61</v>
      </c>
      <c r="C26" s="68" t="s">
        <v>30</v>
      </c>
      <c r="D26" s="52" t="s">
        <v>80</v>
      </c>
      <c r="E26" s="69">
        <v>0.1</v>
      </c>
      <c r="F26" s="70">
        <f>SUM(E26*365)</f>
        <v>36.5</v>
      </c>
      <c r="G26" s="70">
        <v>147.03</v>
      </c>
      <c r="H26" s="71">
        <f t="shared" si="0"/>
        <v>5.3665950000000002</v>
      </c>
      <c r="I26" s="12">
        <f>F26/12*G26</f>
        <v>447.21625</v>
      </c>
      <c r="J26" s="21"/>
      <c r="K26" s="6"/>
      <c r="L26" s="6"/>
      <c r="M26" s="6"/>
    </row>
    <row r="27" spans="1:13" ht="15.75" customHeight="1">
      <c r="A27" s="26">
        <v>5</v>
      </c>
      <c r="B27" s="77" t="s">
        <v>23</v>
      </c>
      <c r="C27" s="68" t="s">
        <v>24</v>
      </c>
      <c r="D27" s="52" t="s">
        <v>80</v>
      </c>
      <c r="E27" s="69">
        <v>3181</v>
      </c>
      <c r="F27" s="70">
        <f>SUM(E27*12)</f>
        <v>38172</v>
      </c>
      <c r="G27" s="70">
        <v>4.95</v>
      </c>
      <c r="H27" s="71">
        <f t="shared" si="0"/>
        <v>188.95140000000001</v>
      </c>
      <c r="I27" s="12">
        <f>F27/12*G27</f>
        <v>15745.95</v>
      </c>
      <c r="J27" s="21"/>
      <c r="K27" s="6"/>
      <c r="L27" s="6"/>
      <c r="M27" s="6"/>
    </row>
    <row r="28" spans="1:13" ht="15.75" customHeight="1">
      <c r="A28" s="134" t="s">
        <v>158</v>
      </c>
      <c r="B28" s="135"/>
      <c r="C28" s="135"/>
      <c r="D28" s="135"/>
      <c r="E28" s="135"/>
      <c r="F28" s="135"/>
      <c r="G28" s="135"/>
      <c r="H28" s="135"/>
      <c r="I28" s="136"/>
      <c r="J28" s="21"/>
      <c r="K28" s="6"/>
      <c r="L28" s="6"/>
      <c r="M28" s="6"/>
    </row>
    <row r="29" spans="1:13" ht="15.75" hidden="1" customHeight="1">
      <c r="A29" s="115"/>
      <c r="B29" s="63" t="s">
        <v>159</v>
      </c>
      <c r="C29" s="116"/>
      <c r="D29" s="116"/>
      <c r="E29" s="116"/>
      <c r="F29" s="116"/>
      <c r="G29" s="116"/>
      <c r="H29" s="116"/>
      <c r="I29" s="116"/>
      <c r="J29" s="21"/>
      <c r="K29" s="6"/>
      <c r="L29" s="6"/>
      <c r="M29" s="6"/>
    </row>
    <row r="30" spans="1:13" ht="15.75" hidden="1" customHeight="1">
      <c r="A30" s="113"/>
      <c r="B30" s="52" t="s">
        <v>160</v>
      </c>
      <c r="C30" s="68" t="s">
        <v>100</v>
      </c>
      <c r="D30" s="52" t="s">
        <v>163</v>
      </c>
      <c r="E30" s="70">
        <v>786.4</v>
      </c>
      <c r="F30" s="70">
        <f>SUM(E30*52/1000)</f>
        <v>40.892799999999994</v>
      </c>
      <c r="G30" s="70">
        <v>155.88999999999999</v>
      </c>
      <c r="H30" s="71">
        <f t="shared" ref="H30:H35" si="2">SUM(F30*G30/1000)</f>
        <v>6.3747785919999984</v>
      </c>
      <c r="I30" s="12">
        <v>0</v>
      </c>
      <c r="J30" s="21"/>
      <c r="K30" s="6"/>
      <c r="L30" s="6"/>
      <c r="M30" s="6"/>
    </row>
    <row r="31" spans="1:13" ht="31.5" hidden="1" customHeight="1">
      <c r="A31" s="26"/>
      <c r="B31" s="52" t="s">
        <v>161</v>
      </c>
      <c r="C31" s="68" t="s">
        <v>100</v>
      </c>
      <c r="D31" s="52" t="s">
        <v>164</v>
      </c>
      <c r="E31" s="70">
        <v>97.33</v>
      </c>
      <c r="F31" s="70">
        <f>SUM(E31*78/1000)</f>
        <v>7.5917399999999997</v>
      </c>
      <c r="G31" s="70">
        <v>258.63</v>
      </c>
      <c r="H31" s="71">
        <f t="shared" si="2"/>
        <v>1.9634517162</v>
      </c>
      <c r="I31" s="12">
        <v>0</v>
      </c>
      <c r="J31" s="21"/>
      <c r="K31" s="6"/>
      <c r="L31" s="6"/>
      <c r="M31" s="6"/>
    </row>
    <row r="32" spans="1:13" ht="15.75" hidden="1" customHeight="1">
      <c r="A32" s="26"/>
      <c r="B32" s="52" t="s">
        <v>26</v>
      </c>
      <c r="C32" s="68" t="s">
        <v>100</v>
      </c>
      <c r="D32" s="52" t="s">
        <v>52</v>
      </c>
      <c r="E32" s="70">
        <v>786.4</v>
      </c>
      <c r="F32" s="70">
        <f>SUM(E32/1000)</f>
        <v>0.78639999999999999</v>
      </c>
      <c r="G32" s="70">
        <v>3020.33</v>
      </c>
      <c r="H32" s="71">
        <f t="shared" si="2"/>
        <v>2.3751875120000001</v>
      </c>
      <c r="I32" s="12">
        <v>0</v>
      </c>
      <c r="J32" s="21"/>
      <c r="K32" s="6"/>
      <c r="L32" s="6"/>
      <c r="M32" s="6"/>
    </row>
    <row r="33" spans="1:14" ht="15.75" hidden="1" customHeight="1">
      <c r="A33" s="26"/>
      <c r="B33" s="52" t="s">
        <v>162</v>
      </c>
      <c r="C33" s="68" t="s">
        <v>28</v>
      </c>
      <c r="D33" s="52" t="s">
        <v>60</v>
      </c>
      <c r="E33" s="76">
        <v>0.33333333333333331</v>
      </c>
      <c r="F33" s="70">
        <f>155/3</f>
        <v>51.666666666666664</v>
      </c>
      <c r="G33" s="70">
        <v>56.69</v>
      </c>
      <c r="H33" s="71">
        <f t="shared" si="2"/>
        <v>2.9289833333333331</v>
      </c>
      <c r="I33" s="12">
        <v>0</v>
      </c>
      <c r="J33" s="21"/>
      <c r="K33" s="6"/>
      <c r="L33" s="6"/>
      <c r="M33" s="6"/>
    </row>
    <row r="34" spans="1:14" ht="15.75" hidden="1" customHeight="1">
      <c r="A34" s="26"/>
      <c r="B34" s="52" t="s">
        <v>62</v>
      </c>
      <c r="C34" s="68" t="s">
        <v>30</v>
      </c>
      <c r="D34" s="52" t="s">
        <v>63</v>
      </c>
      <c r="E34" s="69"/>
      <c r="F34" s="70">
        <v>3</v>
      </c>
      <c r="G34" s="70">
        <v>191.32</v>
      </c>
      <c r="H34" s="71">
        <f t="shared" si="2"/>
        <v>0.57396000000000003</v>
      </c>
      <c r="I34" s="12">
        <v>0</v>
      </c>
      <c r="J34" s="21"/>
      <c r="K34" s="6"/>
      <c r="L34" s="6"/>
      <c r="M34" s="6"/>
    </row>
    <row r="35" spans="1:14" ht="15.75" hidden="1" customHeight="1">
      <c r="A35" s="118"/>
      <c r="B35" s="52" t="s">
        <v>119</v>
      </c>
      <c r="C35" s="68" t="s">
        <v>29</v>
      </c>
      <c r="D35" s="52" t="s">
        <v>63</v>
      </c>
      <c r="E35" s="69"/>
      <c r="F35" s="70">
        <v>2</v>
      </c>
      <c r="G35" s="70">
        <v>1136.33</v>
      </c>
      <c r="H35" s="71">
        <f t="shared" si="2"/>
        <v>2.2726599999999997</v>
      </c>
      <c r="I35" s="12">
        <v>0</v>
      </c>
      <c r="J35" s="21"/>
      <c r="K35" s="6"/>
      <c r="L35" s="6"/>
      <c r="M35" s="6"/>
    </row>
    <row r="36" spans="1:14" ht="15.75" customHeight="1">
      <c r="A36" s="115"/>
      <c r="B36" s="63" t="s">
        <v>4</v>
      </c>
      <c r="C36" s="117"/>
      <c r="D36" s="117"/>
      <c r="E36" s="117"/>
      <c r="F36" s="117"/>
      <c r="G36" s="117"/>
      <c r="H36" s="117"/>
      <c r="I36" s="117"/>
      <c r="J36" s="21"/>
      <c r="K36" s="6"/>
      <c r="L36" s="6"/>
      <c r="M36" s="6"/>
    </row>
    <row r="37" spans="1:14" ht="15.75" customHeight="1">
      <c r="A37" s="113">
        <v>6</v>
      </c>
      <c r="B37" s="52" t="s">
        <v>25</v>
      </c>
      <c r="C37" s="68" t="s">
        <v>29</v>
      </c>
      <c r="D37" s="52"/>
      <c r="E37" s="69"/>
      <c r="F37" s="70">
        <v>8</v>
      </c>
      <c r="G37" s="70">
        <v>1527.22</v>
      </c>
      <c r="H37" s="71">
        <f t="shared" ref="H37:H44" si="3">SUM(F37*G37/1000)</f>
        <v>12.21776</v>
      </c>
      <c r="I37" s="12">
        <f>F37/6*G37</f>
        <v>2036.2933333333333</v>
      </c>
      <c r="J37" s="21"/>
      <c r="K37" s="6"/>
      <c r="L37" s="6"/>
      <c r="M37" s="6"/>
    </row>
    <row r="38" spans="1:14" ht="15.75" customHeight="1">
      <c r="A38" s="26">
        <v>7</v>
      </c>
      <c r="B38" s="52" t="s">
        <v>85</v>
      </c>
      <c r="C38" s="68" t="s">
        <v>27</v>
      </c>
      <c r="D38" s="52" t="s">
        <v>120</v>
      </c>
      <c r="E38" s="69">
        <v>485.66</v>
      </c>
      <c r="F38" s="70">
        <f>E38*12/1000</f>
        <v>5.8279199999999998</v>
      </c>
      <c r="G38" s="70">
        <v>2102.71</v>
      </c>
      <c r="H38" s="71">
        <f>G38*F38/1000</f>
        <v>12.254425663199999</v>
      </c>
      <c r="I38" s="12">
        <f>F38/6*G38</f>
        <v>2042.4042772</v>
      </c>
      <c r="J38" s="21"/>
      <c r="K38" s="6"/>
      <c r="L38" s="6"/>
      <c r="M38" s="6"/>
    </row>
    <row r="39" spans="1:14" ht="15.75" customHeight="1">
      <c r="A39" s="26">
        <v>8</v>
      </c>
      <c r="B39" s="52" t="s">
        <v>121</v>
      </c>
      <c r="C39" s="68" t="s">
        <v>27</v>
      </c>
      <c r="D39" s="52" t="s">
        <v>122</v>
      </c>
      <c r="E39" s="69">
        <v>97.33</v>
      </c>
      <c r="F39" s="70">
        <f>E39*30/1000</f>
        <v>2.9199000000000002</v>
      </c>
      <c r="G39" s="70">
        <v>2102.71</v>
      </c>
      <c r="H39" s="71">
        <f>G39*F39/1000</f>
        <v>6.1397029290000003</v>
      </c>
      <c r="I39" s="12">
        <f>F39/6*G39</f>
        <v>1023.2838215</v>
      </c>
      <c r="J39" s="21"/>
      <c r="K39" s="6"/>
    </row>
    <row r="40" spans="1:14" ht="15.75" hidden="1" customHeight="1">
      <c r="A40" s="26"/>
      <c r="B40" s="52" t="s">
        <v>123</v>
      </c>
      <c r="C40" s="68" t="s">
        <v>124</v>
      </c>
      <c r="D40" s="52" t="s">
        <v>63</v>
      </c>
      <c r="E40" s="69"/>
      <c r="F40" s="70">
        <v>100</v>
      </c>
      <c r="G40" s="70">
        <v>213.2</v>
      </c>
      <c r="H40" s="71">
        <f>G40*F40/1000</f>
        <v>21.32</v>
      </c>
      <c r="I40" s="12">
        <v>0</v>
      </c>
      <c r="J40" s="22"/>
    </row>
    <row r="41" spans="1:14" ht="15.75" customHeight="1">
      <c r="A41" s="26">
        <v>9</v>
      </c>
      <c r="B41" s="52" t="s">
        <v>64</v>
      </c>
      <c r="C41" s="68" t="s">
        <v>27</v>
      </c>
      <c r="D41" s="52" t="s">
        <v>125</v>
      </c>
      <c r="E41" s="70">
        <v>97.33</v>
      </c>
      <c r="F41" s="70">
        <f>SUM(E41*155/1000)</f>
        <v>15.08615</v>
      </c>
      <c r="G41" s="70">
        <v>350.75</v>
      </c>
      <c r="H41" s="71">
        <f t="shared" si="3"/>
        <v>5.2914671124999995</v>
      </c>
      <c r="I41" s="12">
        <f>F41/6*G41</f>
        <v>881.91118541666674</v>
      </c>
      <c r="J41" s="22"/>
    </row>
    <row r="42" spans="1:14" ht="47.25" customHeight="1">
      <c r="A42" s="26">
        <v>10</v>
      </c>
      <c r="B42" s="52" t="s">
        <v>79</v>
      </c>
      <c r="C42" s="68" t="s">
        <v>100</v>
      </c>
      <c r="D42" s="52" t="s">
        <v>126</v>
      </c>
      <c r="E42" s="70">
        <v>97.33</v>
      </c>
      <c r="F42" s="70">
        <f>SUM(E42*24/1000)</f>
        <v>2.3359200000000002</v>
      </c>
      <c r="G42" s="70">
        <v>5803.28</v>
      </c>
      <c r="H42" s="71">
        <f t="shared" si="3"/>
        <v>13.5559978176</v>
      </c>
      <c r="I42" s="12">
        <f>F42/6*G42</f>
        <v>2259.3329696000001</v>
      </c>
      <c r="J42" s="22"/>
    </row>
    <row r="43" spans="1:14" ht="15.75" customHeight="1">
      <c r="A43" s="26">
        <v>11</v>
      </c>
      <c r="B43" s="33" t="s">
        <v>127</v>
      </c>
      <c r="C43" s="40" t="s">
        <v>100</v>
      </c>
      <c r="D43" s="33" t="s">
        <v>233</v>
      </c>
      <c r="E43" s="32">
        <v>97.33</v>
      </c>
      <c r="F43" s="166">
        <f>SUM(E43*15/1000)</f>
        <v>1.4599500000000001</v>
      </c>
      <c r="G43" s="32">
        <v>428.7</v>
      </c>
      <c r="H43" s="71">
        <f t="shared" si="3"/>
        <v>0.625880565</v>
      </c>
      <c r="I43" s="12">
        <f>F43/2*G43</f>
        <v>312.94028250000002</v>
      </c>
      <c r="J43" s="22"/>
    </row>
    <row r="44" spans="1:14" ht="15.75" customHeight="1">
      <c r="A44" s="26">
        <v>12</v>
      </c>
      <c r="B44" s="52" t="s">
        <v>66</v>
      </c>
      <c r="C44" s="68" t="s">
        <v>30</v>
      </c>
      <c r="D44" s="52"/>
      <c r="E44" s="69"/>
      <c r="F44" s="70">
        <v>0.8</v>
      </c>
      <c r="G44" s="70">
        <v>798</v>
      </c>
      <c r="H44" s="71">
        <f t="shared" si="3"/>
        <v>0.63840000000000008</v>
      </c>
      <c r="I44" s="12">
        <f>F44/6*G44</f>
        <v>106.39999999999999</v>
      </c>
      <c r="J44" s="22"/>
    </row>
    <row r="45" spans="1:14" ht="15.75" hidden="1" customHeight="1">
      <c r="A45" s="153" t="s">
        <v>141</v>
      </c>
      <c r="B45" s="154"/>
      <c r="C45" s="154"/>
      <c r="D45" s="154"/>
      <c r="E45" s="154"/>
      <c r="F45" s="154"/>
      <c r="G45" s="154"/>
      <c r="H45" s="154"/>
      <c r="I45" s="155"/>
      <c r="J45" s="22"/>
      <c r="L45" s="18"/>
      <c r="M45" s="19"/>
      <c r="N45" s="20"/>
    </row>
    <row r="46" spans="1:14" ht="15.75" hidden="1" customHeight="1">
      <c r="A46" s="26"/>
      <c r="B46" s="52" t="s">
        <v>128</v>
      </c>
      <c r="C46" s="68" t="s">
        <v>100</v>
      </c>
      <c r="D46" s="52" t="s">
        <v>40</v>
      </c>
      <c r="E46" s="69">
        <v>1114.25</v>
      </c>
      <c r="F46" s="70">
        <f>SUM(E46*2/1000)</f>
        <v>2.2284999999999999</v>
      </c>
      <c r="G46" s="12">
        <v>910.17</v>
      </c>
      <c r="H46" s="71">
        <f t="shared" ref="H46:H56" si="4">SUM(F46*G46/1000)</f>
        <v>2.028313845</v>
      </c>
      <c r="I46" s="12">
        <v>0</v>
      </c>
      <c r="J46" s="22"/>
      <c r="L46" s="18"/>
      <c r="M46" s="19"/>
      <c r="N46" s="20"/>
    </row>
    <row r="47" spans="1:14" ht="15.75" hidden="1" customHeight="1">
      <c r="A47" s="26"/>
      <c r="B47" s="52" t="s">
        <v>33</v>
      </c>
      <c r="C47" s="68" t="s">
        <v>100</v>
      </c>
      <c r="D47" s="52" t="s">
        <v>40</v>
      </c>
      <c r="E47" s="69">
        <v>37</v>
      </c>
      <c r="F47" s="70">
        <f>E47*2/1000</f>
        <v>7.3999999999999996E-2</v>
      </c>
      <c r="G47" s="12">
        <v>579.48</v>
      </c>
      <c r="H47" s="71">
        <f t="shared" si="4"/>
        <v>4.2881519999999999E-2</v>
      </c>
      <c r="I47" s="12">
        <v>0</v>
      </c>
      <c r="J47" s="22"/>
      <c r="L47" s="18"/>
      <c r="M47" s="19"/>
      <c r="N47" s="20"/>
    </row>
    <row r="48" spans="1:14" ht="15.75" hidden="1" customHeight="1">
      <c r="A48" s="26"/>
      <c r="B48" s="52" t="s">
        <v>34</v>
      </c>
      <c r="C48" s="68" t="s">
        <v>100</v>
      </c>
      <c r="D48" s="52" t="s">
        <v>40</v>
      </c>
      <c r="E48" s="69">
        <v>2631</v>
      </c>
      <c r="F48" s="70">
        <f>SUM(E48*2/1000)</f>
        <v>5.2619999999999996</v>
      </c>
      <c r="G48" s="12">
        <v>579.48</v>
      </c>
      <c r="H48" s="71">
        <f t="shared" si="4"/>
        <v>3.0492237599999998</v>
      </c>
      <c r="I48" s="12">
        <v>0</v>
      </c>
      <c r="J48" s="22"/>
      <c r="L48" s="18"/>
      <c r="M48" s="19"/>
      <c r="N48" s="20"/>
    </row>
    <row r="49" spans="1:14" ht="15.75" hidden="1" customHeight="1">
      <c r="A49" s="26"/>
      <c r="B49" s="52" t="s">
        <v>35</v>
      </c>
      <c r="C49" s="68" t="s">
        <v>100</v>
      </c>
      <c r="D49" s="52" t="s">
        <v>40</v>
      </c>
      <c r="E49" s="69">
        <v>1953.8</v>
      </c>
      <c r="F49" s="70">
        <f>SUM(E49*2/1000)</f>
        <v>3.9076</v>
      </c>
      <c r="G49" s="12">
        <v>606.77</v>
      </c>
      <c r="H49" s="71">
        <f t="shared" si="4"/>
        <v>2.3710144519999998</v>
      </c>
      <c r="I49" s="12">
        <v>0</v>
      </c>
      <c r="J49" s="22"/>
      <c r="L49" s="18"/>
      <c r="M49" s="19"/>
      <c r="N49" s="20"/>
    </row>
    <row r="50" spans="1:14" ht="15.75" hidden="1" customHeight="1">
      <c r="A50" s="26"/>
      <c r="B50" s="52" t="s">
        <v>31</v>
      </c>
      <c r="C50" s="68" t="s">
        <v>32</v>
      </c>
      <c r="D50" s="52" t="s">
        <v>40</v>
      </c>
      <c r="E50" s="69">
        <v>91.84</v>
      </c>
      <c r="F50" s="70">
        <f>SUM(E50*2/100)</f>
        <v>1.8368</v>
      </c>
      <c r="G50" s="12">
        <v>72.81</v>
      </c>
      <c r="H50" s="71">
        <f t="shared" si="4"/>
        <v>0.13373740800000003</v>
      </c>
      <c r="I50" s="12">
        <v>0</v>
      </c>
      <c r="J50" s="22"/>
      <c r="L50" s="18"/>
      <c r="M50" s="19"/>
      <c r="N50" s="20"/>
    </row>
    <row r="51" spans="1:14" ht="15.75" hidden="1" customHeight="1">
      <c r="A51" s="26">
        <v>13</v>
      </c>
      <c r="B51" s="52" t="s">
        <v>55</v>
      </c>
      <c r="C51" s="68" t="s">
        <v>100</v>
      </c>
      <c r="D51" s="52" t="s">
        <v>165</v>
      </c>
      <c r="E51" s="69">
        <v>891.4</v>
      </c>
      <c r="F51" s="70">
        <f>SUM(E51*5/1000)</f>
        <v>4.4569999999999999</v>
      </c>
      <c r="G51" s="12">
        <v>1213.55</v>
      </c>
      <c r="H51" s="71">
        <f t="shared" si="4"/>
        <v>5.4087923499999997</v>
      </c>
      <c r="I51" s="12">
        <f>F51/5*G51</f>
        <v>1081.75847</v>
      </c>
      <c r="J51" s="22"/>
      <c r="L51" s="18"/>
      <c r="M51" s="19"/>
      <c r="N51" s="20"/>
    </row>
    <row r="52" spans="1:14" ht="31.5" hidden="1" customHeight="1">
      <c r="A52" s="26">
        <v>13</v>
      </c>
      <c r="B52" s="52" t="s">
        <v>129</v>
      </c>
      <c r="C52" s="68" t="s">
        <v>100</v>
      </c>
      <c r="D52" s="52" t="s">
        <v>40</v>
      </c>
      <c r="E52" s="69">
        <v>891.4</v>
      </c>
      <c r="F52" s="70">
        <f>SUM(E52*2/1000)</f>
        <v>1.7827999999999999</v>
      </c>
      <c r="G52" s="12">
        <v>1213.55</v>
      </c>
      <c r="H52" s="71">
        <f t="shared" si="4"/>
        <v>2.1635169400000001</v>
      </c>
      <c r="I52" s="12">
        <f>F52/2*G52</f>
        <v>1081.75847</v>
      </c>
      <c r="J52" s="22"/>
      <c r="L52" s="18"/>
      <c r="M52" s="19"/>
      <c r="N52" s="20"/>
    </row>
    <row r="53" spans="1:14" ht="31.5" hidden="1" customHeight="1">
      <c r="A53" s="26">
        <v>14</v>
      </c>
      <c r="B53" s="52" t="s">
        <v>130</v>
      </c>
      <c r="C53" s="68" t="s">
        <v>36</v>
      </c>
      <c r="D53" s="52" t="s">
        <v>40</v>
      </c>
      <c r="E53" s="69">
        <v>20</v>
      </c>
      <c r="F53" s="70">
        <f>SUM(E53*2/100)</f>
        <v>0.4</v>
      </c>
      <c r="G53" s="12">
        <v>2730.49</v>
      </c>
      <c r="H53" s="71">
        <f t="shared" si="4"/>
        <v>1.0921959999999999</v>
      </c>
      <c r="I53" s="12">
        <f t="shared" ref="I53:I54" si="5">F53/2*G53</f>
        <v>546.09799999999996</v>
      </c>
      <c r="J53" s="22"/>
      <c r="L53" s="18"/>
      <c r="M53" s="19"/>
      <c r="N53" s="20"/>
    </row>
    <row r="54" spans="1:14" ht="15.75" hidden="1" customHeight="1">
      <c r="A54" s="26">
        <v>15</v>
      </c>
      <c r="B54" s="52" t="s">
        <v>37</v>
      </c>
      <c r="C54" s="68" t="s">
        <v>38</v>
      </c>
      <c r="D54" s="52" t="s">
        <v>40</v>
      </c>
      <c r="E54" s="69">
        <v>1</v>
      </c>
      <c r="F54" s="70">
        <v>0.02</v>
      </c>
      <c r="G54" s="12">
        <v>5652.13</v>
      </c>
      <c r="H54" s="71">
        <f t="shared" si="4"/>
        <v>0.11304260000000001</v>
      </c>
      <c r="I54" s="12">
        <f t="shared" si="5"/>
        <v>56.521300000000004</v>
      </c>
      <c r="J54" s="22"/>
      <c r="L54" s="18"/>
      <c r="M54" s="19"/>
      <c r="N54" s="20"/>
    </row>
    <row r="55" spans="1:14" ht="15.75" hidden="1" customHeight="1">
      <c r="A55" s="26">
        <v>14</v>
      </c>
      <c r="B55" s="52" t="s">
        <v>131</v>
      </c>
      <c r="C55" s="68" t="s">
        <v>101</v>
      </c>
      <c r="D55" s="52" t="s">
        <v>67</v>
      </c>
      <c r="E55" s="69">
        <v>70</v>
      </c>
      <c r="F55" s="70">
        <f>E55*3</f>
        <v>210</v>
      </c>
      <c r="G55" s="12">
        <v>141.12</v>
      </c>
      <c r="H55" s="71">
        <f t="shared" si="4"/>
        <v>29.635200000000001</v>
      </c>
      <c r="I55" s="12">
        <f>E55*G55</f>
        <v>9878.4</v>
      </c>
      <c r="J55" s="22"/>
      <c r="L55" s="18"/>
      <c r="M55" s="19"/>
      <c r="N55" s="20"/>
    </row>
    <row r="56" spans="1:14" ht="15.75" hidden="1" customHeight="1">
      <c r="A56" s="26">
        <v>15</v>
      </c>
      <c r="B56" s="52" t="s">
        <v>39</v>
      </c>
      <c r="C56" s="68" t="s">
        <v>101</v>
      </c>
      <c r="D56" s="52" t="s">
        <v>67</v>
      </c>
      <c r="E56" s="69">
        <v>140</v>
      </c>
      <c r="F56" s="70">
        <f>SUM(E56)</f>
        <v>140</v>
      </c>
      <c r="G56" s="12">
        <v>65.67</v>
      </c>
      <c r="H56" s="71">
        <f t="shared" si="4"/>
        <v>9.1938000000000013</v>
      </c>
      <c r="I56" s="12">
        <f>E56*G56</f>
        <v>9193.8000000000011</v>
      </c>
      <c r="J56" s="22"/>
      <c r="L56" s="18"/>
      <c r="M56" s="19"/>
      <c r="N56" s="20"/>
    </row>
    <row r="57" spans="1:14" ht="15.75" customHeight="1">
      <c r="A57" s="153" t="s">
        <v>83</v>
      </c>
      <c r="B57" s="156"/>
      <c r="C57" s="156"/>
      <c r="D57" s="156"/>
      <c r="E57" s="156"/>
      <c r="F57" s="156"/>
      <c r="G57" s="156"/>
      <c r="H57" s="156"/>
      <c r="I57" s="157"/>
      <c r="J57" s="22"/>
      <c r="L57" s="18"/>
      <c r="M57" s="19"/>
      <c r="N57" s="20"/>
    </row>
    <row r="58" spans="1:14" ht="15.75" customHeight="1">
      <c r="A58" s="26"/>
      <c r="B58" s="93" t="s">
        <v>41</v>
      </c>
      <c r="C58" s="68"/>
      <c r="D58" s="52"/>
      <c r="E58" s="69"/>
      <c r="F58" s="70"/>
      <c r="G58" s="70"/>
      <c r="H58" s="71"/>
      <c r="I58" s="12"/>
      <c r="J58" s="22"/>
      <c r="L58" s="18"/>
      <c r="M58" s="19"/>
      <c r="N58" s="20"/>
    </row>
    <row r="59" spans="1:14" ht="31.5" customHeight="1">
      <c r="A59" s="26">
        <v>13</v>
      </c>
      <c r="B59" s="52" t="s">
        <v>132</v>
      </c>
      <c r="C59" s="68" t="s">
        <v>90</v>
      </c>
      <c r="D59" s="52" t="s">
        <v>133</v>
      </c>
      <c r="E59" s="69">
        <v>123.43</v>
      </c>
      <c r="F59" s="70">
        <f>SUM(E59*6/100)</f>
        <v>7.4058000000000002</v>
      </c>
      <c r="G59" s="12">
        <v>1547.28</v>
      </c>
      <c r="H59" s="71">
        <f>SUM(F59*G59/1000)</f>
        <v>11.458846224</v>
      </c>
      <c r="I59" s="12">
        <f>F59/6*G59</f>
        <v>1909.8077039999998</v>
      </c>
      <c r="J59" s="22"/>
      <c r="L59" s="18"/>
      <c r="M59" s="19"/>
      <c r="N59" s="20"/>
    </row>
    <row r="60" spans="1:14" ht="15.75" hidden="1" customHeight="1">
      <c r="A60" s="26"/>
      <c r="B60" s="94" t="s">
        <v>42</v>
      </c>
      <c r="C60" s="78"/>
      <c r="D60" s="79"/>
      <c r="E60" s="80"/>
      <c r="F60" s="81"/>
      <c r="G60" s="12"/>
      <c r="H60" s="82"/>
      <c r="I60" s="12"/>
      <c r="J60" s="22"/>
      <c r="L60" s="18"/>
      <c r="M60" s="19"/>
      <c r="N60" s="20"/>
    </row>
    <row r="61" spans="1:14" ht="15.75" hidden="1" customHeight="1">
      <c r="A61" s="26"/>
      <c r="B61" s="79" t="s">
        <v>43</v>
      </c>
      <c r="C61" s="78" t="s">
        <v>51</v>
      </c>
      <c r="D61" s="79" t="s">
        <v>52</v>
      </c>
      <c r="E61" s="80">
        <v>891.4</v>
      </c>
      <c r="F61" s="81">
        <v>8.9</v>
      </c>
      <c r="G61" s="12">
        <v>747.3</v>
      </c>
      <c r="H61" s="82">
        <f>F61*G61/1000</f>
        <v>6.65097</v>
      </c>
      <c r="I61" s="12">
        <v>0</v>
      </c>
      <c r="J61" s="22"/>
      <c r="L61" s="18"/>
      <c r="M61" s="19"/>
      <c r="N61" s="20"/>
    </row>
    <row r="62" spans="1:14" ht="15.75" hidden="1" customHeight="1">
      <c r="A62" s="26"/>
      <c r="B62" s="94" t="s">
        <v>44</v>
      </c>
      <c r="C62" s="78"/>
      <c r="D62" s="79"/>
      <c r="E62" s="80"/>
      <c r="F62" s="83"/>
      <c r="G62" s="83"/>
      <c r="H62" s="81" t="s">
        <v>110</v>
      </c>
      <c r="I62" s="12"/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45</v>
      </c>
      <c r="C63" s="15" t="s">
        <v>101</v>
      </c>
      <c r="D63" s="13" t="s">
        <v>63</v>
      </c>
      <c r="E63" s="17">
        <v>15</v>
      </c>
      <c r="F63" s="70">
        <v>15</v>
      </c>
      <c r="G63" s="12">
        <v>222.4</v>
      </c>
      <c r="H63" s="84">
        <f t="shared" ref="H63:H70" si="6">SUM(F63*G63/1000)</f>
        <v>3.3359999999999999</v>
      </c>
      <c r="I63" s="12">
        <f>G63*12</f>
        <v>2668.8</v>
      </c>
      <c r="J63" s="22"/>
      <c r="L63" s="18"/>
      <c r="M63" s="19"/>
      <c r="N63" s="20"/>
    </row>
    <row r="64" spans="1:14" ht="15.75" hidden="1" customHeight="1">
      <c r="A64" s="26">
        <v>17</v>
      </c>
      <c r="B64" s="13" t="s">
        <v>46</v>
      </c>
      <c r="C64" s="15" t="s">
        <v>101</v>
      </c>
      <c r="D64" s="13" t="s">
        <v>63</v>
      </c>
      <c r="E64" s="17">
        <v>5</v>
      </c>
      <c r="F64" s="70">
        <v>5</v>
      </c>
      <c r="G64" s="12">
        <v>76.25</v>
      </c>
      <c r="H64" s="84">
        <f t="shared" si="6"/>
        <v>0.38124999999999998</v>
      </c>
      <c r="I64" s="12">
        <v>0</v>
      </c>
      <c r="J64" s="22"/>
      <c r="L64" s="18"/>
      <c r="M64" s="19"/>
      <c r="N64" s="20"/>
    </row>
    <row r="65" spans="1:14" ht="15.75" hidden="1" customHeight="1">
      <c r="A65" s="26"/>
      <c r="B65" s="13" t="s">
        <v>47</v>
      </c>
      <c r="C65" s="15" t="s">
        <v>102</v>
      </c>
      <c r="D65" s="13" t="s">
        <v>52</v>
      </c>
      <c r="E65" s="69">
        <v>12702</v>
      </c>
      <c r="F65" s="12">
        <f>SUM(E65/100)</f>
        <v>127.02</v>
      </c>
      <c r="G65" s="12">
        <v>212.15</v>
      </c>
      <c r="H65" s="84">
        <f t="shared" si="6"/>
        <v>26.947293000000002</v>
      </c>
      <c r="I65" s="12">
        <v>0</v>
      </c>
      <c r="J65" s="22"/>
      <c r="L65" s="18"/>
      <c r="M65" s="19"/>
      <c r="N65" s="20"/>
    </row>
    <row r="66" spans="1:14" ht="15.75" hidden="1" customHeight="1">
      <c r="A66" s="26"/>
      <c r="B66" s="13" t="s">
        <v>48</v>
      </c>
      <c r="C66" s="15" t="s">
        <v>103</v>
      </c>
      <c r="D66" s="13"/>
      <c r="E66" s="69">
        <v>12702</v>
      </c>
      <c r="F66" s="12">
        <f>SUM(E66/1000)</f>
        <v>12.702</v>
      </c>
      <c r="G66" s="12">
        <v>165.21</v>
      </c>
      <c r="H66" s="84">
        <f t="shared" si="6"/>
        <v>2.0984974200000002</v>
      </c>
      <c r="I66" s="12">
        <v>0</v>
      </c>
      <c r="J66" s="22"/>
      <c r="L66" s="18"/>
      <c r="M66" s="19"/>
      <c r="N66" s="20"/>
    </row>
    <row r="67" spans="1:14" ht="15.75" hidden="1" customHeight="1">
      <c r="A67" s="26"/>
      <c r="B67" s="13" t="s">
        <v>49</v>
      </c>
      <c r="C67" s="15" t="s">
        <v>73</v>
      </c>
      <c r="D67" s="13" t="s">
        <v>52</v>
      </c>
      <c r="E67" s="69">
        <v>2184</v>
      </c>
      <c r="F67" s="12">
        <f>SUM(E67/100)</f>
        <v>21.84</v>
      </c>
      <c r="G67" s="12">
        <v>2074.63</v>
      </c>
      <c r="H67" s="84">
        <f t="shared" si="6"/>
        <v>45.309919200000003</v>
      </c>
      <c r="I67" s="12">
        <v>0</v>
      </c>
      <c r="J67" s="22"/>
      <c r="L67" s="18"/>
      <c r="M67" s="19"/>
      <c r="N67" s="20"/>
    </row>
    <row r="68" spans="1:14" ht="15.75" hidden="1" customHeight="1">
      <c r="A68" s="26"/>
      <c r="B68" s="85" t="s">
        <v>104</v>
      </c>
      <c r="C68" s="15" t="s">
        <v>30</v>
      </c>
      <c r="D68" s="13"/>
      <c r="E68" s="69">
        <v>11.6</v>
      </c>
      <c r="F68" s="12">
        <f>SUM(E68)</f>
        <v>11.6</v>
      </c>
      <c r="G68" s="12">
        <v>42.67</v>
      </c>
      <c r="H68" s="84">
        <f t="shared" si="6"/>
        <v>0.49497199999999997</v>
      </c>
      <c r="I68" s="12">
        <v>0</v>
      </c>
      <c r="J68" s="22"/>
      <c r="L68" s="18"/>
      <c r="M68" s="19"/>
      <c r="N68" s="20"/>
    </row>
    <row r="69" spans="1:14" ht="15.75" hidden="1" customHeight="1">
      <c r="A69" s="26"/>
      <c r="B69" s="85" t="s">
        <v>105</v>
      </c>
      <c r="C69" s="15" t="s">
        <v>30</v>
      </c>
      <c r="D69" s="13"/>
      <c r="E69" s="69">
        <v>11.6</v>
      </c>
      <c r="F69" s="12">
        <f>SUM(E69)</f>
        <v>11.6</v>
      </c>
      <c r="G69" s="12">
        <v>39.81</v>
      </c>
      <c r="H69" s="84">
        <f t="shared" si="6"/>
        <v>0.46179599999999998</v>
      </c>
      <c r="I69" s="12">
        <v>0</v>
      </c>
      <c r="J69" s="22"/>
      <c r="L69" s="18"/>
      <c r="M69" s="19"/>
      <c r="N69" s="20"/>
    </row>
    <row r="70" spans="1:14" ht="15.75" hidden="1" customHeight="1">
      <c r="A70" s="26"/>
      <c r="B70" s="13" t="s">
        <v>56</v>
      </c>
      <c r="C70" s="15" t="s">
        <v>57</v>
      </c>
      <c r="D70" s="13" t="s">
        <v>52</v>
      </c>
      <c r="E70" s="17">
        <v>5</v>
      </c>
      <c r="F70" s="70">
        <v>5</v>
      </c>
      <c r="G70" s="12">
        <v>49.88</v>
      </c>
      <c r="H70" s="84">
        <f t="shared" si="6"/>
        <v>0.24940000000000001</v>
      </c>
      <c r="I70" s="12">
        <v>0</v>
      </c>
      <c r="J70" s="22"/>
      <c r="L70" s="18"/>
      <c r="M70" s="19"/>
      <c r="N70" s="20"/>
    </row>
    <row r="71" spans="1:14" ht="15.75" hidden="1" customHeight="1">
      <c r="A71" s="26"/>
      <c r="B71" s="63" t="s">
        <v>68</v>
      </c>
      <c r="C71" s="15"/>
      <c r="D71" s="13"/>
      <c r="E71" s="17"/>
      <c r="F71" s="12"/>
      <c r="G71" s="12"/>
      <c r="H71" s="84" t="s">
        <v>110</v>
      </c>
      <c r="I71" s="12"/>
      <c r="J71" s="22"/>
      <c r="L71" s="18"/>
      <c r="M71" s="19"/>
      <c r="N71" s="20"/>
    </row>
    <row r="72" spans="1:14" ht="15.75" hidden="1" customHeight="1">
      <c r="A72" s="26">
        <v>18</v>
      </c>
      <c r="B72" s="13" t="s">
        <v>69</v>
      </c>
      <c r="C72" s="15" t="s">
        <v>71</v>
      </c>
      <c r="D72" s="13"/>
      <c r="E72" s="17">
        <v>5</v>
      </c>
      <c r="F72" s="12">
        <v>0.5</v>
      </c>
      <c r="G72" s="12">
        <v>501.62</v>
      </c>
      <c r="H72" s="84">
        <f t="shared" ref="H72" si="7">SUM(F72*G72/1000)</f>
        <v>0.25080999999999998</v>
      </c>
      <c r="I72" s="12">
        <f>G72*0.1</f>
        <v>50.162000000000006</v>
      </c>
      <c r="J72" s="22"/>
      <c r="L72" s="18"/>
      <c r="M72" s="19"/>
      <c r="N72" s="20"/>
    </row>
    <row r="73" spans="1:14" ht="15.75" hidden="1" customHeight="1">
      <c r="A73" s="26"/>
      <c r="B73" s="13" t="s">
        <v>70</v>
      </c>
      <c r="C73" s="15" t="s">
        <v>28</v>
      </c>
      <c r="D73" s="13"/>
      <c r="E73" s="17">
        <v>1</v>
      </c>
      <c r="F73" s="64">
        <v>1</v>
      </c>
      <c r="G73" s="12">
        <v>852.99</v>
      </c>
      <c r="H73" s="84">
        <f>F73*G73/1000</f>
        <v>0.85299000000000003</v>
      </c>
      <c r="I73" s="12">
        <v>0</v>
      </c>
      <c r="J73" s="22"/>
      <c r="L73" s="18"/>
      <c r="M73" s="19"/>
      <c r="N73" s="20"/>
    </row>
    <row r="74" spans="1:14" ht="15.75" hidden="1" customHeight="1">
      <c r="A74" s="26"/>
      <c r="B74" s="13" t="s">
        <v>108</v>
      </c>
      <c r="C74" s="15" t="s">
        <v>28</v>
      </c>
      <c r="D74" s="13"/>
      <c r="E74" s="17">
        <v>1</v>
      </c>
      <c r="F74" s="12">
        <v>1</v>
      </c>
      <c r="G74" s="12">
        <v>358.51</v>
      </c>
      <c r="H74" s="84">
        <f>G74*F74/1000</f>
        <v>0.35851</v>
      </c>
      <c r="I74" s="12">
        <v>0</v>
      </c>
      <c r="J74" s="22"/>
      <c r="L74" s="18"/>
      <c r="M74" s="19"/>
      <c r="N74" s="20"/>
    </row>
    <row r="75" spans="1:14" ht="15.75" hidden="1" customHeight="1">
      <c r="A75" s="26"/>
      <c r="B75" s="86" t="s">
        <v>72</v>
      </c>
      <c r="C75" s="15"/>
      <c r="D75" s="13"/>
      <c r="E75" s="17"/>
      <c r="F75" s="12"/>
      <c r="G75" s="12" t="s">
        <v>110</v>
      </c>
      <c r="H75" s="84" t="s">
        <v>110</v>
      </c>
      <c r="I75" s="12"/>
      <c r="J75" s="22"/>
      <c r="L75" s="18"/>
      <c r="M75" s="19"/>
      <c r="N75" s="20"/>
    </row>
    <row r="76" spans="1:14" ht="15.75" hidden="1" customHeight="1">
      <c r="A76" s="26"/>
      <c r="B76" s="46" t="s">
        <v>109</v>
      </c>
      <c r="C76" s="15" t="s">
        <v>73</v>
      </c>
      <c r="D76" s="13"/>
      <c r="E76" s="17"/>
      <c r="F76" s="12">
        <v>1</v>
      </c>
      <c r="G76" s="12">
        <v>2579.44</v>
      </c>
      <c r="H76" s="84">
        <f t="shared" ref="H76" si="8">SUM(F76*G76/1000)</f>
        <v>2.57944</v>
      </c>
      <c r="I76" s="12">
        <v>0</v>
      </c>
      <c r="J76" s="22"/>
      <c r="L76" s="18"/>
      <c r="M76" s="19"/>
      <c r="N76" s="20"/>
    </row>
    <row r="77" spans="1:14" ht="15.75" hidden="1" customHeight="1">
      <c r="A77" s="26"/>
      <c r="B77" s="63" t="s">
        <v>106</v>
      </c>
      <c r="C77" s="86"/>
      <c r="D77" s="27"/>
      <c r="E77" s="31"/>
      <c r="F77" s="75"/>
      <c r="G77" s="75"/>
      <c r="H77" s="87">
        <f>SUM(H59:H76)</f>
        <v>101.43069384400002</v>
      </c>
      <c r="I77" s="75"/>
      <c r="J77" s="22"/>
      <c r="L77" s="18"/>
      <c r="M77" s="19"/>
      <c r="N77" s="20"/>
    </row>
    <row r="78" spans="1:14" ht="15.75" hidden="1" customHeight="1">
      <c r="A78" s="26">
        <v>15</v>
      </c>
      <c r="B78" s="52" t="s">
        <v>107</v>
      </c>
      <c r="C78" s="15"/>
      <c r="D78" s="13"/>
      <c r="E78" s="88"/>
      <c r="F78" s="12">
        <v>1</v>
      </c>
      <c r="G78" s="12">
        <v>23195</v>
      </c>
      <c r="H78" s="84">
        <f>G78*F78/1000</f>
        <v>23.195</v>
      </c>
      <c r="I78" s="12">
        <f>G78</f>
        <v>23195</v>
      </c>
      <c r="J78" s="22"/>
      <c r="L78" s="18"/>
      <c r="M78" s="19"/>
      <c r="N78" s="20"/>
    </row>
    <row r="79" spans="1:14" ht="15.75" customHeight="1">
      <c r="A79" s="153" t="s">
        <v>151</v>
      </c>
      <c r="B79" s="158"/>
      <c r="C79" s="158"/>
      <c r="D79" s="158"/>
      <c r="E79" s="158"/>
      <c r="F79" s="158"/>
      <c r="G79" s="158"/>
      <c r="H79" s="158"/>
      <c r="I79" s="159"/>
      <c r="J79" s="22"/>
      <c r="L79" s="18"/>
      <c r="M79" s="19"/>
      <c r="N79" s="20"/>
    </row>
    <row r="80" spans="1:14" ht="15.75" customHeight="1">
      <c r="A80" s="26">
        <v>14</v>
      </c>
      <c r="B80" s="52" t="s">
        <v>134</v>
      </c>
      <c r="C80" s="15" t="s">
        <v>53</v>
      </c>
      <c r="D80" s="89" t="s">
        <v>54</v>
      </c>
      <c r="E80" s="12">
        <v>3181</v>
      </c>
      <c r="F80" s="12">
        <f>SUM(E80*12)</f>
        <v>38172</v>
      </c>
      <c r="G80" s="12">
        <v>2.1</v>
      </c>
      <c r="H80" s="84">
        <f>SUM(F80*G80/1000)</f>
        <v>80.161199999999994</v>
      </c>
      <c r="I80" s="12">
        <f>F80/12*G80</f>
        <v>6680.1</v>
      </c>
      <c r="J80" s="22"/>
      <c r="L80" s="18"/>
      <c r="M80" s="19"/>
      <c r="N80" s="20"/>
    </row>
    <row r="81" spans="1:22" ht="31.5" customHeight="1">
      <c r="A81" s="26">
        <v>15</v>
      </c>
      <c r="B81" s="13" t="s">
        <v>74</v>
      </c>
      <c r="C81" s="15"/>
      <c r="D81" s="89" t="s">
        <v>54</v>
      </c>
      <c r="E81" s="12">
        <v>3181</v>
      </c>
      <c r="F81" s="12">
        <f>E81*12</f>
        <v>38172</v>
      </c>
      <c r="G81" s="12">
        <v>1.63</v>
      </c>
      <c r="H81" s="84">
        <f>F81*G81/1000</f>
        <v>62.220359999999992</v>
      </c>
      <c r="I81" s="12">
        <f>F81/12*G81</f>
        <v>5185.03</v>
      </c>
      <c r="J81" s="22"/>
      <c r="L81" s="18"/>
      <c r="M81" s="19"/>
      <c r="N81" s="20"/>
    </row>
    <row r="82" spans="1:22" ht="15.75" customHeight="1">
      <c r="A82" s="50"/>
      <c r="B82" s="39" t="s">
        <v>77</v>
      </c>
      <c r="C82" s="15"/>
      <c r="D82" s="46"/>
      <c r="E82" s="12"/>
      <c r="F82" s="12"/>
      <c r="G82" s="12"/>
      <c r="H82" s="84">
        <f>H81</f>
        <v>62.220359999999992</v>
      </c>
      <c r="I82" s="75">
        <f>I16+I17+I18+I26+I27+I37+I38+I39+I41+I42+I43+I44+I59+I80+I81</f>
        <v>46655.075123549999</v>
      </c>
      <c r="J82" s="22"/>
      <c r="L82" s="18"/>
      <c r="M82" s="19"/>
      <c r="N82" s="20"/>
    </row>
    <row r="83" spans="1:22" ht="15.75" customHeight="1">
      <c r="A83" s="139" t="s">
        <v>58</v>
      </c>
      <c r="B83" s="140"/>
      <c r="C83" s="140"/>
      <c r="D83" s="140"/>
      <c r="E83" s="140"/>
      <c r="F83" s="140"/>
      <c r="G83" s="140"/>
      <c r="H83" s="140"/>
      <c r="I83" s="141"/>
      <c r="J83" s="22"/>
      <c r="L83" s="18"/>
      <c r="M83" s="19"/>
      <c r="N83" s="20"/>
    </row>
    <row r="84" spans="1:22" ht="15.75" customHeight="1">
      <c r="A84" s="50">
        <v>16</v>
      </c>
      <c r="B84" s="51" t="s">
        <v>135</v>
      </c>
      <c r="C84" s="57" t="s">
        <v>136</v>
      </c>
      <c r="D84" s="13"/>
      <c r="E84" s="17"/>
      <c r="F84" s="12">
        <v>4.5</v>
      </c>
      <c r="G84" s="12">
        <v>1582</v>
      </c>
      <c r="H84" s="84">
        <f t="shared" ref="H84" si="9">G84*F84/1000</f>
        <v>7.1189999999999998</v>
      </c>
      <c r="I84" s="90">
        <f>G84</f>
        <v>1582</v>
      </c>
      <c r="J84" s="22"/>
      <c r="L84" s="18"/>
      <c r="M84" s="19"/>
      <c r="N84" s="20"/>
    </row>
    <row r="85" spans="1:22" ht="15.75" customHeight="1">
      <c r="A85" s="26">
        <v>17</v>
      </c>
      <c r="B85" s="67" t="s">
        <v>184</v>
      </c>
      <c r="C85" s="26" t="s">
        <v>92</v>
      </c>
      <c r="D85" s="13"/>
      <c r="E85" s="17"/>
      <c r="F85" s="12">
        <f>0.28/10</f>
        <v>2.8000000000000004E-2</v>
      </c>
      <c r="G85" s="12">
        <v>3282.12</v>
      </c>
      <c r="H85" s="12">
        <f>F85*G85/1000</f>
        <v>9.1899360000000013E-2</v>
      </c>
      <c r="I85" s="90">
        <f>G85*(0.28/10)</f>
        <v>91.899360000000016</v>
      </c>
      <c r="J85" s="22"/>
      <c r="L85" s="18"/>
      <c r="M85" s="19"/>
      <c r="N85" s="20"/>
    </row>
    <row r="86" spans="1:22" ht="15.75" customHeight="1">
      <c r="A86" s="26"/>
      <c r="B86" s="27" t="s">
        <v>50</v>
      </c>
      <c r="C86" s="41"/>
      <c r="D86" s="47"/>
      <c r="E86" s="41">
        <v>1</v>
      </c>
      <c r="F86" s="41"/>
      <c r="G86" s="41"/>
      <c r="H86" s="41"/>
      <c r="I86" s="31">
        <f>SUM(I84:I85)</f>
        <v>1673.8993600000001</v>
      </c>
      <c r="J86" s="22"/>
      <c r="L86" s="18"/>
      <c r="M86" s="19"/>
      <c r="N86" s="20"/>
    </row>
    <row r="87" spans="1:22" ht="15.75" customHeight="1">
      <c r="A87" s="26"/>
      <c r="B87" s="46" t="s">
        <v>75</v>
      </c>
      <c r="C87" s="14"/>
      <c r="D87" s="14"/>
      <c r="E87" s="42"/>
      <c r="F87" s="42"/>
      <c r="G87" s="43"/>
      <c r="H87" s="43"/>
      <c r="I87" s="16">
        <v>0</v>
      </c>
      <c r="J87" s="22"/>
      <c r="L87" s="18"/>
      <c r="M87" s="19"/>
      <c r="N87" s="20"/>
    </row>
    <row r="88" spans="1:22" ht="15.75" customHeight="1">
      <c r="A88" s="48"/>
      <c r="B88" s="45" t="s">
        <v>174</v>
      </c>
      <c r="C88" s="34"/>
      <c r="D88" s="34"/>
      <c r="E88" s="34"/>
      <c r="F88" s="34"/>
      <c r="G88" s="34"/>
      <c r="H88" s="34"/>
      <c r="I88" s="44">
        <f>I82+I86</f>
        <v>48328.974483550002</v>
      </c>
      <c r="J88" s="22"/>
      <c r="L88" s="18"/>
      <c r="M88" s="19"/>
      <c r="N88" s="20"/>
    </row>
    <row r="89" spans="1:22" ht="15.75" customHeight="1">
      <c r="A89" s="149" t="s">
        <v>185</v>
      </c>
      <c r="B89" s="149"/>
      <c r="C89" s="149"/>
      <c r="D89" s="149"/>
      <c r="E89" s="149"/>
      <c r="F89" s="149"/>
      <c r="G89" s="149"/>
      <c r="H89" s="149"/>
      <c r="I89" s="149"/>
      <c r="J89" s="22"/>
      <c r="L89" s="18"/>
      <c r="M89" s="19"/>
      <c r="N89" s="20"/>
    </row>
    <row r="90" spans="1:22" ht="15.75" customHeight="1">
      <c r="A90" s="8"/>
      <c r="B90" s="163" t="s">
        <v>186</v>
      </c>
      <c r="C90" s="163"/>
      <c r="D90" s="163"/>
      <c r="E90" s="163"/>
      <c r="F90" s="163"/>
      <c r="G90" s="163"/>
      <c r="H90" s="95"/>
      <c r="I90" s="3"/>
      <c r="J90" s="22"/>
      <c r="L90" s="18"/>
      <c r="M90" s="19"/>
      <c r="N90" s="20"/>
    </row>
    <row r="91" spans="1:22" ht="15.75" customHeight="1">
      <c r="A91" s="97"/>
      <c r="B91" s="148" t="s">
        <v>5</v>
      </c>
      <c r="C91" s="148"/>
      <c r="D91" s="148"/>
      <c r="E91" s="148"/>
      <c r="F91" s="148"/>
      <c r="G91" s="148"/>
      <c r="H91" s="23"/>
      <c r="I91" s="5"/>
      <c r="J91" s="22"/>
      <c r="K91" s="22"/>
      <c r="L91" s="22"/>
      <c r="M91" s="19"/>
      <c r="N91" s="20"/>
    </row>
    <row r="92" spans="1:22" ht="15.75" customHeight="1">
      <c r="A92" s="9"/>
      <c r="B92" s="9"/>
      <c r="C92" s="9"/>
      <c r="D92" s="9"/>
      <c r="E92" s="9"/>
      <c r="F92" s="9"/>
      <c r="G92" s="9"/>
      <c r="H92" s="9"/>
      <c r="I92" s="9"/>
      <c r="J92" s="22"/>
      <c r="K92" s="22"/>
      <c r="L92" s="22"/>
      <c r="M92" s="19"/>
      <c r="N92" s="20"/>
    </row>
    <row r="93" spans="1:22" ht="15.75" customHeight="1">
      <c r="A93" s="161" t="s">
        <v>6</v>
      </c>
      <c r="B93" s="161"/>
      <c r="C93" s="161"/>
      <c r="D93" s="161"/>
      <c r="E93" s="161"/>
      <c r="F93" s="161"/>
      <c r="G93" s="161"/>
      <c r="H93" s="161"/>
      <c r="I93" s="161"/>
      <c r="J93" s="22"/>
      <c r="K93" s="22"/>
      <c r="L93" s="22"/>
    </row>
    <row r="94" spans="1:22" ht="15.75" customHeight="1">
      <c r="A94" s="161" t="s">
        <v>7</v>
      </c>
      <c r="B94" s="161"/>
      <c r="C94" s="161"/>
      <c r="D94" s="161"/>
      <c r="E94" s="161"/>
      <c r="F94" s="161"/>
      <c r="G94" s="161"/>
      <c r="H94" s="161"/>
      <c r="I94" s="161"/>
      <c r="J94" s="22"/>
      <c r="K94" s="22"/>
      <c r="L94" s="22"/>
    </row>
    <row r="95" spans="1:22" ht="15.75" customHeight="1">
      <c r="A95" s="149" t="s">
        <v>8</v>
      </c>
      <c r="B95" s="149"/>
      <c r="C95" s="149"/>
      <c r="D95" s="149"/>
      <c r="E95" s="149"/>
      <c r="F95" s="149"/>
      <c r="G95" s="149"/>
      <c r="H95" s="149"/>
      <c r="I95" s="149"/>
    </row>
    <row r="96" spans="1:22" ht="15.75" customHeight="1">
      <c r="A96" s="10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7"/>
    </row>
    <row r="97" spans="1:21" ht="15.75" customHeight="1">
      <c r="A97" s="162" t="s">
        <v>9</v>
      </c>
      <c r="B97" s="162"/>
      <c r="C97" s="162"/>
      <c r="D97" s="162"/>
      <c r="E97" s="162"/>
      <c r="F97" s="162"/>
      <c r="G97" s="162"/>
      <c r="H97" s="162"/>
      <c r="I97" s="162"/>
      <c r="J97" s="24"/>
      <c r="K97" s="24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5.75" customHeight="1">
      <c r="A98" s="4"/>
      <c r="J98" s="3"/>
      <c r="K98" s="3"/>
      <c r="L98" s="3"/>
      <c r="M98" s="3"/>
      <c r="N98" s="3"/>
      <c r="O98" s="3"/>
      <c r="P98" s="3"/>
      <c r="Q98" s="3"/>
      <c r="S98" s="3"/>
      <c r="T98" s="3"/>
      <c r="U98" s="3"/>
    </row>
    <row r="99" spans="1:21" ht="15.75" customHeight="1">
      <c r="A99" s="149" t="s">
        <v>10</v>
      </c>
      <c r="B99" s="149"/>
      <c r="C99" s="151" t="s">
        <v>84</v>
      </c>
      <c r="D99" s="151"/>
      <c r="E99" s="151"/>
      <c r="F99" s="65"/>
      <c r="I99" s="100"/>
      <c r="J99" s="5"/>
      <c r="K99" s="5"/>
      <c r="L99" s="5"/>
      <c r="M99" s="5"/>
      <c r="N99" s="5"/>
      <c r="O99" s="5"/>
      <c r="P99" s="5"/>
      <c r="Q99" s="5"/>
      <c r="R99" s="147"/>
      <c r="S99" s="147"/>
      <c r="T99" s="147"/>
      <c r="U99" s="147"/>
    </row>
    <row r="100" spans="1:21" ht="15.75" customHeight="1">
      <c r="A100" s="97"/>
      <c r="C100" s="148" t="s">
        <v>11</v>
      </c>
      <c r="D100" s="148"/>
      <c r="E100" s="148"/>
      <c r="F100" s="23"/>
      <c r="I100" s="98" t="s">
        <v>12</v>
      </c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ht="15.75" customHeight="1">
      <c r="A101" s="24"/>
      <c r="C101" s="11"/>
      <c r="D101" s="11"/>
      <c r="G101" s="11"/>
      <c r="H101" s="11"/>
    </row>
    <row r="102" spans="1:21" ht="15.75" customHeight="1">
      <c r="A102" s="149" t="s">
        <v>13</v>
      </c>
      <c r="B102" s="149"/>
      <c r="C102" s="150"/>
      <c r="D102" s="150"/>
      <c r="E102" s="150"/>
      <c r="F102" s="66"/>
      <c r="I102" s="100"/>
    </row>
    <row r="103" spans="1:21" ht="15.75" customHeight="1">
      <c r="A103" s="97"/>
      <c r="C103" s="147" t="s">
        <v>11</v>
      </c>
      <c r="D103" s="147"/>
      <c r="E103" s="147"/>
      <c r="F103" s="97"/>
      <c r="I103" s="98" t="s">
        <v>12</v>
      </c>
    </row>
    <row r="104" spans="1:21" ht="15.75" customHeight="1">
      <c r="A104" s="4" t="s">
        <v>14</v>
      </c>
    </row>
    <row r="105" spans="1:21" ht="15" customHeight="1">
      <c r="A105" s="160" t="s">
        <v>15</v>
      </c>
      <c r="B105" s="160"/>
      <c r="C105" s="160"/>
      <c r="D105" s="160"/>
      <c r="E105" s="160"/>
      <c r="F105" s="160"/>
      <c r="G105" s="160"/>
      <c r="H105" s="160"/>
      <c r="I105" s="160"/>
    </row>
    <row r="106" spans="1:21" ht="45" customHeight="1">
      <c r="A106" s="152" t="s">
        <v>16</v>
      </c>
      <c r="B106" s="152"/>
      <c r="C106" s="152"/>
      <c r="D106" s="152"/>
      <c r="E106" s="152"/>
      <c r="F106" s="152"/>
      <c r="G106" s="152"/>
      <c r="H106" s="152"/>
      <c r="I106" s="152"/>
    </row>
    <row r="107" spans="1:21" ht="30" customHeight="1">
      <c r="A107" s="152" t="s">
        <v>17</v>
      </c>
      <c r="B107" s="152"/>
      <c r="C107" s="152"/>
      <c r="D107" s="152"/>
      <c r="E107" s="152"/>
      <c r="F107" s="152"/>
      <c r="G107" s="152"/>
      <c r="H107" s="152"/>
      <c r="I107" s="152"/>
    </row>
    <row r="108" spans="1:21" ht="30" customHeight="1">
      <c r="A108" s="152" t="s">
        <v>21</v>
      </c>
      <c r="B108" s="152"/>
      <c r="C108" s="152"/>
      <c r="D108" s="152"/>
      <c r="E108" s="152"/>
      <c r="F108" s="152"/>
      <c r="G108" s="152"/>
      <c r="H108" s="152"/>
      <c r="I108" s="152"/>
    </row>
    <row r="109" spans="1:21" ht="15" customHeight="1">
      <c r="A109" s="152" t="s">
        <v>20</v>
      </c>
      <c r="B109" s="152"/>
      <c r="C109" s="152"/>
      <c r="D109" s="152"/>
      <c r="E109" s="152"/>
      <c r="F109" s="152"/>
      <c r="G109" s="152"/>
      <c r="H109" s="152"/>
      <c r="I109" s="152"/>
    </row>
  </sheetData>
  <autoFilter ref="I12:I95"/>
  <mergeCells count="31">
    <mergeCell ref="A14:I14"/>
    <mergeCell ref="A3:I3"/>
    <mergeCell ref="A4:I4"/>
    <mergeCell ref="A5:I5"/>
    <mergeCell ref="A8:I8"/>
    <mergeCell ref="A10:I10"/>
    <mergeCell ref="A95:I95"/>
    <mergeCell ref="A15:I15"/>
    <mergeCell ref="A28:I28"/>
    <mergeCell ref="A45:I45"/>
    <mergeCell ref="A57:I57"/>
    <mergeCell ref="A79:I79"/>
    <mergeCell ref="A83:I83"/>
    <mergeCell ref="A89:I89"/>
    <mergeCell ref="B90:G90"/>
    <mergeCell ref="B91:G91"/>
    <mergeCell ref="A93:I93"/>
    <mergeCell ref="A94:I94"/>
    <mergeCell ref="A109:I109"/>
    <mergeCell ref="A97:I97"/>
    <mergeCell ref="A99:B99"/>
    <mergeCell ref="C99:E99"/>
    <mergeCell ref="R99:U99"/>
    <mergeCell ref="C100:E100"/>
    <mergeCell ref="A102:B102"/>
    <mergeCell ref="C102:E102"/>
    <mergeCell ref="C103:E103"/>
    <mergeCell ref="A105:I105"/>
    <mergeCell ref="A106:I106"/>
    <mergeCell ref="A107:I107"/>
    <mergeCell ref="A108:I10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29" t="s">
        <v>81</v>
      </c>
      <c r="I1" s="28"/>
    </row>
    <row r="2" spans="1:15" s="25" customFormat="1" ht="15.75" customHeight="1">
      <c r="A2" s="25" t="s">
        <v>59</v>
      </c>
      <c r="J2" s="1"/>
      <c r="K2" s="1"/>
      <c r="L2" s="1"/>
      <c r="M2" s="1"/>
    </row>
    <row r="3" spans="1:15" s="25" customFormat="1" ht="15.75">
      <c r="A3" s="142" t="s">
        <v>147</v>
      </c>
      <c r="B3" s="142"/>
      <c r="C3" s="142"/>
      <c r="D3" s="142"/>
      <c r="E3" s="142"/>
      <c r="F3" s="142"/>
      <c r="G3" s="142"/>
      <c r="H3" s="142"/>
      <c r="I3" s="142"/>
      <c r="J3" s="2"/>
      <c r="K3" s="2"/>
      <c r="L3" s="2"/>
      <c r="M3" s="2"/>
    </row>
    <row r="4" spans="1:15" s="25" customFormat="1" ht="31.5" customHeight="1">
      <c r="A4" s="143" t="s">
        <v>89</v>
      </c>
      <c r="B4" s="143"/>
      <c r="C4" s="143"/>
      <c r="D4" s="143"/>
      <c r="E4" s="143"/>
      <c r="F4" s="143"/>
      <c r="G4" s="143"/>
      <c r="H4" s="143"/>
      <c r="I4" s="143"/>
      <c r="J4" s="3"/>
      <c r="K4" s="3"/>
      <c r="L4" s="3"/>
    </row>
    <row r="5" spans="1:15" s="25" customFormat="1" ht="15.75" customHeight="1">
      <c r="A5" s="142" t="s">
        <v>187</v>
      </c>
      <c r="B5" s="144"/>
      <c r="C5" s="144"/>
      <c r="D5" s="144"/>
      <c r="E5" s="144"/>
      <c r="F5" s="144"/>
      <c r="G5" s="144"/>
      <c r="H5" s="144"/>
      <c r="I5" s="144"/>
    </row>
    <row r="6" spans="1:15" s="25" customFormat="1" ht="15.75">
      <c r="A6" s="2"/>
      <c r="B6" s="96"/>
      <c r="C6" s="96"/>
      <c r="D6" s="96"/>
      <c r="E6" s="96"/>
      <c r="F6" s="96"/>
      <c r="G6" s="96"/>
      <c r="H6" s="96"/>
      <c r="I6" s="30">
        <v>42886</v>
      </c>
      <c r="J6" s="2"/>
      <c r="K6" s="2"/>
      <c r="L6" s="2"/>
      <c r="M6" s="2"/>
    </row>
    <row r="7" spans="1:15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45" t="s">
        <v>188</v>
      </c>
      <c r="B8" s="145"/>
      <c r="C8" s="145"/>
      <c r="D8" s="145"/>
      <c r="E8" s="145"/>
      <c r="F8" s="145"/>
      <c r="G8" s="145"/>
      <c r="H8" s="145"/>
      <c r="I8" s="145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46" t="s">
        <v>228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108" t="s">
        <v>0</v>
      </c>
      <c r="B12" s="108" t="s">
        <v>156</v>
      </c>
      <c r="C12" s="108" t="s">
        <v>1</v>
      </c>
      <c r="D12" s="108" t="s">
        <v>18</v>
      </c>
      <c r="E12" s="108" t="s">
        <v>19</v>
      </c>
      <c r="F12" s="108"/>
      <c r="G12" s="108" t="s">
        <v>22</v>
      </c>
      <c r="H12" s="108"/>
      <c r="I12" s="108" t="s">
        <v>2</v>
      </c>
    </row>
    <row r="13" spans="1:15" s="49" customFormat="1" ht="12.75">
      <c r="A13" s="109">
        <v>1</v>
      </c>
      <c r="B13" s="109">
        <v>2</v>
      </c>
      <c r="C13" s="109">
        <v>3</v>
      </c>
      <c r="D13" s="110">
        <v>4</v>
      </c>
      <c r="E13" s="109">
        <v>5</v>
      </c>
      <c r="F13" s="109"/>
      <c r="G13" s="109">
        <v>5</v>
      </c>
      <c r="H13" s="109"/>
      <c r="I13" s="109">
        <v>6</v>
      </c>
      <c r="J13" s="111"/>
      <c r="K13" s="111"/>
      <c r="L13" s="111"/>
      <c r="M13" s="111"/>
    </row>
    <row r="14" spans="1:15" ht="15.75" customHeight="1">
      <c r="A14" s="137" t="s">
        <v>157</v>
      </c>
      <c r="B14" s="138"/>
      <c r="C14" s="138"/>
      <c r="D14" s="138"/>
      <c r="E14" s="138"/>
      <c r="F14" s="138"/>
      <c r="G14" s="138"/>
      <c r="H14" s="138"/>
      <c r="I14" s="138"/>
      <c r="J14" s="112"/>
      <c r="K14" s="112"/>
      <c r="L14" s="6"/>
      <c r="M14" s="6"/>
      <c r="N14" s="6"/>
      <c r="O14" s="6"/>
    </row>
    <row r="15" spans="1:15" ht="15.75" customHeight="1">
      <c r="A15" s="134" t="s">
        <v>3</v>
      </c>
      <c r="B15" s="135"/>
      <c r="C15" s="135"/>
      <c r="D15" s="135"/>
      <c r="E15" s="135"/>
      <c r="F15" s="135"/>
      <c r="G15" s="135"/>
      <c r="H15" s="135"/>
      <c r="I15" s="136"/>
      <c r="J15" s="6"/>
      <c r="K15" s="6"/>
      <c r="L15" s="6"/>
      <c r="M15" s="6"/>
    </row>
    <row r="16" spans="1:15" ht="15.75" customHeight="1">
      <c r="A16" s="26">
        <v>1</v>
      </c>
      <c r="B16" s="52" t="s">
        <v>82</v>
      </c>
      <c r="C16" s="68" t="s">
        <v>90</v>
      </c>
      <c r="D16" s="52" t="s">
        <v>113</v>
      </c>
      <c r="E16" s="69">
        <v>59.9</v>
      </c>
      <c r="F16" s="70">
        <f>SUM(E16*156/100)</f>
        <v>93.444000000000003</v>
      </c>
      <c r="G16" s="70">
        <v>230</v>
      </c>
      <c r="H16" s="71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87</v>
      </c>
      <c r="C17" s="68" t="s">
        <v>90</v>
      </c>
      <c r="D17" s="52" t="s">
        <v>114</v>
      </c>
      <c r="E17" s="69">
        <v>239.4</v>
      </c>
      <c r="F17" s="70">
        <f>SUM(E17*104/100)</f>
        <v>248.97600000000003</v>
      </c>
      <c r="G17" s="70">
        <v>230</v>
      </c>
      <c r="H17" s="71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88</v>
      </c>
      <c r="C18" s="68" t="s">
        <v>90</v>
      </c>
      <c r="D18" s="52" t="s">
        <v>115</v>
      </c>
      <c r="E18" s="69">
        <f>SUM(E16+E17)</f>
        <v>299.3</v>
      </c>
      <c r="F18" s="70">
        <f>SUM(E18*24/100)</f>
        <v>71.832000000000008</v>
      </c>
      <c r="G18" s="70">
        <v>661.67</v>
      </c>
      <c r="H18" s="71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customHeight="1">
      <c r="A19" s="26">
        <v>4</v>
      </c>
      <c r="B19" s="52" t="s">
        <v>91</v>
      </c>
      <c r="C19" s="68" t="s">
        <v>92</v>
      </c>
      <c r="D19" s="52" t="s">
        <v>93</v>
      </c>
      <c r="E19" s="69">
        <v>25.6</v>
      </c>
      <c r="F19" s="70">
        <f>SUM(E19/10)</f>
        <v>2.56</v>
      </c>
      <c r="G19" s="70">
        <v>223.17</v>
      </c>
      <c r="H19" s="71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customHeight="1">
      <c r="A20" s="26">
        <v>5</v>
      </c>
      <c r="B20" s="52" t="s">
        <v>94</v>
      </c>
      <c r="C20" s="68" t="s">
        <v>90</v>
      </c>
      <c r="D20" s="52" t="s">
        <v>40</v>
      </c>
      <c r="E20" s="69">
        <v>10.5</v>
      </c>
      <c r="F20" s="70">
        <f>SUM(E20*2/100)</f>
        <v>0.21</v>
      </c>
      <c r="G20" s="70">
        <v>285.76</v>
      </c>
      <c r="H20" s="71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customHeight="1">
      <c r="A21" s="26">
        <v>6</v>
      </c>
      <c r="B21" s="52" t="s">
        <v>95</v>
      </c>
      <c r="C21" s="68" t="s">
        <v>90</v>
      </c>
      <c r="D21" s="52" t="s">
        <v>40</v>
      </c>
      <c r="E21" s="69">
        <v>2.7</v>
      </c>
      <c r="F21" s="70">
        <f>SUM(E21*2/100)</f>
        <v>5.4000000000000006E-2</v>
      </c>
      <c r="G21" s="70">
        <v>283.44</v>
      </c>
      <c r="H21" s="71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customHeight="1">
      <c r="A22" s="26">
        <v>7</v>
      </c>
      <c r="B22" s="52" t="s">
        <v>96</v>
      </c>
      <c r="C22" s="68" t="s">
        <v>51</v>
      </c>
      <c r="D22" s="52" t="s">
        <v>93</v>
      </c>
      <c r="E22" s="69">
        <v>357</v>
      </c>
      <c r="F22" s="70">
        <f t="shared" ref="F22:F25" si="2">SUM(E22/100)</f>
        <v>3.57</v>
      </c>
      <c r="G22" s="70">
        <v>353.14</v>
      </c>
      <c r="H22" s="71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customHeight="1">
      <c r="A23" s="26">
        <v>8</v>
      </c>
      <c r="B23" s="52" t="s">
        <v>97</v>
      </c>
      <c r="C23" s="68" t="s">
        <v>51</v>
      </c>
      <c r="D23" s="52" t="s">
        <v>93</v>
      </c>
      <c r="E23" s="72">
        <v>38.64</v>
      </c>
      <c r="F23" s="70">
        <f t="shared" si="2"/>
        <v>0.38640000000000002</v>
      </c>
      <c r="G23" s="70">
        <v>58.08</v>
      </c>
      <c r="H23" s="71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customHeight="1">
      <c r="A24" s="26">
        <v>9</v>
      </c>
      <c r="B24" s="52" t="s">
        <v>98</v>
      </c>
      <c r="C24" s="68" t="s">
        <v>51</v>
      </c>
      <c r="D24" s="53" t="s">
        <v>93</v>
      </c>
      <c r="E24" s="17">
        <v>15</v>
      </c>
      <c r="F24" s="73">
        <f t="shared" si="2"/>
        <v>0.15</v>
      </c>
      <c r="G24" s="70">
        <v>511.12</v>
      </c>
      <c r="H24" s="71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customHeight="1">
      <c r="A25" s="26">
        <v>10</v>
      </c>
      <c r="B25" s="52" t="s">
        <v>99</v>
      </c>
      <c r="C25" s="68" t="s">
        <v>51</v>
      </c>
      <c r="D25" s="52" t="s">
        <v>93</v>
      </c>
      <c r="E25" s="74">
        <v>6.38</v>
      </c>
      <c r="F25" s="70">
        <f t="shared" si="2"/>
        <v>6.3799999999999996E-2</v>
      </c>
      <c r="G25" s="70">
        <v>638.04999999999995</v>
      </c>
      <c r="H25" s="71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11</v>
      </c>
      <c r="B26" s="52" t="s">
        <v>61</v>
      </c>
      <c r="C26" s="68" t="s">
        <v>30</v>
      </c>
      <c r="D26" s="52" t="s">
        <v>80</v>
      </c>
      <c r="E26" s="69">
        <v>0.1</v>
      </c>
      <c r="F26" s="70">
        <f>SUM(E26*365)</f>
        <v>36.5</v>
      </c>
      <c r="G26" s="70">
        <v>192.84</v>
      </c>
      <c r="H26" s="71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12</v>
      </c>
      <c r="B27" s="77" t="s">
        <v>23</v>
      </c>
      <c r="C27" s="68" t="s">
        <v>24</v>
      </c>
      <c r="D27" s="52" t="s">
        <v>80</v>
      </c>
      <c r="E27" s="69">
        <v>3181</v>
      </c>
      <c r="F27" s="70">
        <f>SUM(E27*12)</f>
        <v>38172</v>
      </c>
      <c r="G27" s="70">
        <v>2.67</v>
      </c>
      <c r="H27" s="71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34" t="s">
        <v>158</v>
      </c>
      <c r="B28" s="135"/>
      <c r="C28" s="135"/>
      <c r="D28" s="135"/>
      <c r="E28" s="135"/>
      <c r="F28" s="135"/>
      <c r="G28" s="135"/>
      <c r="H28" s="135"/>
      <c r="I28" s="136"/>
      <c r="J28" s="21"/>
      <c r="K28" s="6"/>
      <c r="L28" s="6"/>
      <c r="M28" s="6"/>
    </row>
    <row r="29" spans="1:13" ht="15.75" customHeight="1">
      <c r="A29" s="115"/>
      <c r="B29" s="63" t="s">
        <v>159</v>
      </c>
      <c r="C29" s="116"/>
      <c r="D29" s="116"/>
      <c r="E29" s="116"/>
      <c r="F29" s="116"/>
      <c r="G29" s="116"/>
      <c r="H29" s="116"/>
      <c r="I29" s="116"/>
      <c r="J29" s="21"/>
      <c r="K29" s="6"/>
      <c r="L29" s="6"/>
      <c r="M29" s="6"/>
    </row>
    <row r="30" spans="1:13" ht="15.75" customHeight="1">
      <c r="A30" s="113">
        <v>13</v>
      </c>
      <c r="B30" s="52" t="s">
        <v>160</v>
      </c>
      <c r="C30" s="68" t="s">
        <v>100</v>
      </c>
      <c r="D30" s="52" t="s">
        <v>163</v>
      </c>
      <c r="E30" s="70">
        <v>210.2</v>
      </c>
      <c r="F30" s="70">
        <f>SUM(E30*52/1000)</f>
        <v>10.930399999999999</v>
      </c>
      <c r="G30" s="70">
        <v>204.44</v>
      </c>
      <c r="H30" s="71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customHeight="1">
      <c r="A31" s="26">
        <v>14</v>
      </c>
      <c r="B31" s="52" t="s">
        <v>161</v>
      </c>
      <c r="C31" s="68" t="s">
        <v>100</v>
      </c>
      <c r="D31" s="52" t="s">
        <v>164</v>
      </c>
      <c r="E31" s="70">
        <v>92</v>
      </c>
      <c r="F31" s="70">
        <f>SUM(E31*78/1000)</f>
        <v>7.1760000000000002</v>
      </c>
      <c r="G31" s="70">
        <v>339.21</v>
      </c>
      <c r="H31" s="71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customHeight="1">
      <c r="A32" s="26">
        <v>15</v>
      </c>
      <c r="B32" s="52" t="s">
        <v>26</v>
      </c>
      <c r="C32" s="68" t="s">
        <v>100</v>
      </c>
      <c r="D32" s="52" t="s">
        <v>52</v>
      </c>
      <c r="E32" s="70">
        <f>E30</f>
        <v>210.2</v>
      </c>
      <c r="F32" s="70">
        <f>SUM(E32/1000)</f>
        <v>0.2102</v>
      </c>
      <c r="G32" s="70">
        <v>3961.23</v>
      </c>
      <c r="H32" s="71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customHeight="1">
      <c r="A33" s="26">
        <v>16</v>
      </c>
      <c r="B33" s="52" t="s">
        <v>162</v>
      </c>
      <c r="C33" s="68" t="s">
        <v>28</v>
      </c>
      <c r="D33" s="52" t="s">
        <v>60</v>
      </c>
      <c r="E33" s="76">
        <f>1/3</f>
        <v>0.33333333333333331</v>
      </c>
      <c r="F33" s="70">
        <f>155/3</f>
        <v>51.666666666666664</v>
      </c>
      <c r="G33" s="70">
        <v>74.349999999999994</v>
      </c>
      <c r="H33" s="71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62</v>
      </c>
      <c r="C34" s="68" t="s">
        <v>30</v>
      </c>
      <c r="D34" s="52" t="s">
        <v>63</v>
      </c>
      <c r="E34" s="69"/>
      <c r="F34" s="70">
        <v>1</v>
      </c>
      <c r="G34" s="70">
        <v>250.92</v>
      </c>
      <c r="H34" s="71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18"/>
      <c r="B35" s="52" t="s">
        <v>119</v>
      </c>
      <c r="C35" s="68" t="s">
        <v>29</v>
      </c>
      <c r="D35" s="52" t="s">
        <v>63</v>
      </c>
      <c r="E35" s="69"/>
      <c r="F35" s="70">
        <v>1</v>
      </c>
      <c r="G35" s="70">
        <v>1490.31</v>
      </c>
      <c r="H35" s="71">
        <f t="shared" si="6"/>
        <v>1.49031</v>
      </c>
      <c r="I35" s="12">
        <v>0</v>
      </c>
      <c r="J35" s="21"/>
      <c r="K35" s="6"/>
      <c r="L35" s="6"/>
      <c r="M35" s="6"/>
    </row>
    <row r="36" spans="1:14" ht="15.75" hidden="1" customHeight="1">
      <c r="A36" s="115"/>
      <c r="B36" s="63" t="s">
        <v>4</v>
      </c>
      <c r="C36" s="117"/>
      <c r="D36" s="117"/>
      <c r="E36" s="117"/>
      <c r="F36" s="117"/>
      <c r="G36" s="117"/>
      <c r="H36" s="117"/>
      <c r="I36" s="117"/>
      <c r="J36" s="21"/>
      <c r="K36" s="6"/>
      <c r="L36" s="6"/>
      <c r="M36" s="6"/>
    </row>
    <row r="37" spans="1:14" ht="15.75" hidden="1" customHeight="1">
      <c r="A37" s="113">
        <v>6</v>
      </c>
      <c r="B37" s="52" t="s">
        <v>25</v>
      </c>
      <c r="C37" s="68" t="s">
        <v>29</v>
      </c>
      <c r="D37" s="52"/>
      <c r="E37" s="69"/>
      <c r="F37" s="70">
        <v>3</v>
      </c>
      <c r="G37" s="70">
        <v>2003</v>
      </c>
      <c r="H37" s="71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hidden="1" customHeight="1">
      <c r="A38" s="26">
        <v>7</v>
      </c>
      <c r="B38" s="52" t="s">
        <v>189</v>
      </c>
      <c r="C38" s="68" t="s">
        <v>27</v>
      </c>
      <c r="D38" s="52" t="s">
        <v>122</v>
      </c>
      <c r="E38" s="69">
        <v>92</v>
      </c>
      <c r="F38" s="70">
        <f>E38*30/1000</f>
        <v>2.76</v>
      </c>
      <c r="G38" s="70">
        <v>2757.78</v>
      </c>
      <c r="H38" s="71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123</v>
      </c>
      <c r="C39" s="68" t="s">
        <v>124</v>
      </c>
      <c r="D39" s="52" t="s">
        <v>63</v>
      </c>
      <c r="E39" s="69"/>
      <c r="F39" s="70">
        <v>52</v>
      </c>
      <c r="G39" s="70">
        <v>239.09</v>
      </c>
      <c r="H39" s="71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hidden="1" customHeight="1">
      <c r="A40" s="26"/>
      <c r="B40" s="52" t="s">
        <v>64</v>
      </c>
      <c r="C40" s="68" t="s">
        <v>27</v>
      </c>
      <c r="D40" s="52" t="s">
        <v>125</v>
      </c>
      <c r="E40" s="70">
        <f>E38</f>
        <v>92</v>
      </c>
      <c r="F40" s="70">
        <f>SUM(E40*155/1000)</f>
        <v>14.26</v>
      </c>
      <c r="G40" s="70">
        <v>460.02</v>
      </c>
      <c r="H40" s="71">
        <f t="shared" si="8"/>
        <v>6.5598852000000001</v>
      </c>
      <c r="I40" s="12">
        <f t="shared" si="9"/>
        <v>1093.3141999999998</v>
      </c>
      <c r="J40" s="22"/>
    </row>
    <row r="41" spans="1:14" ht="48" hidden="1" customHeight="1">
      <c r="A41" s="26">
        <v>9</v>
      </c>
      <c r="B41" s="52" t="s">
        <v>79</v>
      </c>
      <c r="C41" s="68" t="s">
        <v>100</v>
      </c>
      <c r="D41" s="52" t="s">
        <v>190</v>
      </c>
      <c r="E41" s="70">
        <v>92</v>
      </c>
      <c r="F41" s="70">
        <f>SUM(E41*35/1000)</f>
        <v>3.22</v>
      </c>
      <c r="G41" s="70">
        <v>7611.16</v>
      </c>
      <c r="H41" s="71">
        <f t="shared" si="8"/>
        <v>24.507935199999999</v>
      </c>
      <c r="I41" s="12">
        <f t="shared" si="9"/>
        <v>4084.655866666667</v>
      </c>
      <c r="J41" s="22"/>
    </row>
    <row r="42" spans="1:14" ht="15.75" hidden="1" customHeight="1">
      <c r="A42" s="26">
        <v>10</v>
      </c>
      <c r="B42" s="52" t="s">
        <v>127</v>
      </c>
      <c r="C42" s="68" t="s">
        <v>100</v>
      </c>
      <c r="D42" s="52" t="s">
        <v>191</v>
      </c>
      <c r="E42" s="70">
        <f>E38</f>
        <v>92</v>
      </c>
      <c r="F42" s="70">
        <f>SUM(E42*20/1000)</f>
        <v>1.84</v>
      </c>
      <c r="G42" s="70">
        <v>562.25</v>
      </c>
      <c r="H42" s="71">
        <f t="shared" si="8"/>
        <v>1.03454</v>
      </c>
      <c r="I42" s="12">
        <f>F42/6*G42</f>
        <v>172.42333333333335</v>
      </c>
      <c r="J42" s="22"/>
    </row>
    <row r="43" spans="1:14" ht="15.75" hidden="1" customHeight="1">
      <c r="A43" s="26">
        <v>11</v>
      </c>
      <c r="B43" s="52" t="s">
        <v>66</v>
      </c>
      <c r="C43" s="68" t="s">
        <v>30</v>
      </c>
      <c r="D43" s="52"/>
      <c r="E43" s="69"/>
      <c r="F43" s="70">
        <v>0.8</v>
      </c>
      <c r="G43" s="70">
        <v>992.97</v>
      </c>
      <c r="H43" s="71">
        <f t="shared" si="8"/>
        <v>0.79437600000000008</v>
      </c>
      <c r="I43" s="12">
        <f>F43/6*G43</f>
        <v>132.39600000000002</v>
      </c>
      <c r="J43" s="22"/>
    </row>
    <row r="44" spans="1:14" ht="15.75" customHeight="1">
      <c r="A44" s="153" t="s">
        <v>141</v>
      </c>
      <c r="B44" s="154"/>
      <c r="C44" s="154"/>
      <c r="D44" s="154"/>
      <c r="E44" s="154"/>
      <c r="F44" s="154"/>
      <c r="G44" s="154"/>
      <c r="H44" s="154"/>
      <c r="I44" s="155"/>
      <c r="J44" s="22"/>
      <c r="L44" s="18"/>
      <c r="M44" s="19"/>
      <c r="N44" s="20"/>
    </row>
    <row r="45" spans="1:14" ht="15.75" customHeight="1">
      <c r="A45" s="26">
        <v>17</v>
      </c>
      <c r="B45" s="33" t="s">
        <v>128</v>
      </c>
      <c r="C45" s="40" t="s">
        <v>100</v>
      </c>
      <c r="D45" s="33" t="s">
        <v>40</v>
      </c>
      <c r="E45" s="123">
        <v>1114.25</v>
      </c>
      <c r="F45" s="32">
        <f>SUM(E45*2/1000)</f>
        <v>2.2284999999999999</v>
      </c>
      <c r="G45" s="35">
        <v>1193.71</v>
      </c>
      <c r="H45" s="124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customHeight="1">
      <c r="A46" s="26">
        <v>18</v>
      </c>
      <c r="B46" s="33" t="s">
        <v>34</v>
      </c>
      <c r="C46" s="40" t="s">
        <v>100</v>
      </c>
      <c r="D46" s="33" t="s">
        <v>40</v>
      </c>
      <c r="E46" s="123">
        <v>2631</v>
      </c>
      <c r="F46" s="32">
        <f>SUM(E46*2/1000)</f>
        <v>5.2619999999999996</v>
      </c>
      <c r="G46" s="35">
        <v>1803.69</v>
      </c>
      <c r="H46" s="124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customHeight="1">
      <c r="A47" s="26">
        <v>19</v>
      </c>
      <c r="B47" s="33" t="s">
        <v>35</v>
      </c>
      <c r="C47" s="40" t="s">
        <v>100</v>
      </c>
      <c r="D47" s="33" t="s">
        <v>40</v>
      </c>
      <c r="E47" s="123">
        <v>1953.8</v>
      </c>
      <c r="F47" s="32">
        <f>SUM(E47*2/1000)</f>
        <v>3.9076</v>
      </c>
      <c r="G47" s="35">
        <v>1243.43</v>
      </c>
      <c r="H47" s="124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customHeight="1">
      <c r="A48" s="26">
        <v>20</v>
      </c>
      <c r="B48" s="33" t="s">
        <v>31</v>
      </c>
      <c r="C48" s="40" t="s">
        <v>32</v>
      </c>
      <c r="D48" s="33" t="s">
        <v>40</v>
      </c>
      <c r="E48" s="123">
        <v>91.84</v>
      </c>
      <c r="F48" s="32">
        <f>SUM(E48*2/100)</f>
        <v>1.8368</v>
      </c>
      <c r="G48" s="125">
        <v>1172.4100000000001</v>
      </c>
      <c r="H48" s="124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customHeight="1">
      <c r="A49" s="26">
        <v>21</v>
      </c>
      <c r="B49" s="33" t="s">
        <v>55</v>
      </c>
      <c r="C49" s="40" t="s">
        <v>100</v>
      </c>
      <c r="D49" s="33" t="s">
        <v>165</v>
      </c>
      <c r="E49" s="123">
        <v>3181</v>
      </c>
      <c r="F49" s="32">
        <f>SUM(E49*5/1000)</f>
        <v>15.904999999999999</v>
      </c>
      <c r="G49" s="35">
        <v>1083.69</v>
      </c>
      <c r="H49" s="124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13</v>
      </c>
      <c r="B50" s="33" t="s">
        <v>129</v>
      </c>
      <c r="C50" s="40" t="s">
        <v>100</v>
      </c>
      <c r="D50" s="33" t="s">
        <v>40</v>
      </c>
      <c r="E50" s="123">
        <v>3181</v>
      </c>
      <c r="F50" s="32">
        <f>SUM(E50*2/1000)</f>
        <v>6.3620000000000001</v>
      </c>
      <c r="G50" s="35">
        <v>1591.6</v>
      </c>
      <c r="H50" s="124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13</v>
      </c>
      <c r="B51" s="33" t="s">
        <v>130</v>
      </c>
      <c r="C51" s="40" t="s">
        <v>36</v>
      </c>
      <c r="D51" s="33" t="s">
        <v>40</v>
      </c>
      <c r="E51" s="123">
        <v>20</v>
      </c>
      <c r="F51" s="32">
        <f>SUM(E51*2/100)</f>
        <v>0.4</v>
      </c>
      <c r="G51" s="35">
        <v>4058.32</v>
      </c>
      <c r="H51" s="124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14</v>
      </c>
      <c r="B52" s="33" t="s">
        <v>37</v>
      </c>
      <c r="C52" s="40" t="s">
        <v>38</v>
      </c>
      <c r="D52" s="33" t="s">
        <v>40</v>
      </c>
      <c r="E52" s="123">
        <v>1</v>
      </c>
      <c r="F52" s="32">
        <v>0.02</v>
      </c>
      <c r="G52" s="35">
        <v>7412.92</v>
      </c>
      <c r="H52" s="124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customHeight="1">
      <c r="A53" s="26">
        <v>22</v>
      </c>
      <c r="B53" s="33" t="s">
        <v>131</v>
      </c>
      <c r="C53" s="40" t="s">
        <v>101</v>
      </c>
      <c r="D53" s="33" t="s">
        <v>67</v>
      </c>
      <c r="E53" s="123">
        <v>70</v>
      </c>
      <c r="F53" s="32">
        <f>E53*3</f>
        <v>210</v>
      </c>
      <c r="G53" s="35">
        <v>185.08</v>
      </c>
      <c r="H53" s="124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customHeight="1">
      <c r="A54" s="26">
        <v>23</v>
      </c>
      <c r="B54" s="33" t="s">
        <v>39</v>
      </c>
      <c r="C54" s="40" t="s">
        <v>101</v>
      </c>
      <c r="D54" s="33" t="s">
        <v>67</v>
      </c>
      <c r="E54" s="123">
        <v>140</v>
      </c>
      <c r="F54" s="32">
        <f>E54*3</f>
        <v>420</v>
      </c>
      <c r="G54" s="36">
        <v>86.15</v>
      </c>
      <c r="H54" s="124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53" t="s">
        <v>142</v>
      </c>
      <c r="B55" s="156"/>
      <c r="C55" s="156"/>
      <c r="D55" s="156"/>
      <c r="E55" s="156"/>
      <c r="F55" s="156"/>
      <c r="G55" s="156"/>
      <c r="H55" s="156"/>
      <c r="I55" s="157"/>
      <c r="J55" s="22"/>
      <c r="L55" s="18"/>
      <c r="M55" s="19"/>
      <c r="N55" s="20"/>
    </row>
    <row r="56" spans="1:14" ht="15.75" hidden="1" customHeight="1">
      <c r="A56" s="26"/>
      <c r="B56" s="93" t="s">
        <v>41</v>
      </c>
      <c r="C56" s="68"/>
      <c r="D56" s="52"/>
      <c r="E56" s="69"/>
      <c r="F56" s="70"/>
      <c r="G56" s="70"/>
      <c r="H56" s="71"/>
      <c r="I56" s="12"/>
      <c r="J56" s="22"/>
      <c r="L56" s="18"/>
      <c r="M56" s="19"/>
      <c r="N56" s="20"/>
    </row>
    <row r="57" spans="1:14" ht="31.5" hidden="1" customHeight="1">
      <c r="A57" s="26">
        <v>24</v>
      </c>
      <c r="B57" s="52" t="s">
        <v>132</v>
      </c>
      <c r="C57" s="68" t="s">
        <v>90</v>
      </c>
      <c r="D57" s="52" t="s">
        <v>133</v>
      </c>
      <c r="E57" s="69">
        <v>111.2</v>
      </c>
      <c r="F57" s="70">
        <f>SUM(E57*6/100)</f>
        <v>6.6720000000000006</v>
      </c>
      <c r="G57" s="12">
        <v>2431.1799999999998</v>
      </c>
      <c r="H57" s="71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15.75" hidden="1" customHeight="1">
      <c r="A58" s="26"/>
      <c r="B58" s="79" t="s">
        <v>135</v>
      </c>
      <c r="C58" s="78" t="s">
        <v>136</v>
      </c>
      <c r="D58" s="13" t="s">
        <v>63</v>
      </c>
      <c r="E58" s="80"/>
      <c r="F58" s="81">
        <v>3</v>
      </c>
      <c r="G58" s="12">
        <v>1582.05</v>
      </c>
      <c r="H58" s="71">
        <f>SUM(F58*G58/1000)</f>
        <v>4.7461499999999992</v>
      </c>
      <c r="I58" s="12">
        <v>0</v>
      </c>
      <c r="J58" s="22"/>
      <c r="L58" s="18"/>
      <c r="M58" s="19"/>
      <c r="N58" s="20"/>
    </row>
    <row r="59" spans="1:14" ht="15.75" hidden="1" customHeight="1">
      <c r="A59" s="26"/>
      <c r="B59" s="94" t="s">
        <v>42</v>
      </c>
      <c r="C59" s="78"/>
      <c r="D59" s="79"/>
      <c r="E59" s="80"/>
      <c r="F59" s="81"/>
      <c r="G59" s="12"/>
      <c r="H59" s="82"/>
      <c r="I59" s="12"/>
      <c r="J59" s="22"/>
      <c r="L59" s="18"/>
      <c r="M59" s="19"/>
      <c r="N59" s="20"/>
    </row>
    <row r="60" spans="1:14" ht="15.75" hidden="1" customHeight="1">
      <c r="A60" s="26"/>
      <c r="B60" s="79" t="s">
        <v>43</v>
      </c>
      <c r="C60" s="78" t="s">
        <v>51</v>
      </c>
      <c r="D60" s="79" t="s">
        <v>52</v>
      </c>
      <c r="E60" s="80">
        <v>222.85</v>
      </c>
      <c r="F60" s="81">
        <v>8.9</v>
      </c>
      <c r="G60" s="12">
        <v>1040.8399999999999</v>
      </c>
      <c r="H60" s="82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94" t="s">
        <v>44</v>
      </c>
      <c r="C61" s="78"/>
      <c r="D61" s="79"/>
      <c r="E61" s="80"/>
      <c r="F61" s="83"/>
      <c r="G61" s="83"/>
      <c r="H61" s="81" t="s">
        <v>110</v>
      </c>
      <c r="I61" s="12"/>
      <c r="J61" s="22"/>
      <c r="L61" s="18"/>
      <c r="M61" s="19"/>
      <c r="N61" s="20"/>
    </row>
    <row r="62" spans="1:14" ht="15.75" hidden="1" customHeight="1">
      <c r="A62" s="26">
        <v>17</v>
      </c>
      <c r="B62" s="13" t="s">
        <v>45</v>
      </c>
      <c r="C62" s="15" t="s">
        <v>101</v>
      </c>
      <c r="D62" s="13" t="s">
        <v>63</v>
      </c>
      <c r="E62" s="17">
        <v>4</v>
      </c>
      <c r="F62" s="70">
        <f>E62</f>
        <v>4</v>
      </c>
      <c r="G62" s="12">
        <v>291.68</v>
      </c>
      <c r="H62" s="84">
        <f t="shared" ref="H62:H70" si="13">SUM(F62*G62/1000)</f>
        <v>1.16672</v>
      </c>
      <c r="I62" s="12">
        <v>0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46</v>
      </c>
      <c r="C63" s="15" t="s">
        <v>101</v>
      </c>
      <c r="D63" s="13" t="s">
        <v>63</v>
      </c>
      <c r="E63" s="17">
        <v>4</v>
      </c>
      <c r="F63" s="70">
        <f>E63</f>
        <v>4</v>
      </c>
      <c r="G63" s="12">
        <v>100.01</v>
      </c>
      <c r="H63" s="84">
        <f t="shared" si="13"/>
        <v>0.40004000000000001</v>
      </c>
      <c r="I63" s="12">
        <v>0</v>
      </c>
      <c r="J63" s="22"/>
      <c r="L63" s="18"/>
      <c r="M63" s="19"/>
      <c r="N63" s="20"/>
    </row>
    <row r="64" spans="1:14" ht="15.75" customHeight="1">
      <c r="A64" s="26">
        <v>24</v>
      </c>
      <c r="B64" s="13" t="s">
        <v>47</v>
      </c>
      <c r="C64" s="15" t="s">
        <v>102</v>
      </c>
      <c r="D64" s="13" t="s">
        <v>52</v>
      </c>
      <c r="E64" s="69">
        <v>12702</v>
      </c>
      <c r="F64" s="12">
        <f>SUM(E64/100)</f>
        <v>127.02</v>
      </c>
      <c r="G64" s="12">
        <v>278.24</v>
      </c>
      <c r="H64" s="84">
        <f t="shared" si="13"/>
        <v>35.342044800000004</v>
      </c>
      <c r="I64" s="12">
        <f>F64*G64</f>
        <v>35342.044800000003</v>
      </c>
      <c r="J64" s="22"/>
      <c r="L64" s="18"/>
      <c r="M64" s="19"/>
      <c r="N64" s="20"/>
    </row>
    <row r="65" spans="1:14" ht="15.75" customHeight="1">
      <c r="A65" s="26">
        <v>25</v>
      </c>
      <c r="B65" s="13" t="s">
        <v>48</v>
      </c>
      <c r="C65" s="15" t="s">
        <v>103</v>
      </c>
      <c r="D65" s="13"/>
      <c r="E65" s="69">
        <v>12702</v>
      </c>
      <c r="F65" s="12">
        <f>SUM(E65/1000)</f>
        <v>12.702</v>
      </c>
      <c r="G65" s="12">
        <v>216.68</v>
      </c>
      <c r="H65" s="84">
        <f t="shared" si="13"/>
        <v>2.7522693600000001</v>
      </c>
      <c r="I65" s="12">
        <f t="shared" ref="I65:I68" si="14">F65*G65</f>
        <v>2752.2693600000002</v>
      </c>
      <c r="J65" s="22"/>
      <c r="L65" s="18"/>
      <c r="M65" s="19"/>
      <c r="N65" s="20"/>
    </row>
    <row r="66" spans="1:14" ht="15.75" customHeight="1">
      <c r="A66" s="26">
        <v>26</v>
      </c>
      <c r="B66" s="13" t="s">
        <v>49</v>
      </c>
      <c r="C66" s="15" t="s">
        <v>73</v>
      </c>
      <c r="D66" s="13" t="s">
        <v>52</v>
      </c>
      <c r="E66" s="69">
        <v>2200</v>
      </c>
      <c r="F66" s="12">
        <f>SUM(E66/100)</f>
        <v>22</v>
      </c>
      <c r="G66" s="12">
        <v>2720.94</v>
      </c>
      <c r="H66" s="84">
        <f t="shared" si="13"/>
        <v>59.860680000000002</v>
      </c>
      <c r="I66" s="12">
        <f t="shared" si="14"/>
        <v>59860.68</v>
      </c>
      <c r="J66" s="22"/>
      <c r="L66" s="18"/>
      <c r="M66" s="19"/>
      <c r="N66" s="20"/>
    </row>
    <row r="67" spans="1:14" ht="15.75" customHeight="1">
      <c r="A67" s="26">
        <v>27</v>
      </c>
      <c r="B67" s="85" t="s">
        <v>104</v>
      </c>
      <c r="C67" s="15" t="s">
        <v>30</v>
      </c>
      <c r="D67" s="13"/>
      <c r="E67" s="69">
        <v>9.6</v>
      </c>
      <c r="F67" s="12">
        <f>SUM(E67)</f>
        <v>9.6</v>
      </c>
      <c r="G67" s="12">
        <v>42.61</v>
      </c>
      <c r="H67" s="84">
        <f t="shared" si="13"/>
        <v>0.40905599999999998</v>
      </c>
      <c r="I67" s="12">
        <f t="shared" si="14"/>
        <v>409.05599999999998</v>
      </c>
      <c r="J67" s="22"/>
      <c r="L67" s="18"/>
      <c r="M67" s="19"/>
      <c r="N67" s="20"/>
    </row>
    <row r="68" spans="1:14" ht="15.75" customHeight="1">
      <c r="A68" s="26">
        <v>28</v>
      </c>
      <c r="B68" s="85" t="s">
        <v>105</v>
      </c>
      <c r="C68" s="15" t="s">
        <v>30</v>
      </c>
      <c r="D68" s="13"/>
      <c r="E68" s="69">
        <v>9.6</v>
      </c>
      <c r="F68" s="12">
        <f>SUM(E68)</f>
        <v>9.6</v>
      </c>
      <c r="G68" s="12">
        <v>46.04</v>
      </c>
      <c r="H68" s="84">
        <f t="shared" si="13"/>
        <v>0.44198399999999999</v>
      </c>
      <c r="I68" s="12">
        <f t="shared" si="14"/>
        <v>441.98399999999998</v>
      </c>
      <c r="J68" s="22"/>
      <c r="L68" s="18"/>
      <c r="M68" s="19"/>
      <c r="N68" s="20"/>
    </row>
    <row r="69" spans="1:14" ht="15.75" hidden="1" customHeight="1">
      <c r="A69" s="26"/>
      <c r="B69" s="13" t="s">
        <v>56</v>
      </c>
      <c r="C69" s="15" t="s">
        <v>57</v>
      </c>
      <c r="D69" s="13" t="s">
        <v>52</v>
      </c>
      <c r="E69" s="17">
        <v>4</v>
      </c>
      <c r="F69" s="12">
        <f>SUM(E69)</f>
        <v>4</v>
      </c>
      <c r="G69" s="12">
        <v>65.42</v>
      </c>
      <c r="H69" s="84">
        <f t="shared" si="13"/>
        <v>0.26168000000000002</v>
      </c>
      <c r="I69" s="12">
        <v>0</v>
      </c>
      <c r="J69" s="22"/>
      <c r="L69" s="18"/>
      <c r="M69" s="19"/>
      <c r="N69" s="20"/>
    </row>
    <row r="70" spans="1:14" ht="15.75" customHeight="1">
      <c r="A70" s="26">
        <v>29</v>
      </c>
      <c r="B70" s="13" t="s">
        <v>192</v>
      </c>
      <c r="C70" s="26" t="s">
        <v>193</v>
      </c>
      <c r="D70" s="13" t="s">
        <v>63</v>
      </c>
      <c r="E70" s="17">
        <v>3181</v>
      </c>
      <c r="F70" s="70">
        <f>SUM(E70)*12</f>
        <v>38172</v>
      </c>
      <c r="G70" s="12">
        <v>2.2799999999999998</v>
      </c>
      <c r="H70" s="84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5.75" hidden="1" customHeight="1">
      <c r="A71" s="26"/>
      <c r="B71" s="63" t="s">
        <v>68</v>
      </c>
      <c r="C71" s="15"/>
      <c r="D71" s="13"/>
      <c r="E71" s="17"/>
      <c r="F71" s="12"/>
      <c r="G71" s="12"/>
      <c r="H71" s="84" t="s">
        <v>110</v>
      </c>
      <c r="I71" s="12"/>
      <c r="J71" s="22"/>
      <c r="L71" s="18"/>
      <c r="M71" s="19"/>
      <c r="N71" s="20"/>
    </row>
    <row r="72" spans="1:14" ht="31.5" hidden="1" customHeight="1">
      <c r="A72" s="26">
        <v>18</v>
      </c>
      <c r="B72" s="13" t="s">
        <v>194</v>
      </c>
      <c r="C72" s="15" t="s">
        <v>28</v>
      </c>
      <c r="D72" s="13" t="s">
        <v>63</v>
      </c>
      <c r="E72" s="17">
        <v>1</v>
      </c>
      <c r="F72" s="70">
        <f t="shared" ref="F72" si="15">E72</f>
        <v>1</v>
      </c>
      <c r="G72" s="12">
        <v>1543.4</v>
      </c>
      <c r="H72" s="84">
        <f>G72*F72/1000</f>
        <v>1.5434000000000001</v>
      </c>
      <c r="I72" s="12">
        <v>0</v>
      </c>
      <c r="J72" s="22"/>
      <c r="L72" s="18"/>
      <c r="M72" s="19"/>
      <c r="N72" s="20"/>
    </row>
    <row r="73" spans="1:14" ht="15.75" hidden="1" customHeight="1">
      <c r="A73" s="26"/>
      <c r="B73" s="51" t="s">
        <v>195</v>
      </c>
      <c r="C73" s="57" t="s">
        <v>101</v>
      </c>
      <c r="D73" s="13" t="s">
        <v>63</v>
      </c>
      <c r="E73" s="17">
        <v>1</v>
      </c>
      <c r="F73" s="70">
        <f>E73</f>
        <v>1</v>
      </c>
      <c r="G73" s="12">
        <v>130.96</v>
      </c>
      <c r="H73" s="84">
        <f>G73*F73/1000</f>
        <v>0.13096000000000002</v>
      </c>
      <c r="I73" s="12">
        <v>0</v>
      </c>
      <c r="J73" s="22"/>
      <c r="L73" s="18"/>
      <c r="M73" s="19"/>
      <c r="N73" s="20"/>
    </row>
    <row r="74" spans="1:14" ht="15.75" hidden="1" customHeight="1">
      <c r="A74" s="26"/>
      <c r="B74" s="13" t="s">
        <v>69</v>
      </c>
      <c r="C74" s="15" t="s">
        <v>71</v>
      </c>
      <c r="D74" s="13" t="s">
        <v>63</v>
      </c>
      <c r="E74" s="17">
        <v>3</v>
      </c>
      <c r="F74" s="70">
        <f>E74/10</f>
        <v>0.3</v>
      </c>
      <c r="G74" s="12">
        <v>657.87</v>
      </c>
      <c r="H74" s="84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15.75" hidden="1" customHeight="1">
      <c r="A75" s="26"/>
      <c r="B75" s="13" t="s">
        <v>70</v>
      </c>
      <c r="C75" s="15" t="s">
        <v>28</v>
      </c>
      <c r="D75" s="13" t="s">
        <v>63</v>
      </c>
      <c r="E75" s="17">
        <v>1</v>
      </c>
      <c r="F75" s="70">
        <f>E75</f>
        <v>1</v>
      </c>
      <c r="G75" s="12">
        <v>1118.72</v>
      </c>
      <c r="H75" s="84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15.75" hidden="1" customHeight="1">
      <c r="A76" s="26"/>
      <c r="B76" s="51" t="s">
        <v>196</v>
      </c>
      <c r="C76" s="57" t="s">
        <v>101</v>
      </c>
      <c r="D76" s="13" t="s">
        <v>63</v>
      </c>
      <c r="E76" s="17">
        <v>1</v>
      </c>
      <c r="F76" s="70">
        <f>E76</f>
        <v>1</v>
      </c>
      <c r="G76" s="12">
        <v>1605.83</v>
      </c>
      <c r="H76" s="84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15.75" hidden="1" customHeight="1">
      <c r="A77" s="26"/>
      <c r="B77" s="51" t="s">
        <v>197</v>
      </c>
      <c r="C77" s="57" t="s">
        <v>101</v>
      </c>
      <c r="D77" s="13" t="s">
        <v>63</v>
      </c>
      <c r="E77" s="17">
        <v>2</v>
      </c>
      <c r="F77" s="70">
        <f>E77*12</f>
        <v>24</v>
      </c>
      <c r="G77" s="12">
        <v>53.42</v>
      </c>
      <c r="H77" s="84">
        <f t="shared" si="16"/>
        <v>1.2820799999999999</v>
      </c>
      <c r="I77" s="12">
        <v>0</v>
      </c>
      <c r="J77" s="22"/>
      <c r="L77" s="18"/>
      <c r="M77" s="19"/>
      <c r="N77" s="20"/>
    </row>
    <row r="78" spans="1:14" ht="15.75" hidden="1" customHeight="1">
      <c r="A78" s="26"/>
      <c r="B78" s="86" t="s">
        <v>72</v>
      </c>
      <c r="C78" s="15"/>
      <c r="D78" s="13"/>
      <c r="E78" s="17"/>
      <c r="F78" s="12"/>
      <c r="G78" s="12" t="s">
        <v>110</v>
      </c>
      <c r="H78" s="84" t="s">
        <v>110</v>
      </c>
      <c r="I78" s="12"/>
      <c r="J78" s="22"/>
      <c r="L78" s="18"/>
      <c r="M78" s="19"/>
      <c r="N78" s="20"/>
    </row>
    <row r="79" spans="1:14" ht="15.75" hidden="1" customHeight="1">
      <c r="A79" s="26"/>
      <c r="B79" s="46" t="s">
        <v>109</v>
      </c>
      <c r="C79" s="15" t="s">
        <v>73</v>
      </c>
      <c r="D79" s="13"/>
      <c r="E79" s="17"/>
      <c r="F79" s="12">
        <v>1</v>
      </c>
      <c r="G79" s="12">
        <v>3370.89</v>
      </c>
      <c r="H79" s="84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15.75" hidden="1" customHeight="1">
      <c r="A80" s="26"/>
      <c r="B80" s="63" t="s">
        <v>106</v>
      </c>
      <c r="C80" s="86"/>
      <c r="D80" s="27"/>
      <c r="E80" s="31"/>
      <c r="F80" s="75"/>
      <c r="G80" s="75"/>
      <c r="H80" s="87">
        <f>SUM(H57:H79)</f>
        <v>227.14633412000001</v>
      </c>
      <c r="I80" s="75"/>
      <c r="J80" s="22"/>
      <c r="L80" s="18"/>
      <c r="M80" s="19"/>
      <c r="N80" s="20"/>
    </row>
    <row r="81" spans="1:14" ht="15.75" hidden="1" customHeight="1">
      <c r="A81" s="118">
        <v>15</v>
      </c>
      <c r="B81" s="54" t="s">
        <v>107</v>
      </c>
      <c r="C81" s="126"/>
      <c r="D81" s="127"/>
      <c r="E81" s="127"/>
      <c r="F81" s="128">
        <v>1</v>
      </c>
      <c r="G81" s="128">
        <v>23195</v>
      </c>
      <c r="H81" s="129">
        <f>G81*F81/1000</f>
        <v>23.195</v>
      </c>
      <c r="I81" s="90">
        <f>G81</f>
        <v>23195</v>
      </c>
      <c r="J81" s="22"/>
      <c r="L81" s="18"/>
      <c r="M81" s="19"/>
      <c r="N81" s="20"/>
    </row>
    <row r="82" spans="1:14" ht="15.75" hidden="1" customHeight="1">
      <c r="A82" s="50"/>
      <c r="B82" s="130" t="s">
        <v>198</v>
      </c>
      <c r="C82" s="15"/>
      <c r="D82" s="13"/>
      <c r="E82" s="13"/>
      <c r="F82" s="12">
        <v>69</v>
      </c>
      <c r="G82" s="12">
        <v>700</v>
      </c>
      <c r="H82" s="84">
        <f>G82*F82/1000</f>
        <v>48.3</v>
      </c>
      <c r="I82" s="131">
        <v>0</v>
      </c>
      <c r="J82" s="22"/>
      <c r="L82" s="18"/>
      <c r="M82" s="19"/>
      <c r="N82" s="20"/>
    </row>
    <row r="83" spans="1:14" ht="15.75" customHeight="1">
      <c r="A83" s="134" t="s">
        <v>143</v>
      </c>
      <c r="B83" s="164"/>
      <c r="C83" s="164"/>
      <c r="D83" s="164"/>
      <c r="E83" s="164"/>
      <c r="F83" s="164"/>
      <c r="G83" s="164"/>
      <c r="H83" s="164"/>
      <c r="I83" s="165"/>
      <c r="J83" s="22"/>
      <c r="L83" s="18"/>
      <c r="M83" s="19"/>
      <c r="N83" s="20"/>
    </row>
    <row r="84" spans="1:14" ht="15.75" customHeight="1">
      <c r="A84" s="113">
        <v>30</v>
      </c>
      <c r="B84" s="33" t="s">
        <v>134</v>
      </c>
      <c r="C84" s="38" t="s">
        <v>53</v>
      </c>
      <c r="D84" s="89" t="s">
        <v>54</v>
      </c>
      <c r="E84" s="35">
        <v>3181</v>
      </c>
      <c r="F84" s="35">
        <f>SUM(E84*12)</f>
        <v>38172</v>
      </c>
      <c r="G84" s="35">
        <v>3.1</v>
      </c>
      <c r="H84" s="120">
        <f>SUM(F84*G84/1000)</f>
        <v>118.33319999999999</v>
      </c>
      <c r="I84" s="114">
        <f>F84/12*G84</f>
        <v>9861.1</v>
      </c>
      <c r="J84" s="22"/>
      <c r="L84" s="18"/>
      <c r="M84" s="19"/>
      <c r="N84" s="20"/>
    </row>
    <row r="85" spans="1:14" ht="31.5" customHeight="1">
      <c r="A85" s="26">
        <v>31</v>
      </c>
      <c r="B85" s="13" t="s">
        <v>74</v>
      </c>
      <c r="C85" s="15"/>
      <c r="D85" s="89" t="s">
        <v>54</v>
      </c>
      <c r="E85" s="69">
        <v>3181</v>
      </c>
      <c r="F85" s="12">
        <f>E85*12</f>
        <v>38172</v>
      </c>
      <c r="G85" s="12">
        <v>3.5</v>
      </c>
      <c r="H85" s="84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77</v>
      </c>
      <c r="C86" s="15"/>
      <c r="D86" s="46"/>
      <c r="E86" s="12"/>
      <c r="F86" s="12"/>
      <c r="G86" s="12"/>
      <c r="H86" s="84">
        <f>H85</f>
        <v>133.602</v>
      </c>
      <c r="I86" s="75">
        <f>I16+I17+I18+I19+I20+I21+I22+I23+I24+I25+I26+I27+I30+I31+I32+I33+I45+I46+I47+I48+I49+I53+I54+I64+I65+I66+I67+I68+I70+I84+I85</f>
        <v>188677.37806727778</v>
      </c>
      <c r="J86" s="22"/>
      <c r="L86" s="18"/>
      <c r="M86" s="19"/>
      <c r="N86" s="20"/>
    </row>
    <row r="87" spans="1:14" ht="15.75" customHeight="1">
      <c r="A87" s="139" t="s">
        <v>58</v>
      </c>
      <c r="B87" s="140"/>
      <c r="C87" s="140"/>
      <c r="D87" s="140"/>
      <c r="E87" s="140"/>
      <c r="F87" s="140"/>
      <c r="G87" s="140"/>
      <c r="H87" s="140"/>
      <c r="I87" s="141"/>
      <c r="J87" s="22"/>
      <c r="L87" s="18"/>
      <c r="M87" s="19"/>
      <c r="N87" s="20"/>
    </row>
    <row r="88" spans="1:14" ht="15.75" customHeight="1">
      <c r="A88" s="50">
        <v>32</v>
      </c>
      <c r="B88" s="56" t="s">
        <v>166</v>
      </c>
      <c r="C88" s="55" t="s">
        <v>116</v>
      </c>
      <c r="D88" s="13"/>
      <c r="E88" s="17"/>
      <c r="F88" s="12">
        <f>49/3</f>
        <v>16.333333333333332</v>
      </c>
      <c r="G88" s="12">
        <v>1120.8900000000001</v>
      </c>
      <c r="H88" s="84">
        <f t="shared" ref="H88" si="18">G88*F88/1000</f>
        <v>18.307869999999998</v>
      </c>
      <c r="I88" s="90">
        <f>G88</f>
        <v>1120.8900000000001</v>
      </c>
      <c r="J88" s="22"/>
      <c r="L88" s="18"/>
      <c r="M88" s="19"/>
      <c r="N88" s="20"/>
    </row>
    <row r="89" spans="1:14" ht="31.5" customHeight="1">
      <c r="A89" s="26">
        <v>33</v>
      </c>
      <c r="B89" s="51" t="s">
        <v>139</v>
      </c>
      <c r="C89" s="57" t="s">
        <v>36</v>
      </c>
      <c r="D89" s="13"/>
      <c r="E89" s="17"/>
      <c r="F89" s="12">
        <v>0.01</v>
      </c>
      <c r="G89" s="12">
        <v>3581.13</v>
      </c>
      <c r="H89" s="84">
        <f>G89*F89/1000</f>
        <v>3.5811300000000004E-2</v>
      </c>
      <c r="I89" s="90">
        <f>G89*0.01</f>
        <v>35.811300000000003</v>
      </c>
      <c r="J89" s="22"/>
      <c r="L89" s="18"/>
      <c r="M89" s="19"/>
      <c r="N89" s="20"/>
    </row>
    <row r="90" spans="1:14" ht="15.75" customHeight="1">
      <c r="A90" s="26">
        <v>34</v>
      </c>
      <c r="B90" s="51" t="s">
        <v>78</v>
      </c>
      <c r="C90" s="57" t="s">
        <v>101</v>
      </c>
      <c r="D90" s="13"/>
      <c r="E90" s="17"/>
      <c r="F90" s="12">
        <v>2</v>
      </c>
      <c r="G90" s="12">
        <v>189.88</v>
      </c>
      <c r="H90" s="84">
        <f>G90*F90/1000</f>
        <v>0.37975999999999999</v>
      </c>
      <c r="I90" s="90">
        <f t="shared" ref="I90:I91" si="19">G90</f>
        <v>189.88</v>
      </c>
      <c r="J90" s="22"/>
      <c r="L90" s="18"/>
      <c r="M90" s="19"/>
      <c r="N90" s="20"/>
    </row>
    <row r="91" spans="1:14" ht="31.5" customHeight="1">
      <c r="A91" s="26">
        <v>35</v>
      </c>
      <c r="B91" s="121" t="s">
        <v>76</v>
      </c>
      <c r="C91" s="122" t="s">
        <v>101</v>
      </c>
      <c r="D91" s="13"/>
      <c r="E91" s="17"/>
      <c r="F91" s="12">
        <v>1</v>
      </c>
      <c r="G91" s="12">
        <v>83.36</v>
      </c>
      <c r="H91" s="84">
        <f>G91*F91/1000</f>
        <v>8.3360000000000004E-2</v>
      </c>
      <c r="I91" s="90">
        <f t="shared" si="19"/>
        <v>83.36</v>
      </c>
      <c r="J91" s="22"/>
      <c r="L91" s="18"/>
      <c r="M91" s="19"/>
      <c r="N91" s="20"/>
    </row>
    <row r="92" spans="1:14" ht="15.75" customHeight="1">
      <c r="A92" s="26"/>
      <c r="B92" s="27" t="s">
        <v>50</v>
      </c>
      <c r="C92" s="41"/>
      <c r="D92" s="47"/>
      <c r="E92" s="41">
        <v>1</v>
      </c>
      <c r="F92" s="41"/>
      <c r="G92" s="41"/>
      <c r="H92" s="41"/>
      <c r="I92" s="31">
        <f>SUM(I88:I91)</f>
        <v>1429.9413000000002</v>
      </c>
      <c r="J92" s="22"/>
      <c r="L92" s="18"/>
      <c r="M92" s="19"/>
      <c r="N92" s="20"/>
    </row>
    <row r="93" spans="1:14" ht="15.75" customHeight="1">
      <c r="A93" s="26"/>
      <c r="B93" s="46" t="s">
        <v>75</v>
      </c>
      <c r="C93" s="14"/>
      <c r="D93" s="14"/>
      <c r="E93" s="42"/>
      <c r="F93" s="42"/>
      <c r="G93" s="43"/>
      <c r="H93" s="43"/>
      <c r="I93" s="16">
        <v>0</v>
      </c>
      <c r="J93" s="22"/>
      <c r="L93" s="18"/>
      <c r="M93" s="19"/>
      <c r="N93" s="20"/>
    </row>
    <row r="94" spans="1:14" ht="15.75" customHeight="1">
      <c r="A94" s="48"/>
      <c r="B94" s="45" t="s">
        <v>174</v>
      </c>
      <c r="C94" s="34"/>
      <c r="D94" s="34"/>
      <c r="E94" s="34"/>
      <c r="F94" s="34"/>
      <c r="G94" s="34"/>
      <c r="H94" s="34"/>
      <c r="I94" s="44">
        <f>I86+I92</f>
        <v>190107.31936727779</v>
      </c>
      <c r="J94" s="22"/>
      <c r="L94" s="18"/>
      <c r="M94" s="19"/>
      <c r="N94" s="20"/>
    </row>
    <row r="95" spans="1:14" ht="15.75" customHeight="1">
      <c r="A95" s="149" t="s">
        <v>199</v>
      </c>
      <c r="B95" s="149"/>
      <c r="C95" s="149"/>
      <c r="D95" s="149"/>
      <c r="E95" s="149"/>
      <c r="F95" s="149"/>
      <c r="G95" s="149"/>
      <c r="H95" s="149"/>
      <c r="I95" s="149"/>
      <c r="J95" s="22"/>
      <c r="L95" s="18"/>
      <c r="M95" s="19"/>
      <c r="N95" s="20"/>
    </row>
    <row r="96" spans="1:14" ht="15.75" customHeight="1">
      <c r="A96" s="8"/>
      <c r="B96" s="163" t="s">
        <v>200</v>
      </c>
      <c r="C96" s="163"/>
      <c r="D96" s="163"/>
      <c r="E96" s="163"/>
      <c r="F96" s="163"/>
      <c r="G96" s="163"/>
      <c r="H96" s="95"/>
      <c r="I96" s="3"/>
      <c r="J96" s="22"/>
      <c r="L96" s="18"/>
      <c r="M96" s="19"/>
      <c r="N96" s="20"/>
    </row>
    <row r="97" spans="1:22" ht="15.75" customHeight="1">
      <c r="A97" s="97"/>
      <c r="B97" s="148" t="s">
        <v>5</v>
      </c>
      <c r="C97" s="148"/>
      <c r="D97" s="148"/>
      <c r="E97" s="148"/>
      <c r="F97" s="148"/>
      <c r="G97" s="148"/>
      <c r="H97" s="23"/>
      <c r="I97" s="5"/>
      <c r="J97" s="22"/>
      <c r="K97" s="22"/>
      <c r="L97" s="22"/>
      <c r="M97" s="19"/>
      <c r="N97" s="20"/>
    </row>
    <row r="98" spans="1:22" ht="15.75" customHeight="1">
      <c r="A98" s="9"/>
      <c r="B98" s="9"/>
      <c r="C98" s="9"/>
      <c r="D98" s="9"/>
      <c r="E98" s="9"/>
      <c r="F98" s="9"/>
      <c r="G98" s="9"/>
      <c r="H98" s="9"/>
      <c r="I98" s="9"/>
      <c r="J98" s="22"/>
      <c r="K98" s="22"/>
      <c r="L98" s="22"/>
      <c r="M98" s="19"/>
      <c r="N98" s="20"/>
    </row>
    <row r="99" spans="1:22" ht="15.75" customHeight="1">
      <c r="A99" s="161" t="s">
        <v>6</v>
      </c>
      <c r="B99" s="161"/>
      <c r="C99" s="161"/>
      <c r="D99" s="161"/>
      <c r="E99" s="161"/>
      <c r="F99" s="161"/>
      <c r="G99" s="161"/>
      <c r="H99" s="161"/>
      <c r="I99" s="161"/>
      <c r="J99" s="22"/>
      <c r="K99" s="22"/>
      <c r="L99" s="22"/>
    </row>
    <row r="100" spans="1:22" ht="15.75" customHeight="1">
      <c r="A100" s="161" t="s">
        <v>7</v>
      </c>
      <c r="B100" s="161"/>
      <c r="C100" s="161"/>
      <c r="D100" s="161"/>
      <c r="E100" s="161"/>
      <c r="F100" s="161"/>
      <c r="G100" s="161"/>
      <c r="H100" s="161"/>
      <c r="I100" s="161"/>
      <c r="J100" s="22"/>
      <c r="K100" s="22"/>
      <c r="L100" s="22"/>
    </row>
    <row r="101" spans="1:22" ht="15.75" customHeight="1">
      <c r="A101" s="149" t="s">
        <v>8</v>
      </c>
      <c r="B101" s="149"/>
      <c r="C101" s="149"/>
      <c r="D101" s="149"/>
      <c r="E101" s="149"/>
      <c r="F101" s="149"/>
      <c r="G101" s="149"/>
      <c r="H101" s="149"/>
      <c r="I101" s="149"/>
    </row>
    <row r="102" spans="1:22" ht="15.75" customHeight="1">
      <c r="A102" s="10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7"/>
    </row>
    <row r="103" spans="1:22" ht="15.75" customHeight="1">
      <c r="A103" s="162" t="s">
        <v>9</v>
      </c>
      <c r="B103" s="162"/>
      <c r="C103" s="162"/>
      <c r="D103" s="162"/>
      <c r="E103" s="162"/>
      <c r="F103" s="162"/>
      <c r="G103" s="162"/>
      <c r="H103" s="162"/>
      <c r="I103" s="162"/>
      <c r="J103" s="24"/>
      <c r="K103" s="24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2" ht="15.75" customHeight="1">
      <c r="A104" s="4"/>
      <c r="J104" s="3"/>
      <c r="K104" s="3"/>
      <c r="L104" s="3"/>
      <c r="M104" s="3"/>
      <c r="N104" s="3"/>
      <c r="O104" s="3"/>
      <c r="P104" s="3"/>
      <c r="Q104" s="3"/>
      <c r="S104" s="3"/>
      <c r="T104" s="3"/>
      <c r="U104" s="3"/>
    </row>
    <row r="105" spans="1:22" ht="15.75" customHeight="1">
      <c r="A105" s="149" t="s">
        <v>10</v>
      </c>
      <c r="B105" s="149"/>
      <c r="C105" s="151" t="s">
        <v>84</v>
      </c>
      <c r="D105" s="151"/>
      <c r="E105" s="151"/>
      <c r="F105" s="65"/>
      <c r="I105" s="100"/>
      <c r="J105" s="5"/>
      <c r="K105" s="5"/>
      <c r="L105" s="5"/>
      <c r="M105" s="5"/>
      <c r="N105" s="5"/>
      <c r="O105" s="5"/>
      <c r="P105" s="5"/>
      <c r="Q105" s="5"/>
      <c r="R105" s="147"/>
      <c r="S105" s="147"/>
      <c r="T105" s="147"/>
      <c r="U105" s="147"/>
    </row>
    <row r="106" spans="1:22" ht="15.75" customHeight="1">
      <c r="A106" s="97"/>
      <c r="C106" s="148" t="s">
        <v>11</v>
      </c>
      <c r="D106" s="148"/>
      <c r="E106" s="148"/>
      <c r="F106" s="23"/>
      <c r="I106" s="98" t="s">
        <v>12</v>
      </c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2" ht="15.75" customHeight="1">
      <c r="A107" s="24"/>
      <c r="C107" s="11"/>
      <c r="D107" s="11"/>
      <c r="G107" s="11"/>
      <c r="H107" s="11"/>
    </row>
    <row r="108" spans="1:22" ht="15.75" customHeight="1">
      <c r="A108" s="149" t="s">
        <v>13</v>
      </c>
      <c r="B108" s="149"/>
      <c r="C108" s="150"/>
      <c r="D108" s="150"/>
      <c r="E108" s="150"/>
      <c r="F108" s="66"/>
      <c r="I108" s="100"/>
    </row>
    <row r="109" spans="1:22" ht="15.75" customHeight="1">
      <c r="A109" s="97"/>
      <c r="C109" s="147" t="s">
        <v>11</v>
      </c>
      <c r="D109" s="147"/>
      <c r="E109" s="147"/>
      <c r="F109" s="97"/>
      <c r="I109" s="98" t="s">
        <v>12</v>
      </c>
    </row>
    <row r="110" spans="1:22" ht="15.75" customHeight="1">
      <c r="A110" s="4" t="s">
        <v>14</v>
      </c>
    </row>
    <row r="111" spans="1:22" ht="15" customHeight="1">
      <c r="A111" s="160" t="s">
        <v>15</v>
      </c>
      <c r="B111" s="160"/>
      <c r="C111" s="160"/>
      <c r="D111" s="160"/>
      <c r="E111" s="160"/>
      <c r="F111" s="160"/>
      <c r="G111" s="160"/>
      <c r="H111" s="160"/>
      <c r="I111" s="160"/>
    </row>
    <row r="112" spans="1:22" ht="45" customHeight="1">
      <c r="A112" s="152" t="s">
        <v>16</v>
      </c>
      <c r="B112" s="152"/>
      <c r="C112" s="152"/>
      <c r="D112" s="152"/>
      <c r="E112" s="152"/>
      <c r="F112" s="152"/>
      <c r="G112" s="152"/>
      <c r="H112" s="152"/>
      <c r="I112" s="152"/>
    </row>
    <row r="113" spans="1:9" ht="30" customHeight="1">
      <c r="A113" s="152" t="s">
        <v>17</v>
      </c>
      <c r="B113" s="152"/>
      <c r="C113" s="152"/>
      <c r="D113" s="152"/>
      <c r="E113" s="152"/>
      <c r="F113" s="152"/>
      <c r="G113" s="152"/>
      <c r="H113" s="152"/>
      <c r="I113" s="152"/>
    </row>
    <row r="114" spans="1:9" ht="30" customHeight="1">
      <c r="A114" s="152" t="s">
        <v>21</v>
      </c>
      <c r="B114" s="152"/>
      <c r="C114" s="152"/>
      <c r="D114" s="152"/>
      <c r="E114" s="152"/>
      <c r="F114" s="152"/>
      <c r="G114" s="152"/>
      <c r="H114" s="152"/>
      <c r="I114" s="152"/>
    </row>
    <row r="115" spans="1:9" ht="15" customHeight="1">
      <c r="A115" s="152" t="s">
        <v>20</v>
      </c>
      <c r="B115" s="152"/>
      <c r="C115" s="152"/>
      <c r="D115" s="152"/>
      <c r="E115" s="152"/>
      <c r="F115" s="152"/>
      <c r="G115" s="152"/>
      <c r="H115" s="152"/>
      <c r="I115" s="152"/>
    </row>
  </sheetData>
  <autoFilter ref="I12:I101"/>
  <mergeCells count="31">
    <mergeCell ref="A14:I14"/>
    <mergeCell ref="A3:I3"/>
    <mergeCell ref="A4:I4"/>
    <mergeCell ref="A5:I5"/>
    <mergeCell ref="A8:I8"/>
    <mergeCell ref="A10:I10"/>
    <mergeCell ref="A101:I101"/>
    <mergeCell ref="A15:I15"/>
    <mergeCell ref="A28:I28"/>
    <mergeCell ref="A44:I44"/>
    <mergeCell ref="A55:I55"/>
    <mergeCell ref="A83:I83"/>
    <mergeCell ref="A87:I87"/>
    <mergeCell ref="A95:I95"/>
    <mergeCell ref="B96:G96"/>
    <mergeCell ref="B97:G97"/>
    <mergeCell ref="A99:I99"/>
    <mergeCell ref="A100:I100"/>
    <mergeCell ref="A115:I115"/>
    <mergeCell ref="A103:I103"/>
    <mergeCell ref="A105:B105"/>
    <mergeCell ref="C105:E105"/>
    <mergeCell ref="R105:U105"/>
    <mergeCell ref="C106:E106"/>
    <mergeCell ref="A108:B108"/>
    <mergeCell ref="C108:E108"/>
    <mergeCell ref="C109:E109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29" t="s">
        <v>81</v>
      </c>
      <c r="I1" s="28"/>
    </row>
    <row r="2" spans="1:15" s="25" customFormat="1" ht="15.75" customHeight="1">
      <c r="A2" s="25" t="s">
        <v>59</v>
      </c>
      <c r="J2" s="1"/>
      <c r="K2" s="1"/>
      <c r="L2" s="1"/>
      <c r="M2" s="1"/>
    </row>
    <row r="3" spans="1:15" s="25" customFormat="1" ht="15.75">
      <c r="A3" s="142" t="s">
        <v>148</v>
      </c>
      <c r="B3" s="142"/>
      <c r="C3" s="142"/>
      <c r="D3" s="142"/>
      <c r="E3" s="142"/>
      <c r="F3" s="142"/>
      <c r="G3" s="142"/>
      <c r="H3" s="142"/>
      <c r="I3" s="142"/>
      <c r="J3" s="2"/>
      <c r="K3" s="2"/>
      <c r="L3" s="2"/>
      <c r="M3" s="2"/>
    </row>
    <row r="4" spans="1:15" s="25" customFormat="1" ht="31.5" customHeight="1">
      <c r="A4" s="143" t="s">
        <v>89</v>
      </c>
      <c r="B4" s="143"/>
      <c r="C4" s="143"/>
      <c r="D4" s="143"/>
      <c r="E4" s="143"/>
      <c r="F4" s="143"/>
      <c r="G4" s="143"/>
      <c r="H4" s="143"/>
      <c r="I4" s="143"/>
      <c r="J4" s="3"/>
      <c r="K4" s="3"/>
      <c r="L4" s="3"/>
    </row>
    <row r="5" spans="1:15" s="25" customFormat="1" ht="15.75" customHeight="1">
      <c r="A5" s="142" t="s">
        <v>201</v>
      </c>
      <c r="B5" s="144"/>
      <c r="C5" s="144"/>
      <c r="D5" s="144"/>
      <c r="E5" s="144"/>
      <c r="F5" s="144"/>
      <c r="G5" s="144"/>
      <c r="H5" s="144"/>
      <c r="I5" s="144"/>
    </row>
    <row r="6" spans="1:15" s="25" customFormat="1" ht="15.75">
      <c r="A6" s="2"/>
      <c r="B6" s="96"/>
      <c r="C6" s="96"/>
      <c r="D6" s="96"/>
      <c r="E6" s="96"/>
      <c r="F6" s="96"/>
      <c r="G6" s="96"/>
      <c r="H6" s="96"/>
      <c r="I6" s="30">
        <v>42916</v>
      </c>
      <c r="J6" s="2"/>
      <c r="K6" s="2"/>
      <c r="L6" s="2"/>
      <c r="M6" s="2"/>
    </row>
    <row r="7" spans="1:15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45" t="s">
        <v>188</v>
      </c>
      <c r="B8" s="145"/>
      <c r="C8" s="145"/>
      <c r="D8" s="145"/>
      <c r="E8" s="145"/>
      <c r="F8" s="145"/>
      <c r="G8" s="145"/>
      <c r="H8" s="145"/>
      <c r="I8" s="145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46" t="s">
        <v>228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108" t="s">
        <v>0</v>
      </c>
      <c r="B12" s="108" t="s">
        <v>156</v>
      </c>
      <c r="C12" s="108" t="s">
        <v>1</v>
      </c>
      <c r="D12" s="108" t="s">
        <v>18</v>
      </c>
      <c r="E12" s="108" t="s">
        <v>19</v>
      </c>
      <c r="F12" s="108"/>
      <c r="G12" s="108" t="s">
        <v>22</v>
      </c>
      <c r="H12" s="108"/>
      <c r="I12" s="108" t="s">
        <v>2</v>
      </c>
    </row>
    <row r="13" spans="1:15" s="49" customFormat="1" ht="12.75">
      <c r="A13" s="109">
        <v>1</v>
      </c>
      <c r="B13" s="109">
        <v>2</v>
      </c>
      <c r="C13" s="109">
        <v>3</v>
      </c>
      <c r="D13" s="110">
        <v>4</v>
      </c>
      <c r="E13" s="109">
        <v>5</v>
      </c>
      <c r="F13" s="109"/>
      <c r="G13" s="109">
        <v>5</v>
      </c>
      <c r="H13" s="109"/>
      <c r="I13" s="109">
        <v>6</v>
      </c>
      <c r="J13" s="111"/>
      <c r="K13" s="111"/>
      <c r="L13" s="111"/>
      <c r="M13" s="111"/>
    </row>
    <row r="14" spans="1:15" ht="15.75" customHeight="1">
      <c r="A14" s="137" t="s">
        <v>157</v>
      </c>
      <c r="B14" s="138"/>
      <c r="C14" s="138"/>
      <c r="D14" s="138"/>
      <c r="E14" s="138"/>
      <c r="F14" s="138"/>
      <c r="G14" s="138"/>
      <c r="H14" s="138"/>
      <c r="I14" s="138"/>
      <c r="J14" s="112"/>
      <c r="K14" s="112"/>
      <c r="L14" s="6"/>
      <c r="M14" s="6"/>
      <c r="N14" s="6"/>
      <c r="O14" s="6"/>
    </row>
    <row r="15" spans="1:15" ht="15.75" customHeight="1">
      <c r="A15" s="134" t="s">
        <v>3</v>
      </c>
      <c r="B15" s="135"/>
      <c r="C15" s="135"/>
      <c r="D15" s="135"/>
      <c r="E15" s="135"/>
      <c r="F15" s="135"/>
      <c r="G15" s="135"/>
      <c r="H15" s="135"/>
      <c r="I15" s="136"/>
      <c r="J15" s="6"/>
      <c r="K15" s="6"/>
      <c r="L15" s="6"/>
      <c r="M15" s="6"/>
    </row>
    <row r="16" spans="1:15" ht="15.75" customHeight="1">
      <c r="A16" s="26">
        <v>1</v>
      </c>
      <c r="B16" s="52" t="s">
        <v>82</v>
      </c>
      <c r="C16" s="68" t="s">
        <v>90</v>
      </c>
      <c r="D16" s="52" t="s">
        <v>113</v>
      </c>
      <c r="E16" s="69">
        <v>59.9</v>
      </c>
      <c r="F16" s="70">
        <f>SUM(E16*156/100)</f>
        <v>93.444000000000003</v>
      </c>
      <c r="G16" s="70">
        <v>230</v>
      </c>
      <c r="H16" s="71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87</v>
      </c>
      <c r="C17" s="68" t="s">
        <v>90</v>
      </c>
      <c r="D17" s="52" t="s">
        <v>114</v>
      </c>
      <c r="E17" s="69">
        <v>239.4</v>
      </c>
      <c r="F17" s="70">
        <f>SUM(E17*104/100)</f>
        <v>248.97600000000003</v>
      </c>
      <c r="G17" s="70">
        <v>230</v>
      </c>
      <c r="H17" s="71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88</v>
      </c>
      <c r="C18" s="68" t="s">
        <v>90</v>
      </c>
      <c r="D18" s="52" t="s">
        <v>115</v>
      </c>
      <c r="E18" s="69">
        <f>SUM(E16+E17)</f>
        <v>299.3</v>
      </c>
      <c r="F18" s="70">
        <f>SUM(E18*24/100)</f>
        <v>71.832000000000008</v>
      </c>
      <c r="G18" s="70">
        <v>661.67</v>
      </c>
      <c r="H18" s="71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91</v>
      </c>
      <c r="C19" s="68" t="s">
        <v>92</v>
      </c>
      <c r="D19" s="52" t="s">
        <v>93</v>
      </c>
      <c r="E19" s="69">
        <v>25.6</v>
      </c>
      <c r="F19" s="70">
        <f>SUM(E19/10)</f>
        <v>2.56</v>
      </c>
      <c r="G19" s="70">
        <v>223.17</v>
      </c>
      <c r="H19" s="71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5</v>
      </c>
      <c r="B20" s="52" t="s">
        <v>94</v>
      </c>
      <c r="C20" s="68" t="s">
        <v>90</v>
      </c>
      <c r="D20" s="52" t="s">
        <v>40</v>
      </c>
      <c r="E20" s="69">
        <v>10.5</v>
      </c>
      <c r="F20" s="70">
        <f>SUM(E20*2/100)</f>
        <v>0.21</v>
      </c>
      <c r="G20" s="70">
        <v>285.76</v>
      </c>
      <c r="H20" s="71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6</v>
      </c>
      <c r="B21" s="52" t="s">
        <v>95</v>
      </c>
      <c r="C21" s="68" t="s">
        <v>90</v>
      </c>
      <c r="D21" s="52" t="s">
        <v>40</v>
      </c>
      <c r="E21" s="69">
        <v>2.7</v>
      </c>
      <c r="F21" s="70">
        <f>SUM(E21*2/100)</f>
        <v>5.4000000000000006E-2</v>
      </c>
      <c r="G21" s="70">
        <v>283.44</v>
      </c>
      <c r="H21" s="71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96</v>
      </c>
      <c r="C22" s="68" t="s">
        <v>51</v>
      </c>
      <c r="D22" s="52" t="s">
        <v>93</v>
      </c>
      <c r="E22" s="69">
        <v>357</v>
      </c>
      <c r="F22" s="70">
        <f t="shared" ref="F22:F25" si="2">SUM(E22/100)</f>
        <v>3.57</v>
      </c>
      <c r="G22" s="70">
        <v>353.14</v>
      </c>
      <c r="H22" s="71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97</v>
      </c>
      <c r="C23" s="68" t="s">
        <v>51</v>
      </c>
      <c r="D23" s="52" t="s">
        <v>93</v>
      </c>
      <c r="E23" s="72">
        <v>38.64</v>
      </c>
      <c r="F23" s="70">
        <f t="shared" si="2"/>
        <v>0.38640000000000002</v>
      </c>
      <c r="G23" s="70">
        <v>58.08</v>
      </c>
      <c r="H23" s="71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98</v>
      </c>
      <c r="C24" s="68" t="s">
        <v>51</v>
      </c>
      <c r="D24" s="53" t="s">
        <v>93</v>
      </c>
      <c r="E24" s="17">
        <v>15</v>
      </c>
      <c r="F24" s="73">
        <f t="shared" si="2"/>
        <v>0.15</v>
      </c>
      <c r="G24" s="70">
        <v>511.12</v>
      </c>
      <c r="H24" s="71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99</v>
      </c>
      <c r="C25" s="68" t="s">
        <v>51</v>
      </c>
      <c r="D25" s="52" t="s">
        <v>93</v>
      </c>
      <c r="E25" s="74">
        <v>6.38</v>
      </c>
      <c r="F25" s="70">
        <f t="shared" si="2"/>
        <v>6.3799999999999996E-2</v>
      </c>
      <c r="G25" s="70">
        <v>638.04999999999995</v>
      </c>
      <c r="H25" s="71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61</v>
      </c>
      <c r="C26" s="68" t="s">
        <v>30</v>
      </c>
      <c r="D26" s="52" t="s">
        <v>80</v>
      </c>
      <c r="E26" s="69">
        <v>0.1</v>
      </c>
      <c r="F26" s="70">
        <f>SUM(E26*365)</f>
        <v>36.5</v>
      </c>
      <c r="G26" s="70">
        <v>192.84</v>
      </c>
      <c r="H26" s="71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5</v>
      </c>
      <c r="B27" s="77" t="s">
        <v>23</v>
      </c>
      <c r="C27" s="68" t="s">
        <v>24</v>
      </c>
      <c r="D27" s="52" t="s">
        <v>80</v>
      </c>
      <c r="E27" s="69">
        <v>3181</v>
      </c>
      <c r="F27" s="70">
        <f>SUM(E27*12)</f>
        <v>38172</v>
      </c>
      <c r="G27" s="70">
        <v>2.67</v>
      </c>
      <c r="H27" s="71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34" t="s">
        <v>158</v>
      </c>
      <c r="B28" s="135"/>
      <c r="C28" s="135"/>
      <c r="D28" s="135"/>
      <c r="E28" s="135"/>
      <c r="F28" s="135"/>
      <c r="G28" s="135"/>
      <c r="H28" s="135"/>
      <c r="I28" s="136"/>
      <c r="J28" s="21"/>
      <c r="K28" s="6"/>
      <c r="L28" s="6"/>
      <c r="M28" s="6"/>
    </row>
    <row r="29" spans="1:13" ht="15.75" customHeight="1">
      <c r="A29" s="115"/>
      <c r="B29" s="63" t="s">
        <v>159</v>
      </c>
      <c r="C29" s="116"/>
      <c r="D29" s="116"/>
      <c r="E29" s="116"/>
      <c r="F29" s="116"/>
      <c r="G29" s="116"/>
      <c r="H29" s="116"/>
      <c r="I29" s="116"/>
      <c r="J29" s="21"/>
      <c r="K29" s="6"/>
      <c r="L29" s="6"/>
      <c r="M29" s="6"/>
    </row>
    <row r="30" spans="1:13" ht="15.75" customHeight="1">
      <c r="A30" s="113">
        <v>6</v>
      </c>
      <c r="B30" s="52" t="s">
        <v>160</v>
      </c>
      <c r="C30" s="68" t="s">
        <v>100</v>
      </c>
      <c r="D30" s="52" t="s">
        <v>163</v>
      </c>
      <c r="E30" s="70">
        <v>210.2</v>
      </c>
      <c r="F30" s="70">
        <f>SUM(E30*52/1000)</f>
        <v>10.930399999999999</v>
      </c>
      <c r="G30" s="70">
        <v>204.44</v>
      </c>
      <c r="H30" s="71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customHeight="1">
      <c r="A31" s="26">
        <v>7</v>
      </c>
      <c r="B31" s="52" t="s">
        <v>161</v>
      </c>
      <c r="C31" s="68" t="s">
        <v>100</v>
      </c>
      <c r="D31" s="52" t="s">
        <v>164</v>
      </c>
      <c r="E31" s="70">
        <v>92</v>
      </c>
      <c r="F31" s="70">
        <f>SUM(E31*78/1000)</f>
        <v>7.1760000000000002</v>
      </c>
      <c r="G31" s="70">
        <v>339.21</v>
      </c>
      <c r="H31" s="71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8" t="s">
        <v>100</v>
      </c>
      <c r="D32" s="52" t="s">
        <v>52</v>
      </c>
      <c r="E32" s="70">
        <f>E30</f>
        <v>210.2</v>
      </c>
      <c r="F32" s="70">
        <f>SUM(E32/1000)</f>
        <v>0.2102</v>
      </c>
      <c r="G32" s="70">
        <v>3961.23</v>
      </c>
      <c r="H32" s="71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customHeight="1">
      <c r="A33" s="26">
        <v>8</v>
      </c>
      <c r="B33" s="52" t="s">
        <v>162</v>
      </c>
      <c r="C33" s="68" t="s">
        <v>28</v>
      </c>
      <c r="D33" s="52" t="s">
        <v>60</v>
      </c>
      <c r="E33" s="76">
        <f>1/3</f>
        <v>0.33333333333333331</v>
      </c>
      <c r="F33" s="70">
        <f>155/3</f>
        <v>51.666666666666664</v>
      </c>
      <c r="G33" s="70">
        <v>74.349999999999994</v>
      </c>
      <c r="H33" s="71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62</v>
      </c>
      <c r="C34" s="68" t="s">
        <v>30</v>
      </c>
      <c r="D34" s="52" t="s">
        <v>63</v>
      </c>
      <c r="E34" s="69"/>
      <c r="F34" s="70">
        <v>1</v>
      </c>
      <c r="G34" s="70">
        <v>250.92</v>
      </c>
      <c r="H34" s="71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18"/>
      <c r="B35" s="52" t="s">
        <v>119</v>
      </c>
      <c r="C35" s="68" t="s">
        <v>29</v>
      </c>
      <c r="D35" s="52" t="s">
        <v>63</v>
      </c>
      <c r="E35" s="69"/>
      <c r="F35" s="70">
        <v>1</v>
      </c>
      <c r="G35" s="70">
        <v>1490.31</v>
      </c>
      <c r="H35" s="71">
        <f t="shared" si="6"/>
        <v>1.49031</v>
      </c>
      <c r="I35" s="12">
        <v>0</v>
      </c>
      <c r="J35" s="21"/>
      <c r="K35" s="6"/>
      <c r="L35" s="6"/>
      <c r="M35" s="6"/>
    </row>
    <row r="36" spans="1:14" ht="15.75" hidden="1" customHeight="1">
      <c r="A36" s="115"/>
      <c r="B36" s="63" t="s">
        <v>4</v>
      </c>
      <c r="C36" s="117"/>
      <c r="D36" s="117"/>
      <c r="E36" s="117"/>
      <c r="F36" s="117"/>
      <c r="G36" s="117"/>
      <c r="H36" s="117"/>
      <c r="I36" s="117"/>
      <c r="J36" s="21"/>
      <c r="K36" s="6"/>
      <c r="L36" s="6"/>
      <c r="M36" s="6"/>
    </row>
    <row r="37" spans="1:14" ht="15.75" hidden="1" customHeight="1">
      <c r="A37" s="113">
        <v>6</v>
      </c>
      <c r="B37" s="52" t="s">
        <v>25</v>
      </c>
      <c r="C37" s="68" t="s">
        <v>29</v>
      </c>
      <c r="D37" s="52"/>
      <c r="E37" s="69"/>
      <c r="F37" s="70">
        <v>3</v>
      </c>
      <c r="G37" s="70">
        <v>2003</v>
      </c>
      <c r="H37" s="71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hidden="1" customHeight="1">
      <c r="A38" s="26">
        <v>7</v>
      </c>
      <c r="B38" s="52" t="s">
        <v>189</v>
      </c>
      <c r="C38" s="68" t="s">
        <v>27</v>
      </c>
      <c r="D38" s="52" t="s">
        <v>122</v>
      </c>
      <c r="E38" s="69">
        <v>92</v>
      </c>
      <c r="F38" s="70">
        <f>E38*30/1000</f>
        <v>2.76</v>
      </c>
      <c r="G38" s="70">
        <v>2757.78</v>
      </c>
      <c r="H38" s="71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123</v>
      </c>
      <c r="C39" s="68" t="s">
        <v>124</v>
      </c>
      <c r="D39" s="52" t="s">
        <v>63</v>
      </c>
      <c r="E39" s="69"/>
      <c r="F39" s="70">
        <v>52</v>
      </c>
      <c r="G39" s="70">
        <v>239.09</v>
      </c>
      <c r="H39" s="71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hidden="1" customHeight="1">
      <c r="A40" s="26"/>
      <c r="B40" s="52" t="s">
        <v>64</v>
      </c>
      <c r="C40" s="68" t="s">
        <v>27</v>
      </c>
      <c r="D40" s="52" t="s">
        <v>125</v>
      </c>
      <c r="E40" s="70">
        <f>E38</f>
        <v>92</v>
      </c>
      <c r="F40" s="70">
        <f>SUM(E40*155/1000)</f>
        <v>14.26</v>
      </c>
      <c r="G40" s="70">
        <v>460.02</v>
      </c>
      <c r="H40" s="71">
        <f t="shared" si="8"/>
        <v>6.5598852000000001</v>
      </c>
      <c r="I40" s="12">
        <f t="shared" si="9"/>
        <v>1093.3141999999998</v>
      </c>
      <c r="J40" s="22"/>
    </row>
    <row r="41" spans="1:14" ht="48" hidden="1" customHeight="1">
      <c r="A41" s="26">
        <v>9</v>
      </c>
      <c r="B41" s="52" t="s">
        <v>79</v>
      </c>
      <c r="C41" s="68" t="s">
        <v>100</v>
      </c>
      <c r="D41" s="52" t="s">
        <v>190</v>
      </c>
      <c r="E41" s="70">
        <v>92</v>
      </c>
      <c r="F41" s="70">
        <f>SUM(E41*35/1000)</f>
        <v>3.22</v>
      </c>
      <c r="G41" s="70">
        <v>7611.16</v>
      </c>
      <c r="H41" s="71">
        <f t="shared" si="8"/>
        <v>24.507935199999999</v>
      </c>
      <c r="I41" s="12">
        <f t="shared" si="9"/>
        <v>4084.655866666667</v>
      </c>
      <c r="J41" s="22"/>
    </row>
    <row r="42" spans="1:14" ht="15.75" hidden="1" customHeight="1">
      <c r="A42" s="26">
        <v>10</v>
      </c>
      <c r="B42" s="52" t="s">
        <v>127</v>
      </c>
      <c r="C42" s="68" t="s">
        <v>100</v>
      </c>
      <c r="D42" s="52" t="s">
        <v>191</v>
      </c>
      <c r="E42" s="70">
        <f>E38</f>
        <v>92</v>
      </c>
      <c r="F42" s="70">
        <f>SUM(E42*20/1000)</f>
        <v>1.84</v>
      </c>
      <c r="G42" s="70">
        <v>562.25</v>
      </c>
      <c r="H42" s="71">
        <f t="shared" si="8"/>
        <v>1.03454</v>
      </c>
      <c r="I42" s="12">
        <f>F42/6*G42</f>
        <v>172.42333333333335</v>
      </c>
      <c r="J42" s="22"/>
    </row>
    <row r="43" spans="1:14" ht="15.75" hidden="1" customHeight="1">
      <c r="A43" s="26">
        <v>11</v>
      </c>
      <c r="B43" s="52" t="s">
        <v>66</v>
      </c>
      <c r="C43" s="68" t="s">
        <v>30</v>
      </c>
      <c r="D43" s="52"/>
      <c r="E43" s="69"/>
      <c r="F43" s="70">
        <v>0.8</v>
      </c>
      <c r="G43" s="70">
        <v>992.97</v>
      </c>
      <c r="H43" s="71">
        <f t="shared" si="8"/>
        <v>0.79437600000000008</v>
      </c>
      <c r="I43" s="12">
        <f>F43/6*G43</f>
        <v>132.39600000000002</v>
      </c>
      <c r="J43" s="22"/>
    </row>
    <row r="44" spans="1:14" ht="15.75" hidden="1" customHeight="1">
      <c r="A44" s="153" t="s">
        <v>141</v>
      </c>
      <c r="B44" s="154"/>
      <c r="C44" s="154"/>
      <c r="D44" s="154"/>
      <c r="E44" s="154"/>
      <c r="F44" s="154"/>
      <c r="G44" s="154"/>
      <c r="H44" s="154"/>
      <c r="I44" s="155"/>
      <c r="J44" s="22"/>
      <c r="L44" s="18"/>
      <c r="M44" s="19"/>
      <c r="N44" s="20"/>
    </row>
    <row r="45" spans="1:14" ht="15.75" hidden="1" customHeight="1">
      <c r="A45" s="26">
        <v>17</v>
      </c>
      <c r="B45" s="33" t="s">
        <v>128</v>
      </c>
      <c r="C45" s="40" t="s">
        <v>100</v>
      </c>
      <c r="D45" s="33" t="s">
        <v>40</v>
      </c>
      <c r="E45" s="123">
        <v>1114.25</v>
      </c>
      <c r="F45" s="32">
        <f>SUM(E45*2/1000)</f>
        <v>2.2284999999999999</v>
      </c>
      <c r="G45" s="35">
        <v>1193.71</v>
      </c>
      <c r="H45" s="124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hidden="1" customHeight="1">
      <c r="A46" s="26">
        <v>18</v>
      </c>
      <c r="B46" s="33" t="s">
        <v>34</v>
      </c>
      <c r="C46" s="40" t="s">
        <v>100</v>
      </c>
      <c r="D46" s="33" t="s">
        <v>40</v>
      </c>
      <c r="E46" s="123">
        <v>2631</v>
      </c>
      <c r="F46" s="32">
        <f>SUM(E46*2/1000)</f>
        <v>5.2619999999999996</v>
      </c>
      <c r="G46" s="35">
        <v>1803.69</v>
      </c>
      <c r="H46" s="124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hidden="1" customHeight="1">
      <c r="A47" s="26">
        <v>19</v>
      </c>
      <c r="B47" s="33" t="s">
        <v>35</v>
      </c>
      <c r="C47" s="40" t="s">
        <v>100</v>
      </c>
      <c r="D47" s="33" t="s">
        <v>40</v>
      </c>
      <c r="E47" s="123">
        <v>1953.8</v>
      </c>
      <c r="F47" s="32">
        <f>SUM(E47*2/1000)</f>
        <v>3.9076</v>
      </c>
      <c r="G47" s="35">
        <v>1243.43</v>
      </c>
      <c r="H47" s="124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hidden="1" customHeight="1">
      <c r="A48" s="26">
        <v>20</v>
      </c>
      <c r="B48" s="33" t="s">
        <v>31</v>
      </c>
      <c r="C48" s="40" t="s">
        <v>32</v>
      </c>
      <c r="D48" s="33" t="s">
        <v>40</v>
      </c>
      <c r="E48" s="123">
        <v>91.84</v>
      </c>
      <c r="F48" s="32">
        <f>SUM(E48*2/100)</f>
        <v>1.8368</v>
      </c>
      <c r="G48" s="125">
        <v>1172.4100000000001</v>
      </c>
      <c r="H48" s="124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hidden="1" customHeight="1">
      <c r="A49" s="26">
        <v>21</v>
      </c>
      <c r="B49" s="33" t="s">
        <v>55</v>
      </c>
      <c r="C49" s="40" t="s">
        <v>100</v>
      </c>
      <c r="D49" s="33" t="s">
        <v>165</v>
      </c>
      <c r="E49" s="123">
        <v>3181</v>
      </c>
      <c r="F49" s="32">
        <f>SUM(E49*5/1000)</f>
        <v>15.904999999999999</v>
      </c>
      <c r="G49" s="35">
        <v>1083.69</v>
      </c>
      <c r="H49" s="124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13</v>
      </c>
      <c r="B50" s="33" t="s">
        <v>129</v>
      </c>
      <c r="C50" s="40" t="s">
        <v>100</v>
      </c>
      <c r="D50" s="33" t="s">
        <v>40</v>
      </c>
      <c r="E50" s="123">
        <v>3181</v>
      </c>
      <c r="F50" s="32">
        <f>SUM(E50*2/1000)</f>
        <v>6.3620000000000001</v>
      </c>
      <c r="G50" s="35">
        <v>1591.6</v>
      </c>
      <c r="H50" s="124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13</v>
      </c>
      <c r="B51" s="33" t="s">
        <v>130</v>
      </c>
      <c r="C51" s="40" t="s">
        <v>36</v>
      </c>
      <c r="D51" s="33" t="s">
        <v>40</v>
      </c>
      <c r="E51" s="123">
        <v>20</v>
      </c>
      <c r="F51" s="32">
        <f>SUM(E51*2/100)</f>
        <v>0.4</v>
      </c>
      <c r="G51" s="35">
        <v>4058.32</v>
      </c>
      <c r="H51" s="124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14</v>
      </c>
      <c r="B52" s="33" t="s">
        <v>37</v>
      </c>
      <c r="C52" s="40" t="s">
        <v>38</v>
      </c>
      <c r="D52" s="33" t="s">
        <v>40</v>
      </c>
      <c r="E52" s="123">
        <v>1</v>
      </c>
      <c r="F52" s="32">
        <v>0.02</v>
      </c>
      <c r="G52" s="35">
        <v>7412.92</v>
      </c>
      <c r="H52" s="124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hidden="1" customHeight="1">
      <c r="A53" s="26">
        <v>22</v>
      </c>
      <c r="B53" s="33" t="s">
        <v>131</v>
      </c>
      <c r="C53" s="40" t="s">
        <v>101</v>
      </c>
      <c r="D53" s="33" t="s">
        <v>67</v>
      </c>
      <c r="E53" s="123">
        <v>70</v>
      </c>
      <c r="F53" s="32">
        <f>E53*3</f>
        <v>210</v>
      </c>
      <c r="G53" s="35">
        <v>185.08</v>
      </c>
      <c r="H53" s="124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hidden="1" customHeight="1">
      <c r="A54" s="26">
        <v>23</v>
      </c>
      <c r="B54" s="33" t="s">
        <v>39</v>
      </c>
      <c r="C54" s="40" t="s">
        <v>101</v>
      </c>
      <c r="D54" s="33" t="s">
        <v>67</v>
      </c>
      <c r="E54" s="123">
        <v>140</v>
      </c>
      <c r="F54" s="32">
        <f>E54*3</f>
        <v>420</v>
      </c>
      <c r="G54" s="36">
        <v>86.15</v>
      </c>
      <c r="H54" s="124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53" t="s">
        <v>83</v>
      </c>
      <c r="B55" s="156"/>
      <c r="C55" s="156"/>
      <c r="D55" s="156"/>
      <c r="E55" s="156"/>
      <c r="F55" s="156"/>
      <c r="G55" s="156"/>
      <c r="H55" s="156"/>
      <c r="I55" s="157"/>
      <c r="J55" s="22"/>
      <c r="L55" s="18"/>
      <c r="M55" s="19"/>
      <c r="N55" s="20"/>
    </row>
    <row r="56" spans="1:14" ht="15.75" hidden="1" customHeight="1">
      <c r="A56" s="26"/>
      <c r="B56" s="93" t="s">
        <v>41</v>
      </c>
      <c r="C56" s="68"/>
      <c r="D56" s="52"/>
      <c r="E56" s="69"/>
      <c r="F56" s="70"/>
      <c r="G56" s="70"/>
      <c r="H56" s="71"/>
      <c r="I56" s="12"/>
      <c r="J56" s="22"/>
      <c r="L56" s="18"/>
      <c r="M56" s="19"/>
      <c r="N56" s="20"/>
    </row>
    <row r="57" spans="1:14" ht="31.5" hidden="1" customHeight="1">
      <c r="A57" s="26">
        <v>24</v>
      </c>
      <c r="B57" s="52" t="s">
        <v>132</v>
      </c>
      <c r="C57" s="68" t="s">
        <v>90</v>
      </c>
      <c r="D57" s="52" t="s">
        <v>133</v>
      </c>
      <c r="E57" s="69">
        <v>111.2</v>
      </c>
      <c r="F57" s="70">
        <f>SUM(E57*6/100)</f>
        <v>6.6720000000000006</v>
      </c>
      <c r="G57" s="12">
        <v>2431.1799999999998</v>
      </c>
      <c r="H57" s="71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15.75" hidden="1" customHeight="1">
      <c r="A58" s="26"/>
      <c r="B58" s="79" t="s">
        <v>135</v>
      </c>
      <c r="C58" s="78" t="s">
        <v>136</v>
      </c>
      <c r="D58" s="13" t="s">
        <v>63</v>
      </c>
      <c r="E58" s="80"/>
      <c r="F58" s="81">
        <v>3</v>
      </c>
      <c r="G58" s="12">
        <v>1582.05</v>
      </c>
      <c r="H58" s="71">
        <f>SUM(F58*G58/1000)</f>
        <v>4.7461499999999992</v>
      </c>
      <c r="I58" s="12">
        <v>0</v>
      </c>
      <c r="J58" s="22"/>
      <c r="L58" s="18"/>
      <c r="M58" s="19"/>
      <c r="N58" s="20"/>
    </row>
    <row r="59" spans="1:14" ht="15.75" hidden="1" customHeight="1">
      <c r="A59" s="26"/>
      <c r="B59" s="94" t="s">
        <v>42</v>
      </c>
      <c r="C59" s="78"/>
      <c r="D59" s="79"/>
      <c r="E59" s="80"/>
      <c r="F59" s="81"/>
      <c r="G59" s="12"/>
      <c r="H59" s="82"/>
      <c r="I59" s="12"/>
      <c r="J59" s="22"/>
      <c r="L59" s="18"/>
      <c r="M59" s="19"/>
      <c r="N59" s="20"/>
    </row>
    <row r="60" spans="1:14" ht="15.75" hidden="1" customHeight="1">
      <c r="A60" s="26"/>
      <c r="B60" s="79" t="s">
        <v>43</v>
      </c>
      <c r="C60" s="78" t="s">
        <v>51</v>
      </c>
      <c r="D60" s="79" t="s">
        <v>52</v>
      </c>
      <c r="E60" s="80">
        <v>222.85</v>
      </c>
      <c r="F60" s="81">
        <v>8.9</v>
      </c>
      <c r="G60" s="12">
        <v>1040.8399999999999</v>
      </c>
      <c r="H60" s="82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94" t="s">
        <v>44</v>
      </c>
      <c r="C61" s="78"/>
      <c r="D61" s="79"/>
      <c r="E61" s="80"/>
      <c r="F61" s="83"/>
      <c r="G61" s="83"/>
      <c r="H61" s="81" t="s">
        <v>110</v>
      </c>
      <c r="I61" s="12"/>
      <c r="J61" s="22"/>
      <c r="L61" s="18"/>
      <c r="M61" s="19"/>
      <c r="N61" s="20"/>
    </row>
    <row r="62" spans="1:14" ht="15.75" customHeight="1">
      <c r="A62" s="26">
        <v>9</v>
      </c>
      <c r="B62" s="13" t="s">
        <v>45</v>
      </c>
      <c r="C62" s="15" t="s">
        <v>101</v>
      </c>
      <c r="D62" s="13" t="s">
        <v>63</v>
      </c>
      <c r="E62" s="17">
        <v>4</v>
      </c>
      <c r="F62" s="70">
        <f>E62</f>
        <v>4</v>
      </c>
      <c r="G62" s="12">
        <v>291.68</v>
      </c>
      <c r="H62" s="84">
        <f t="shared" ref="H62:H70" si="13">SUM(F62*G62/1000)</f>
        <v>1.16672</v>
      </c>
      <c r="I62" s="12">
        <f>G62</f>
        <v>291.68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46</v>
      </c>
      <c r="C63" s="15" t="s">
        <v>101</v>
      </c>
      <c r="D63" s="13" t="s">
        <v>63</v>
      </c>
      <c r="E63" s="17">
        <v>4</v>
      </c>
      <c r="F63" s="70">
        <f>E63</f>
        <v>4</v>
      </c>
      <c r="G63" s="12">
        <v>100.01</v>
      </c>
      <c r="H63" s="84">
        <f t="shared" si="13"/>
        <v>0.40004000000000001</v>
      </c>
      <c r="I63" s="12">
        <v>0</v>
      </c>
      <c r="J63" s="22"/>
      <c r="L63" s="18"/>
      <c r="M63" s="19"/>
      <c r="N63" s="20"/>
    </row>
    <row r="64" spans="1:14" ht="15.75" hidden="1" customHeight="1">
      <c r="A64" s="26">
        <v>24</v>
      </c>
      <c r="B64" s="13" t="s">
        <v>47</v>
      </c>
      <c r="C64" s="15" t="s">
        <v>102</v>
      </c>
      <c r="D64" s="13" t="s">
        <v>52</v>
      </c>
      <c r="E64" s="69">
        <v>12702</v>
      </c>
      <c r="F64" s="12">
        <f>SUM(E64/100)</f>
        <v>127.02</v>
      </c>
      <c r="G64" s="12">
        <v>278.24</v>
      </c>
      <c r="H64" s="84">
        <f t="shared" si="13"/>
        <v>35.342044800000004</v>
      </c>
      <c r="I64" s="12">
        <f>F64*G64</f>
        <v>35342.044800000003</v>
      </c>
      <c r="J64" s="22"/>
      <c r="L64" s="18"/>
      <c r="M64" s="19"/>
      <c r="N64" s="20"/>
    </row>
    <row r="65" spans="1:14" ht="15.75" hidden="1" customHeight="1">
      <c r="A65" s="26">
        <v>25</v>
      </c>
      <c r="B65" s="13" t="s">
        <v>48</v>
      </c>
      <c r="C65" s="15" t="s">
        <v>103</v>
      </c>
      <c r="D65" s="13"/>
      <c r="E65" s="69">
        <v>12702</v>
      </c>
      <c r="F65" s="12">
        <f>SUM(E65/1000)</f>
        <v>12.702</v>
      </c>
      <c r="G65" s="12">
        <v>216.68</v>
      </c>
      <c r="H65" s="84">
        <f t="shared" si="13"/>
        <v>2.7522693600000001</v>
      </c>
      <c r="I65" s="12">
        <f t="shared" ref="I65:I68" si="14">F65*G65</f>
        <v>2752.2693600000002</v>
      </c>
      <c r="J65" s="22"/>
      <c r="L65" s="18"/>
      <c r="M65" s="19"/>
      <c r="N65" s="20"/>
    </row>
    <row r="66" spans="1:14" ht="15.75" hidden="1" customHeight="1">
      <c r="A66" s="26">
        <v>26</v>
      </c>
      <c r="B66" s="13" t="s">
        <v>49</v>
      </c>
      <c r="C66" s="15" t="s">
        <v>73</v>
      </c>
      <c r="D66" s="13" t="s">
        <v>52</v>
      </c>
      <c r="E66" s="69">
        <v>2200</v>
      </c>
      <c r="F66" s="12">
        <f>SUM(E66/100)</f>
        <v>22</v>
      </c>
      <c r="G66" s="12">
        <v>2720.94</v>
      </c>
      <c r="H66" s="84">
        <f t="shared" si="13"/>
        <v>59.860680000000002</v>
      </c>
      <c r="I66" s="12">
        <f t="shared" si="14"/>
        <v>59860.68</v>
      </c>
      <c r="J66" s="22"/>
      <c r="L66" s="18"/>
      <c r="M66" s="19"/>
      <c r="N66" s="20"/>
    </row>
    <row r="67" spans="1:14" ht="15.75" hidden="1" customHeight="1">
      <c r="A67" s="26">
        <v>27</v>
      </c>
      <c r="B67" s="85" t="s">
        <v>104</v>
      </c>
      <c r="C67" s="15" t="s">
        <v>30</v>
      </c>
      <c r="D67" s="13"/>
      <c r="E67" s="69">
        <v>9.6</v>
      </c>
      <c r="F67" s="12">
        <f>SUM(E67)</f>
        <v>9.6</v>
      </c>
      <c r="G67" s="12">
        <v>42.61</v>
      </c>
      <c r="H67" s="84">
        <f t="shared" si="13"/>
        <v>0.40905599999999998</v>
      </c>
      <c r="I67" s="12">
        <f t="shared" si="14"/>
        <v>409.05599999999998</v>
      </c>
      <c r="J67" s="22"/>
      <c r="L67" s="18"/>
      <c r="M67" s="19"/>
      <c r="N67" s="20"/>
    </row>
    <row r="68" spans="1:14" ht="15.75" hidden="1" customHeight="1">
      <c r="A68" s="26">
        <v>28</v>
      </c>
      <c r="B68" s="85" t="s">
        <v>105</v>
      </c>
      <c r="C68" s="15" t="s">
        <v>30</v>
      </c>
      <c r="D68" s="13"/>
      <c r="E68" s="69">
        <v>9.6</v>
      </c>
      <c r="F68" s="12">
        <f>SUM(E68)</f>
        <v>9.6</v>
      </c>
      <c r="G68" s="12">
        <v>46.04</v>
      </c>
      <c r="H68" s="84">
        <f t="shared" si="13"/>
        <v>0.44198399999999999</v>
      </c>
      <c r="I68" s="12">
        <f t="shared" si="14"/>
        <v>441.98399999999998</v>
      </c>
      <c r="J68" s="22"/>
      <c r="L68" s="18"/>
      <c r="M68" s="19"/>
      <c r="N68" s="20"/>
    </row>
    <row r="69" spans="1:14" ht="15.75" hidden="1" customHeight="1">
      <c r="A69" s="26"/>
      <c r="B69" s="13" t="s">
        <v>56</v>
      </c>
      <c r="C69" s="15" t="s">
        <v>57</v>
      </c>
      <c r="D69" s="13" t="s">
        <v>52</v>
      </c>
      <c r="E69" s="17">
        <v>4</v>
      </c>
      <c r="F69" s="12">
        <f>SUM(E69)</f>
        <v>4</v>
      </c>
      <c r="G69" s="12">
        <v>65.42</v>
      </c>
      <c r="H69" s="84">
        <f t="shared" si="13"/>
        <v>0.26168000000000002</v>
      </c>
      <c r="I69" s="12">
        <v>0</v>
      </c>
      <c r="J69" s="22"/>
      <c r="L69" s="18"/>
      <c r="M69" s="19"/>
      <c r="N69" s="20"/>
    </row>
    <row r="70" spans="1:14" ht="15.75" customHeight="1">
      <c r="A70" s="26">
        <v>10</v>
      </c>
      <c r="B70" s="13" t="s">
        <v>192</v>
      </c>
      <c r="C70" s="26" t="s">
        <v>193</v>
      </c>
      <c r="D70" s="13" t="s">
        <v>63</v>
      </c>
      <c r="E70" s="17">
        <v>3181</v>
      </c>
      <c r="F70" s="70">
        <f>SUM(E70)*12</f>
        <v>38172</v>
      </c>
      <c r="G70" s="12">
        <v>2.2799999999999998</v>
      </c>
      <c r="H70" s="84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5.75" hidden="1" customHeight="1">
      <c r="A71" s="26"/>
      <c r="B71" s="63" t="s">
        <v>68</v>
      </c>
      <c r="C71" s="15"/>
      <c r="D71" s="13"/>
      <c r="E71" s="17"/>
      <c r="F71" s="12"/>
      <c r="G71" s="12"/>
      <c r="H71" s="84" t="s">
        <v>110</v>
      </c>
      <c r="I71" s="12"/>
      <c r="J71" s="22"/>
      <c r="L71" s="18"/>
      <c r="M71" s="19"/>
      <c r="N71" s="20"/>
    </row>
    <row r="72" spans="1:14" ht="31.5" hidden="1" customHeight="1">
      <c r="A72" s="26">
        <v>18</v>
      </c>
      <c r="B72" s="13" t="s">
        <v>194</v>
      </c>
      <c r="C72" s="15" t="s">
        <v>28</v>
      </c>
      <c r="D72" s="13" t="s">
        <v>63</v>
      </c>
      <c r="E72" s="17">
        <v>1</v>
      </c>
      <c r="F72" s="70">
        <f t="shared" ref="F72" si="15">E72</f>
        <v>1</v>
      </c>
      <c r="G72" s="12">
        <v>1543.4</v>
      </c>
      <c r="H72" s="84">
        <f>G72*F72/1000</f>
        <v>1.5434000000000001</v>
      </c>
      <c r="I72" s="12">
        <v>0</v>
      </c>
      <c r="J72" s="22"/>
      <c r="L72" s="18"/>
      <c r="M72" s="19"/>
      <c r="N72" s="20"/>
    </row>
    <row r="73" spans="1:14" ht="15.75" hidden="1" customHeight="1">
      <c r="A73" s="26"/>
      <c r="B73" s="51" t="s">
        <v>195</v>
      </c>
      <c r="C73" s="57" t="s">
        <v>101</v>
      </c>
      <c r="D73" s="13" t="s">
        <v>63</v>
      </c>
      <c r="E73" s="17">
        <v>1</v>
      </c>
      <c r="F73" s="70">
        <f>E73</f>
        <v>1</v>
      </c>
      <c r="G73" s="12">
        <v>130.96</v>
      </c>
      <c r="H73" s="84">
        <f>G73*F73/1000</f>
        <v>0.13096000000000002</v>
      </c>
      <c r="I73" s="12">
        <v>0</v>
      </c>
      <c r="J73" s="22"/>
      <c r="L73" s="18"/>
      <c r="M73" s="19"/>
      <c r="N73" s="20"/>
    </row>
    <row r="74" spans="1:14" ht="15.75" hidden="1" customHeight="1">
      <c r="A74" s="26"/>
      <c r="B74" s="13" t="s">
        <v>69</v>
      </c>
      <c r="C74" s="15" t="s">
        <v>71</v>
      </c>
      <c r="D74" s="13" t="s">
        <v>63</v>
      </c>
      <c r="E74" s="17">
        <v>3</v>
      </c>
      <c r="F74" s="70">
        <f>E74/10</f>
        <v>0.3</v>
      </c>
      <c r="G74" s="12">
        <v>657.87</v>
      </c>
      <c r="H74" s="84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15.75" hidden="1" customHeight="1">
      <c r="A75" s="26"/>
      <c r="B75" s="13" t="s">
        <v>70</v>
      </c>
      <c r="C75" s="15" t="s">
        <v>28</v>
      </c>
      <c r="D75" s="13" t="s">
        <v>63</v>
      </c>
      <c r="E75" s="17">
        <v>1</v>
      </c>
      <c r="F75" s="70">
        <f>E75</f>
        <v>1</v>
      </c>
      <c r="G75" s="12">
        <v>1118.72</v>
      </c>
      <c r="H75" s="84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15.75" hidden="1" customHeight="1">
      <c r="A76" s="26"/>
      <c r="B76" s="51" t="s">
        <v>196</v>
      </c>
      <c r="C76" s="57" t="s">
        <v>101</v>
      </c>
      <c r="D76" s="13" t="s">
        <v>63</v>
      </c>
      <c r="E76" s="17">
        <v>1</v>
      </c>
      <c r="F76" s="70">
        <f>E76</f>
        <v>1</v>
      </c>
      <c r="G76" s="12">
        <v>1605.83</v>
      </c>
      <c r="H76" s="84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15.75" hidden="1" customHeight="1">
      <c r="A77" s="26"/>
      <c r="B77" s="51" t="s">
        <v>197</v>
      </c>
      <c r="C77" s="57" t="s">
        <v>101</v>
      </c>
      <c r="D77" s="13" t="s">
        <v>63</v>
      </c>
      <c r="E77" s="17">
        <v>2</v>
      </c>
      <c r="F77" s="70">
        <f>E77*12</f>
        <v>24</v>
      </c>
      <c r="G77" s="12">
        <v>53.42</v>
      </c>
      <c r="H77" s="84">
        <f t="shared" si="16"/>
        <v>1.2820799999999999</v>
      </c>
      <c r="I77" s="12">
        <v>0</v>
      </c>
      <c r="J77" s="22"/>
      <c r="L77" s="18"/>
      <c r="M77" s="19"/>
      <c r="N77" s="20"/>
    </row>
    <row r="78" spans="1:14" ht="15.75" hidden="1" customHeight="1">
      <c r="A78" s="26"/>
      <c r="B78" s="86" t="s">
        <v>72</v>
      </c>
      <c r="C78" s="15"/>
      <c r="D78" s="13"/>
      <c r="E78" s="17"/>
      <c r="F78" s="12"/>
      <c r="G78" s="12" t="s">
        <v>110</v>
      </c>
      <c r="H78" s="84" t="s">
        <v>110</v>
      </c>
      <c r="I78" s="12"/>
      <c r="J78" s="22"/>
      <c r="L78" s="18"/>
      <c r="M78" s="19"/>
      <c r="N78" s="20"/>
    </row>
    <row r="79" spans="1:14" ht="15.75" hidden="1" customHeight="1">
      <c r="A79" s="26"/>
      <c r="B79" s="46" t="s">
        <v>109</v>
      </c>
      <c r="C79" s="15" t="s">
        <v>73</v>
      </c>
      <c r="D79" s="13"/>
      <c r="E79" s="17"/>
      <c r="F79" s="12">
        <v>1</v>
      </c>
      <c r="G79" s="12">
        <v>3370.89</v>
      </c>
      <c r="H79" s="84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15.75" hidden="1" customHeight="1">
      <c r="A80" s="26"/>
      <c r="B80" s="63" t="s">
        <v>106</v>
      </c>
      <c r="C80" s="86"/>
      <c r="D80" s="27"/>
      <c r="E80" s="31"/>
      <c r="F80" s="75"/>
      <c r="G80" s="75"/>
      <c r="H80" s="87">
        <f>SUM(H57:H79)</f>
        <v>227.14633412000001</v>
      </c>
      <c r="I80" s="75"/>
      <c r="J80" s="22"/>
      <c r="L80" s="18"/>
      <c r="M80" s="19"/>
      <c r="N80" s="20"/>
    </row>
    <row r="81" spans="1:14" ht="15.75" hidden="1" customHeight="1">
      <c r="A81" s="118">
        <v>15</v>
      </c>
      <c r="B81" s="54" t="s">
        <v>107</v>
      </c>
      <c r="C81" s="126"/>
      <c r="D81" s="127"/>
      <c r="E81" s="127"/>
      <c r="F81" s="128">
        <v>1</v>
      </c>
      <c r="G81" s="128">
        <v>23195</v>
      </c>
      <c r="H81" s="129">
        <f>G81*F81/1000</f>
        <v>23.195</v>
      </c>
      <c r="I81" s="90">
        <f>G81</f>
        <v>23195</v>
      </c>
      <c r="J81" s="22"/>
      <c r="L81" s="18"/>
      <c r="M81" s="19"/>
      <c r="N81" s="20"/>
    </row>
    <row r="82" spans="1:14" ht="15.75" hidden="1" customHeight="1">
      <c r="A82" s="50"/>
      <c r="B82" s="130" t="s">
        <v>198</v>
      </c>
      <c r="C82" s="15"/>
      <c r="D82" s="13"/>
      <c r="E82" s="13"/>
      <c r="F82" s="12">
        <v>69</v>
      </c>
      <c r="G82" s="12">
        <v>700</v>
      </c>
      <c r="H82" s="84">
        <f>G82*F82/1000</f>
        <v>48.3</v>
      </c>
      <c r="I82" s="131">
        <v>0</v>
      </c>
      <c r="J82" s="22"/>
      <c r="L82" s="18"/>
      <c r="M82" s="19"/>
      <c r="N82" s="20"/>
    </row>
    <row r="83" spans="1:14" ht="15.75" customHeight="1">
      <c r="A83" s="134" t="s">
        <v>151</v>
      </c>
      <c r="B83" s="164"/>
      <c r="C83" s="164"/>
      <c r="D83" s="164"/>
      <c r="E83" s="164"/>
      <c r="F83" s="164"/>
      <c r="G83" s="164"/>
      <c r="H83" s="164"/>
      <c r="I83" s="165"/>
      <c r="J83" s="22"/>
      <c r="L83" s="18"/>
      <c r="M83" s="19"/>
      <c r="N83" s="20"/>
    </row>
    <row r="84" spans="1:14" ht="15.75" customHeight="1">
      <c r="A84" s="113">
        <v>11</v>
      </c>
      <c r="B84" s="33" t="s">
        <v>134</v>
      </c>
      <c r="C84" s="38" t="s">
        <v>53</v>
      </c>
      <c r="D84" s="89" t="s">
        <v>54</v>
      </c>
      <c r="E84" s="35">
        <v>3181</v>
      </c>
      <c r="F84" s="35">
        <f>SUM(E84*12)</f>
        <v>38172</v>
      </c>
      <c r="G84" s="35">
        <v>3.1</v>
      </c>
      <c r="H84" s="120">
        <f>SUM(F84*G84/1000)</f>
        <v>118.33319999999999</v>
      </c>
      <c r="I84" s="114">
        <f>F84/12*G84</f>
        <v>9861.1</v>
      </c>
      <c r="J84" s="22"/>
      <c r="L84" s="18"/>
      <c r="M84" s="19"/>
      <c r="N84" s="20"/>
    </row>
    <row r="85" spans="1:14" ht="31.5" customHeight="1">
      <c r="A85" s="26">
        <v>12</v>
      </c>
      <c r="B85" s="13" t="s">
        <v>74</v>
      </c>
      <c r="C85" s="15"/>
      <c r="D85" s="89" t="s">
        <v>54</v>
      </c>
      <c r="E85" s="69">
        <v>3181</v>
      </c>
      <c r="F85" s="12">
        <f>E85*12</f>
        <v>38172</v>
      </c>
      <c r="G85" s="12">
        <v>3.5</v>
      </c>
      <c r="H85" s="84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77</v>
      </c>
      <c r="C86" s="15"/>
      <c r="D86" s="46"/>
      <c r="E86" s="12"/>
      <c r="F86" s="12"/>
      <c r="G86" s="12"/>
      <c r="H86" s="84">
        <f>H85</f>
        <v>133.602</v>
      </c>
      <c r="I86" s="75">
        <f>I16+I17+I18+I26+I27+I30+I31+I33+I62+I70+I84+I85</f>
        <v>49560.95805377778</v>
      </c>
      <c r="J86" s="22"/>
      <c r="L86" s="18"/>
      <c r="M86" s="19"/>
      <c r="N86" s="20"/>
    </row>
    <row r="87" spans="1:14" ht="15.75" customHeight="1">
      <c r="A87" s="139" t="s">
        <v>58</v>
      </c>
      <c r="B87" s="140"/>
      <c r="C87" s="140"/>
      <c r="D87" s="140"/>
      <c r="E87" s="140"/>
      <c r="F87" s="140"/>
      <c r="G87" s="140"/>
      <c r="H87" s="140"/>
      <c r="I87" s="141"/>
      <c r="J87" s="22"/>
      <c r="L87" s="18"/>
      <c r="M87" s="19"/>
      <c r="N87" s="20"/>
    </row>
    <row r="88" spans="1:14" ht="15.75" customHeight="1">
      <c r="A88" s="50">
        <v>13</v>
      </c>
      <c r="B88" s="56" t="s">
        <v>166</v>
      </c>
      <c r="C88" s="55" t="s">
        <v>116</v>
      </c>
      <c r="D88" s="13"/>
      <c r="E88" s="17"/>
      <c r="F88" s="12">
        <f>49/3</f>
        <v>16.333333333333332</v>
      </c>
      <c r="G88" s="12">
        <v>1120.8900000000001</v>
      </c>
      <c r="H88" s="84">
        <f t="shared" ref="H88" si="18">G88*F88/1000</f>
        <v>18.307869999999998</v>
      </c>
      <c r="I88" s="90">
        <f>G88*((3+3+5)/3)</f>
        <v>4109.93</v>
      </c>
      <c r="J88" s="22"/>
      <c r="L88" s="18"/>
      <c r="M88" s="19"/>
      <c r="N88" s="20"/>
    </row>
    <row r="89" spans="1:14" ht="31.5" customHeight="1">
      <c r="A89" s="26">
        <v>14</v>
      </c>
      <c r="B89" s="51" t="s">
        <v>202</v>
      </c>
      <c r="C89" s="57" t="s">
        <v>140</v>
      </c>
      <c r="D89" s="13"/>
      <c r="E89" s="17"/>
      <c r="F89" s="12">
        <v>1</v>
      </c>
      <c r="G89" s="12">
        <v>589.84</v>
      </c>
      <c r="H89" s="84">
        <f>G89*F89/1000</f>
        <v>0.58984000000000003</v>
      </c>
      <c r="I89" s="90">
        <f>G89</f>
        <v>589.84</v>
      </c>
      <c r="J89" s="22"/>
      <c r="L89" s="18"/>
      <c r="M89" s="19"/>
      <c r="N89" s="20"/>
    </row>
    <row r="90" spans="1:14" ht="15.75" customHeight="1">
      <c r="A90" s="26">
        <v>15</v>
      </c>
      <c r="B90" s="51" t="s">
        <v>234</v>
      </c>
      <c r="C90" s="57" t="s">
        <v>30</v>
      </c>
      <c r="D90" s="37"/>
      <c r="E90" s="16"/>
      <c r="F90" s="35">
        <f>(85.32+148.17+33.55+54.54+60.93+92.64)-(5.986*6)</f>
        <v>439.23399999999998</v>
      </c>
      <c r="G90" s="35">
        <v>42.61</v>
      </c>
      <c r="H90" s="35">
        <f t="shared" ref="H90" si="19">G90*F90/1000</f>
        <v>18.715760739999997</v>
      </c>
      <c r="I90" s="90">
        <f>G90*F90</f>
        <v>18715.760739999998</v>
      </c>
      <c r="J90" s="22"/>
      <c r="L90" s="18"/>
      <c r="M90" s="19"/>
      <c r="N90" s="20"/>
    </row>
    <row r="91" spans="1:14" ht="15.75" customHeight="1">
      <c r="A91" s="26"/>
      <c r="B91" s="27" t="s">
        <v>50</v>
      </c>
      <c r="C91" s="41"/>
      <c r="D91" s="47"/>
      <c r="E91" s="41">
        <v>1</v>
      </c>
      <c r="F91" s="41"/>
      <c r="G91" s="41"/>
      <c r="H91" s="41"/>
      <c r="I91" s="31">
        <f>SUM(I88:I90)</f>
        <v>23415.530739999998</v>
      </c>
      <c r="J91" s="22"/>
      <c r="L91" s="18"/>
      <c r="M91" s="19"/>
      <c r="N91" s="20"/>
    </row>
    <row r="92" spans="1:14" ht="15.75" customHeight="1">
      <c r="A92" s="26"/>
      <c r="B92" s="46" t="s">
        <v>75</v>
      </c>
      <c r="C92" s="14"/>
      <c r="D92" s="14"/>
      <c r="E92" s="42"/>
      <c r="F92" s="42"/>
      <c r="G92" s="43"/>
      <c r="H92" s="43"/>
      <c r="I92" s="16">
        <v>0</v>
      </c>
      <c r="J92" s="22"/>
      <c r="L92" s="18"/>
      <c r="M92" s="19"/>
      <c r="N92" s="20"/>
    </row>
    <row r="93" spans="1:14" ht="15.75" customHeight="1">
      <c r="A93" s="48"/>
      <c r="B93" s="45" t="s">
        <v>174</v>
      </c>
      <c r="C93" s="34"/>
      <c r="D93" s="34"/>
      <c r="E93" s="34"/>
      <c r="F93" s="34"/>
      <c r="G93" s="34"/>
      <c r="H93" s="34"/>
      <c r="I93" s="44">
        <f>I86+I91</f>
        <v>72976.488793777782</v>
      </c>
      <c r="J93" s="22"/>
      <c r="L93" s="18"/>
      <c r="M93" s="19"/>
      <c r="N93" s="20"/>
    </row>
    <row r="94" spans="1:14" ht="15.75" customHeight="1">
      <c r="A94" s="149" t="s">
        <v>235</v>
      </c>
      <c r="B94" s="149"/>
      <c r="C94" s="149"/>
      <c r="D94" s="149"/>
      <c r="E94" s="149"/>
      <c r="F94" s="149"/>
      <c r="G94" s="149"/>
      <c r="H94" s="149"/>
      <c r="I94" s="149"/>
      <c r="J94" s="22"/>
      <c r="L94" s="18"/>
      <c r="M94" s="19"/>
      <c r="N94" s="20"/>
    </row>
    <row r="95" spans="1:14" ht="15.75" customHeight="1">
      <c r="A95" s="8"/>
      <c r="B95" s="163" t="s">
        <v>236</v>
      </c>
      <c r="C95" s="163"/>
      <c r="D95" s="163"/>
      <c r="E95" s="163"/>
      <c r="F95" s="163"/>
      <c r="G95" s="163"/>
      <c r="H95" s="95"/>
      <c r="I95" s="3"/>
      <c r="J95" s="22"/>
      <c r="L95" s="18"/>
      <c r="M95" s="19"/>
      <c r="N95" s="20"/>
    </row>
    <row r="96" spans="1:14" ht="15.75" customHeight="1">
      <c r="A96" s="97"/>
      <c r="B96" s="148" t="s">
        <v>5</v>
      </c>
      <c r="C96" s="148"/>
      <c r="D96" s="148"/>
      <c r="E96" s="148"/>
      <c r="F96" s="148"/>
      <c r="G96" s="148"/>
      <c r="H96" s="23"/>
      <c r="I96" s="5"/>
      <c r="J96" s="22"/>
      <c r="K96" s="22"/>
      <c r="L96" s="22"/>
      <c r="M96" s="19"/>
      <c r="N96" s="20"/>
    </row>
    <row r="97" spans="1:22" ht="15.75" customHeight="1">
      <c r="A97" s="9"/>
      <c r="B97" s="9"/>
      <c r="C97" s="9"/>
      <c r="D97" s="9"/>
      <c r="E97" s="9"/>
      <c r="F97" s="9"/>
      <c r="G97" s="9"/>
      <c r="H97" s="9"/>
      <c r="I97" s="9"/>
      <c r="J97" s="22"/>
      <c r="K97" s="22"/>
      <c r="L97" s="22"/>
      <c r="M97" s="19"/>
      <c r="N97" s="20"/>
    </row>
    <row r="98" spans="1:22" ht="15.75" customHeight="1">
      <c r="A98" s="161" t="s">
        <v>6</v>
      </c>
      <c r="B98" s="161"/>
      <c r="C98" s="161"/>
      <c r="D98" s="161"/>
      <c r="E98" s="161"/>
      <c r="F98" s="161"/>
      <c r="G98" s="161"/>
      <c r="H98" s="161"/>
      <c r="I98" s="161"/>
      <c r="J98" s="22"/>
      <c r="K98" s="22"/>
      <c r="L98" s="22"/>
    </row>
    <row r="99" spans="1:22" ht="15.75" customHeight="1">
      <c r="A99" s="161" t="s">
        <v>7</v>
      </c>
      <c r="B99" s="161"/>
      <c r="C99" s="161"/>
      <c r="D99" s="161"/>
      <c r="E99" s="161"/>
      <c r="F99" s="161"/>
      <c r="G99" s="161"/>
      <c r="H99" s="161"/>
      <c r="I99" s="161"/>
      <c r="J99" s="22"/>
      <c r="K99" s="22"/>
      <c r="L99" s="22"/>
    </row>
    <row r="100" spans="1:22" ht="15.75" customHeight="1">
      <c r="A100" s="149" t="s">
        <v>8</v>
      </c>
      <c r="B100" s="149"/>
      <c r="C100" s="149"/>
      <c r="D100" s="149"/>
      <c r="E100" s="149"/>
      <c r="F100" s="149"/>
      <c r="G100" s="149"/>
      <c r="H100" s="149"/>
      <c r="I100" s="149"/>
    </row>
    <row r="101" spans="1:22" ht="15.75" customHeight="1">
      <c r="A101" s="1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7"/>
    </row>
    <row r="102" spans="1:22" ht="15.75" customHeight="1">
      <c r="A102" s="162" t="s">
        <v>9</v>
      </c>
      <c r="B102" s="162"/>
      <c r="C102" s="162"/>
      <c r="D102" s="162"/>
      <c r="E102" s="162"/>
      <c r="F102" s="162"/>
      <c r="G102" s="162"/>
      <c r="H102" s="162"/>
      <c r="I102" s="162"/>
      <c r="J102" s="24"/>
      <c r="K102" s="24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2" ht="15.75" customHeight="1">
      <c r="A103" s="4"/>
      <c r="J103" s="3"/>
      <c r="K103" s="3"/>
      <c r="L103" s="3"/>
      <c r="M103" s="3"/>
      <c r="N103" s="3"/>
      <c r="O103" s="3"/>
      <c r="P103" s="3"/>
      <c r="Q103" s="3"/>
      <c r="S103" s="3"/>
      <c r="T103" s="3"/>
      <c r="U103" s="3"/>
    </row>
    <row r="104" spans="1:22" ht="15.75" customHeight="1">
      <c r="A104" s="149" t="s">
        <v>10</v>
      </c>
      <c r="B104" s="149"/>
      <c r="C104" s="151" t="s">
        <v>84</v>
      </c>
      <c r="D104" s="151"/>
      <c r="E104" s="151"/>
      <c r="F104" s="65"/>
      <c r="I104" s="100"/>
      <c r="J104" s="5"/>
      <c r="K104" s="5"/>
      <c r="L104" s="5"/>
      <c r="M104" s="5"/>
      <c r="N104" s="5"/>
      <c r="O104" s="5"/>
      <c r="P104" s="5"/>
      <c r="Q104" s="5"/>
      <c r="R104" s="147"/>
      <c r="S104" s="147"/>
      <c r="T104" s="147"/>
      <c r="U104" s="147"/>
    </row>
    <row r="105" spans="1:22" ht="15.75" customHeight="1">
      <c r="A105" s="97"/>
      <c r="C105" s="148" t="s">
        <v>11</v>
      </c>
      <c r="D105" s="148"/>
      <c r="E105" s="148"/>
      <c r="F105" s="23"/>
      <c r="I105" s="98" t="s">
        <v>12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2" ht="15.75" customHeight="1">
      <c r="A106" s="24"/>
      <c r="C106" s="11"/>
      <c r="D106" s="11"/>
      <c r="G106" s="11"/>
      <c r="H106" s="11"/>
    </row>
    <row r="107" spans="1:22" ht="15.75" customHeight="1">
      <c r="A107" s="149" t="s">
        <v>13</v>
      </c>
      <c r="B107" s="149"/>
      <c r="C107" s="150"/>
      <c r="D107" s="150"/>
      <c r="E107" s="150"/>
      <c r="F107" s="66"/>
      <c r="I107" s="100"/>
    </row>
    <row r="108" spans="1:22" ht="15.75" customHeight="1">
      <c r="A108" s="97"/>
      <c r="C108" s="147" t="s">
        <v>11</v>
      </c>
      <c r="D108" s="147"/>
      <c r="E108" s="147"/>
      <c r="F108" s="97"/>
      <c r="I108" s="98" t="s">
        <v>12</v>
      </c>
    </row>
    <row r="109" spans="1:22" ht="15.75" customHeight="1">
      <c r="A109" s="4" t="s">
        <v>14</v>
      </c>
    </row>
    <row r="110" spans="1:22" ht="15" customHeight="1">
      <c r="A110" s="160" t="s">
        <v>15</v>
      </c>
      <c r="B110" s="160"/>
      <c r="C110" s="160"/>
      <c r="D110" s="160"/>
      <c r="E110" s="160"/>
      <c r="F110" s="160"/>
      <c r="G110" s="160"/>
      <c r="H110" s="160"/>
      <c r="I110" s="160"/>
    </row>
    <row r="111" spans="1:22" ht="45" customHeight="1">
      <c r="A111" s="152" t="s">
        <v>16</v>
      </c>
      <c r="B111" s="152"/>
      <c r="C111" s="152"/>
      <c r="D111" s="152"/>
      <c r="E111" s="152"/>
      <c r="F111" s="152"/>
      <c r="G111" s="152"/>
      <c r="H111" s="152"/>
      <c r="I111" s="152"/>
    </row>
    <row r="112" spans="1:22" ht="30" customHeight="1">
      <c r="A112" s="152" t="s">
        <v>17</v>
      </c>
      <c r="B112" s="152"/>
      <c r="C112" s="152"/>
      <c r="D112" s="152"/>
      <c r="E112" s="152"/>
      <c r="F112" s="152"/>
      <c r="G112" s="152"/>
      <c r="H112" s="152"/>
      <c r="I112" s="152"/>
    </row>
    <row r="113" spans="1:9" ht="30" customHeight="1">
      <c r="A113" s="152" t="s">
        <v>21</v>
      </c>
      <c r="B113" s="152"/>
      <c r="C113" s="152"/>
      <c r="D113" s="152"/>
      <c r="E113" s="152"/>
      <c r="F113" s="152"/>
      <c r="G113" s="152"/>
      <c r="H113" s="152"/>
      <c r="I113" s="152"/>
    </row>
    <row r="114" spans="1:9" ht="15" customHeight="1">
      <c r="A114" s="152" t="s">
        <v>20</v>
      </c>
      <c r="B114" s="152"/>
      <c r="C114" s="152"/>
      <c r="D114" s="152"/>
      <c r="E114" s="152"/>
      <c r="F114" s="152"/>
      <c r="G114" s="152"/>
      <c r="H114" s="152"/>
      <c r="I114" s="152"/>
    </row>
  </sheetData>
  <autoFilter ref="I12:I100"/>
  <mergeCells count="31">
    <mergeCell ref="A14:I14"/>
    <mergeCell ref="A3:I3"/>
    <mergeCell ref="A4:I4"/>
    <mergeCell ref="A5:I5"/>
    <mergeCell ref="A8:I8"/>
    <mergeCell ref="A10:I10"/>
    <mergeCell ref="A100:I100"/>
    <mergeCell ref="A15:I15"/>
    <mergeCell ref="A28:I28"/>
    <mergeCell ref="A44:I44"/>
    <mergeCell ref="A55:I55"/>
    <mergeCell ref="A83:I83"/>
    <mergeCell ref="A87:I87"/>
    <mergeCell ref="A94:I94"/>
    <mergeCell ref="B95:G95"/>
    <mergeCell ref="B96:G96"/>
    <mergeCell ref="A98:I98"/>
    <mergeCell ref="A99:I99"/>
    <mergeCell ref="A114:I114"/>
    <mergeCell ref="A102:I102"/>
    <mergeCell ref="A104:B104"/>
    <mergeCell ref="C104:E104"/>
    <mergeCell ref="R104:U104"/>
    <mergeCell ref="C105:E105"/>
    <mergeCell ref="A107:B107"/>
    <mergeCell ref="C107:E107"/>
    <mergeCell ref="C108:E108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29" t="s">
        <v>81</v>
      </c>
      <c r="I1" s="28"/>
    </row>
    <row r="2" spans="1:15" s="25" customFormat="1" ht="15.75" customHeight="1">
      <c r="A2" s="25" t="s">
        <v>59</v>
      </c>
      <c r="J2" s="1"/>
      <c r="K2" s="1"/>
      <c r="L2" s="1"/>
      <c r="M2" s="1"/>
    </row>
    <row r="3" spans="1:15" s="25" customFormat="1" ht="15.75">
      <c r="A3" s="142" t="s">
        <v>149</v>
      </c>
      <c r="B3" s="142"/>
      <c r="C3" s="142"/>
      <c r="D3" s="142"/>
      <c r="E3" s="142"/>
      <c r="F3" s="142"/>
      <c r="G3" s="142"/>
      <c r="H3" s="142"/>
      <c r="I3" s="142"/>
      <c r="J3" s="2"/>
      <c r="K3" s="2"/>
      <c r="L3" s="2"/>
      <c r="M3" s="2"/>
    </row>
    <row r="4" spans="1:15" s="25" customFormat="1" ht="31.5" customHeight="1">
      <c r="A4" s="143" t="s">
        <v>89</v>
      </c>
      <c r="B4" s="143"/>
      <c r="C4" s="143"/>
      <c r="D4" s="143"/>
      <c r="E4" s="143"/>
      <c r="F4" s="143"/>
      <c r="G4" s="143"/>
      <c r="H4" s="143"/>
      <c r="I4" s="143"/>
      <c r="J4" s="3"/>
      <c r="K4" s="3"/>
      <c r="L4" s="3"/>
    </row>
    <row r="5" spans="1:15" s="25" customFormat="1" ht="15.75" customHeight="1">
      <c r="A5" s="142" t="s">
        <v>203</v>
      </c>
      <c r="B5" s="144"/>
      <c r="C5" s="144"/>
      <c r="D5" s="144"/>
      <c r="E5" s="144"/>
      <c r="F5" s="144"/>
      <c r="G5" s="144"/>
      <c r="H5" s="144"/>
      <c r="I5" s="144"/>
    </row>
    <row r="6" spans="1:15" s="25" customFormat="1" ht="15.75">
      <c r="A6" s="2"/>
      <c r="B6" s="96"/>
      <c r="C6" s="96"/>
      <c r="D6" s="96"/>
      <c r="E6" s="96"/>
      <c r="F6" s="96"/>
      <c r="G6" s="96"/>
      <c r="H6" s="96"/>
      <c r="I6" s="30">
        <v>42947</v>
      </c>
      <c r="J6" s="2"/>
      <c r="K6" s="2"/>
      <c r="L6" s="2"/>
      <c r="M6" s="2"/>
    </row>
    <row r="7" spans="1:15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45" t="s">
        <v>188</v>
      </c>
      <c r="B8" s="145"/>
      <c r="C8" s="145"/>
      <c r="D8" s="145"/>
      <c r="E8" s="145"/>
      <c r="F8" s="145"/>
      <c r="G8" s="145"/>
      <c r="H8" s="145"/>
      <c r="I8" s="145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46" t="s">
        <v>228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108" t="s">
        <v>0</v>
      </c>
      <c r="B12" s="108" t="s">
        <v>156</v>
      </c>
      <c r="C12" s="108" t="s">
        <v>1</v>
      </c>
      <c r="D12" s="108" t="s">
        <v>18</v>
      </c>
      <c r="E12" s="108" t="s">
        <v>19</v>
      </c>
      <c r="F12" s="108"/>
      <c r="G12" s="108" t="s">
        <v>22</v>
      </c>
      <c r="H12" s="108"/>
      <c r="I12" s="108" t="s">
        <v>2</v>
      </c>
    </row>
    <row r="13" spans="1:15" s="49" customFormat="1" ht="12.75">
      <c r="A13" s="109">
        <v>1</v>
      </c>
      <c r="B13" s="109">
        <v>2</v>
      </c>
      <c r="C13" s="109">
        <v>3</v>
      </c>
      <c r="D13" s="110">
        <v>4</v>
      </c>
      <c r="E13" s="109">
        <v>5</v>
      </c>
      <c r="F13" s="109"/>
      <c r="G13" s="109">
        <v>5</v>
      </c>
      <c r="H13" s="109"/>
      <c r="I13" s="109">
        <v>6</v>
      </c>
      <c r="J13" s="111"/>
      <c r="K13" s="111"/>
      <c r="L13" s="111"/>
      <c r="M13" s="111"/>
    </row>
    <row r="14" spans="1:15" ht="15.75" customHeight="1">
      <c r="A14" s="137" t="s">
        <v>157</v>
      </c>
      <c r="B14" s="138"/>
      <c r="C14" s="138"/>
      <c r="D14" s="138"/>
      <c r="E14" s="138"/>
      <c r="F14" s="138"/>
      <c r="G14" s="138"/>
      <c r="H14" s="138"/>
      <c r="I14" s="138"/>
      <c r="J14" s="112"/>
      <c r="K14" s="112"/>
      <c r="L14" s="6"/>
      <c r="M14" s="6"/>
      <c r="N14" s="6"/>
      <c r="O14" s="6"/>
    </row>
    <row r="15" spans="1:15" ht="15.75" customHeight="1">
      <c r="A15" s="134" t="s">
        <v>3</v>
      </c>
      <c r="B15" s="135"/>
      <c r="C15" s="135"/>
      <c r="D15" s="135"/>
      <c r="E15" s="135"/>
      <c r="F15" s="135"/>
      <c r="G15" s="135"/>
      <c r="H15" s="135"/>
      <c r="I15" s="136"/>
      <c r="J15" s="6"/>
      <c r="K15" s="6"/>
      <c r="L15" s="6"/>
      <c r="M15" s="6"/>
    </row>
    <row r="16" spans="1:15" ht="15.75" customHeight="1">
      <c r="A16" s="26">
        <v>1</v>
      </c>
      <c r="B16" s="52" t="s">
        <v>82</v>
      </c>
      <c r="C16" s="68" t="s">
        <v>90</v>
      </c>
      <c r="D16" s="52" t="s">
        <v>113</v>
      </c>
      <c r="E16" s="69">
        <v>59.9</v>
      </c>
      <c r="F16" s="70">
        <f>SUM(E16*156/100)</f>
        <v>93.444000000000003</v>
      </c>
      <c r="G16" s="70">
        <v>230</v>
      </c>
      <c r="H16" s="71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87</v>
      </c>
      <c r="C17" s="68" t="s">
        <v>90</v>
      </c>
      <c r="D17" s="52" t="s">
        <v>114</v>
      </c>
      <c r="E17" s="69">
        <v>239.4</v>
      </c>
      <c r="F17" s="70">
        <f>SUM(E17*104/100)</f>
        <v>248.97600000000003</v>
      </c>
      <c r="G17" s="70">
        <v>230</v>
      </c>
      <c r="H17" s="71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88</v>
      </c>
      <c r="C18" s="68" t="s">
        <v>90</v>
      </c>
      <c r="D18" s="52" t="s">
        <v>115</v>
      </c>
      <c r="E18" s="69">
        <f>SUM(E16+E17)</f>
        <v>299.3</v>
      </c>
      <c r="F18" s="70">
        <f>SUM(E18*24/100)</f>
        <v>71.832000000000008</v>
      </c>
      <c r="G18" s="70">
        <v>661.67</v>
      </c>
      <c r="H18" s="71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91</v>
      </c>
      <c r="C19" s="68" t="s">
        <v>92</v>
      </c>
      <c r="D19" s="52" t="s">
        <v>93</v>
      </c>
      <c r="E19" s="69">
        <v>25.6</v>
      </c>
      <c r="F19" s="70">
        <f>SUM(E19/10)</f>
        <v>2.56</v>
      </c>
      <c r="G19" s="70">
        <v>223.17</v>
      </c>
      <c r="H19" s="71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5</v>
      </c>
      <c r="B20" s="52" t="s">
        <v>94</v>
      </c>
      <c r="C20" s="68" t="s">
        <v>90</v>
      </c>
      <c r="D20" s="52" t="s">
        <v>40</v>
      </c>
      <c r="E20" s="69">
        <v>10.5</v>
      </c>
      <c r="F20" s="70">
        <f>SUM(E20*2/100)</f>
        <v>0.21</v>
      </c>
      <c r="G20" s="70">
        <v>285.76</v>
      </c>
      <c r="H20" s="71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6</v>
      </c>
      <c r="B21" s="52" t="s">
        <v>95</v>
      </c>
      <c r="C21" s="68" t="s">
        <v>90</v>
      </c>
      <c r="D21" s="52" t="s">
        <v>40</v>
      </c>
      <c r="E21" s="69">
        <v>2.7</v>
      </c>
      <c r="F21" s="70">
        <f>SUM(E21*2/100)</f>
        <v>5.4000000000000006E-2</v>
      </c>
      <c r="G21" s="70">
        <v>283.44</v>
      </c>
      <c r="H21" s="71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96</v>
      </c>
      <c r="C22" s="68" t="s">
        <v>51</v>
      </c>
      <c r="D22" s="52" t="s">
        <v>93</v>
      </c>
      <c r="E22" s="69">
        <v>357</v>
      </c>
      <c r="F22" s="70">
        <f t="shared" ref="F22:F25" si="2">SUM(E22/100)</f>
        <v>3.57</v>
      </c>
      <c r="G22" s="70">
        <v>353.14</v>
      </c>
      <c r="H22" s="71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97</v>
      </c>
      <c r="C23" s="68" t="s">
        <v>51</v>
      </c>
      <c r="D23" s="52" t="s">
        <v>93</v>
      </c>
      <c r="E23" s="72">
        <v>38.64</v>
      </c>
      <c r="F23" s="70">
        <f t="shared" si="2"/>
        <v>0.38640000000000002</v>
      </c>
      <c r="G23" s="70">
        <v>58.08</v>
      </c>
      <c r="H23" s="71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98</v>
      </c>
      <c r="C24" s="68" t="s">
        <v>51</v>
      </c>
      <c r="D24" s="53" t="s">
        <v>93</v>
      </c>
      <c r="E24" s="17">
        <v>15</v>
      </c>
      <c r="F24" s="73">
        <f t="shared" si="2"/>
        <v>0.15</v>
      </c>
      <c r="G24" s="70">
        <v>511.12</v>
      </c>
      <c r="H24" s="71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99</v>
      </c>
      <c r="C25" s="68" t="s">
        <v>51</v>
      </c>
      <c r="D25" s="52" t="s">
        <v>93</v>
      </c>
      <c r="E25" s="74">
        <v>6.38</v>
      </c>
      <c r="F25" s="70">
        <f t="shared" si="2"/>
        <v>6.3799999999999996E-2</v>
      </c>
      <c r="G25" s="70">
        <v>638.04999999999995</v>
      </c>
      <c r="H25" s="71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61</v>
      </c>
      <c r="C26" s="68" t="s">
        <v>30</v>
      </c>
      <c r="D26" s="52" t="s">
        <v>80</v>
      </c>
      <c r="E26" s="69">
        <v>0.1</v>
      </c>
      <c r="F26" s="70">
        <f>SUM(E26*365)</f>
        <v>36.5</v>
      </c>
      <c r="G26" s="70">
        <v>192.84</v>
      </c>
      <c r="H26" s="71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5</v>
      </c>
      <c r="B27" s="77" t="s">
        <v>23</v>
      </c>
      <c r="C27" s="68" t="s">
        <v>24</v>
      </c>
      <c r="D27" s="52" t="s">
        <v>80</v>
      </c>
      <c r="E27" s="69">
        <v>3181</v>
      </c>
      <c r="F27" s="70">
        <f>SUM(E27*12)</f>
        <v>38172</v>
      </c>
      <c r="G27" s="70">
        <v>2.67</v>
      </c>
      <c r="H27" s="71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34" t="s">
        <v>158</v>
      </c>
      <c r="B28" s="135"/>
      <c r="C28" s="135"/>
      <c r="D28" s="135"/>
      <c r="E28" s="135"/>
      <c r="F28" s="135"/>
      <c r="G28" s="135"/>
      <c r="H28" s="135"/>
      <c r="I28" s="136"/>
      <c r="J28" s="21"/>
      <c r="K28" s="6"/>
      <c r="L28" s="6"/>
      <c r="M28" s="6"/>
    </row>
    <row r="29" spans="1:13" ht="15.75" customHeight="1">
      <c r="A29" s="115"/>
      <c r="B29" s="63" t="s">
        <v>159</v>
      </c>
      <c r="C29" s="116"/>
      <c r="D29" s="116"/>
      <c r="E29" s="116"/>
      <c r="F29" s="116"/>
      <c r="G29" s="116"/>
      <c r="H29" s="116"/>
      <c r="I29" s="116"/>
      <c r="J29" s="21"/>
      <c r="K29" s="6"/>
      <c r="L29" s="6"/>
      <c r="M29" s="6"/>
    </row>
    <row r="30" spans="1:13" ht="15.75" customHeight="1">
      <c r="A30" s="113">
        <v>6</v>
      </c>
      <c r="B30" s="52" t="s">
        <v>160</v>
      </c>
      <c r="C30" s="68" t="s">
        <v>100</v>
      </c>
      <c r="D30" s="52" t="s">
        <v>163</v>
      </c>
      <c r="E30" s="70">
        <v>210.2</v>
      </c>
      <c r="F30" s="70">
        <f>SUM(E30*52/1000)</f>
        <v>10.930399999999999</v>
      </c>
      <c r="G30" s="70">
        <v>204.44</v>
      </c>
      <c r="H30" s="71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customHeight="1">
      <c r="A31" s="26">
        <v>7</v>
      </c>
      <c r="B31" s="52" t="s">
        <v>161</v>
      </c>
      <c r="C31" s="68" t="s">
        <v>100</v>
      </c>
      <c r="D31" s="52" t="s">
        <v>164</v>
      </c>
      <c r="E31" s="70">
        <v>92</v>
      </c>
      <c r="F31" s="70">
        <f>SUM(E31*78/1000)</f>
        <v>7.1760000000000002</v>
      </c>
      <c r="G31" s="70">
        <v>339.21</v>
      </c>
      <c r="H31" s="71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8" t="s">
        <v>100</v>
      </c>
      <c r="D32" s="52" t="s">
        <v>52</v>
      </c>
      <c r="E32" s="70">
        <f>E30</f>
        <v>210.2</v>
      </c>
      <c r="F32" s="70">
        <f>SUM(E32/1000)</f>
        <v>0.2102</v>
      </c>
      <c r="G32" s="70">
        <v>3961.23</v>
      </c>
      <c r="H32" s="71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customHeight="1">
      <c r="A33" s="26">
        <v>8</v>
      </c>
      <c r="B33" s="52" t="s">
        <v>162</v>
      </c>
      <c r="C33" s="68" t="s">
        <v>28</v>
      </c>
      <c r="D33" s="52" t="s">
        <v>60</v>
      </c>
      <c r="E33" s="76">
        <f>1/3</f>
        <v>0.33333333333333331</v>
      </c>
      <c r="F33" s="70">
        <f>155/3</f>
        <v>51.666666666666664</v>
      </c>
      <c r="G33" s="70">
        <v>74.349999999999994</v>
      </c>
      <c r="H33" s="71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62</v>
      </c>
      <c r="C34" s="68" t="s">
        <v>30</v>
      </c>
      <c r="D34" s="52" t="s">
        <v>63</v>
      </c>
      <c r="E34" s="69"/>
      <c r="F34" s="70">
        <v>1</v>
      </c>
      <c r="G34" s="70">
        <v>250.92</v>
      </c>
      <c r="H34" s="71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18"/>
      <c r="B35" s="52" t="s">
        <v>119</v>
      </c>
      <c r="C35" s="68" t="s">
        <v>29</v>
      </c>
      <c r="D35" s="52" t="s">
        <v>63</v>
      </c>
      <c r="E35" s="69"/>
      <c r="F35" s="70">
        <v>1</v>
      </c>
      <c r="G35" s="70">
        <v>1490.31</v>
      </c>
      <c r="H35" s="71">
        <f t="shared" si="6"/>
        <v>1.49031</v>
      </c>
      <c r="I35" s="12">
        <v>0</v>
      </c>
      <c r="J35" s="21"/>
      <c r="K35" s="6"/>
      <c r="L35" s="6"/>
      <c r="M35" s="6"/>
    </row>
    <row r="36" spans="1:14" ht="15.75" hidden="1" customHeight="1">
      <c r="A36" s="115"/>
      <c r="B36" s="63" t="s">
        <v>4</v>
      </c>
      <c r="C36" s="117"/>
      <c r="D36" s="117"/>
      <c r="E36" s="117"/>
      <c r="F36" s="117"/>
      <c r="G36" s="117"/>
      <c r="H36" s="117"/>
      <c r="I36" s="117"/>
      <c r="J36" s="21"/>
      <c r="K36" s="6"/>
      <c r="L36" s="6"/>
      <c r="M36" s="6"/>
    </row>
    <row r="37" spans="1:14" ht="15.75" hidden="1" customHeight="1">
      <c r="A37" s="113">
        <v>6</v>
      </c>
      <c r="B37" s="52" t="s">
        <v>25</v>
      </c>
      <c r="C37" s="68" t="s">
        <v>29</v>
      </c>
      <c r="D37" s="52"/>
      <c r="E37" s="69"/>
      <c r="F37" s="70">
        <v>3</v>
      </c>
      <c r="G37" s="70">
        <v>2003</v>
      </c>
      <c r="H37" s="71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hidden="1" customHeight="1">
      <c r="A38" s="26">
        <v>7</v>
      </c>
      <c r="B38" s="52" t="s">
        <v>189</v>
      </c>
      <c r="C38" s="68" t="s">
        <v>27</v>
      </c>
      <c r="D38" s="52" t="s">
        <v>122</v>
      </c>
      <c r="E38" s="69">
        <v>92</v>
      </c>
      <c r="F38" s="70">
        <f>E38*30/1000</f>
        <v>2.76</v>
      </c>
      <c r="G38" s="70">
        <v>2757.78</v>
      </c>
      <c r="H38" s="71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123</v>
      </c>
      <c r="C39" s="68" t="s">
        <v>124</v>
      </c>
      <c r="D39" s="52" t="s">
        <v>63</v>
      </c>
      <c r="E39" s="69"/>
      <c r="F39" s="70">
        <v>52</v>
      </c>
      <c r="G39" s="70">
        <v>239.09</v>
      </c>
      <c r="H39" s="71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hidden="1" customHeight="1">
      <c r="A40" s="26"/>
      <c r="B40" s="52" t="s">
        <v>64</v>
      </c>
      <c r="C40" s="68" t="s">
        <v>27</v>
      </c>
      <c r="D40" s="52" t="s">
        <v>125</v>
      </c>
      <c r="E40" s="70">
        <f>E38</f>
        <v>92</v>
      </c>
      <c r="F40" s="70">
        <f>SUM(E40*155/1000)</f>
        <v>14.26</v>
      </c>
      <c r="G40" s="70">
        <v>460.02</v>
      </c>
      <c r="H40" s="71">
        <f t="shared" si="8"/>
        <v>6.5598852000000001</v>
      </c>
      <c r="I40" s="12">
        <f t="shared" si="9"/>
        <v>1093.3141999999998</v>
      </c>
      <c r="J40" s="22"/>
    </row>
    <row r="41" spans="1:14" ht="48" hidden="1" customHeight="1">
      <c r="A41" s="26">
        <v>9</v>
      </c>
      <c r="B41" s="52" t="s">
        <v>79</v>
      </c>
      <c r="C41" s="68" t="s">
        <v>100</v>
      </c>
      <c r="D41" s="52" t="s">
        <v>190</v>
      </c>
      <c r="E41" s="70">
        <v>92</v>
      </c>
      <c r="F41" s="70">
        <f>SUM(E41*35/1000)</f>
        <v>3.22</v>
      </c>
      <c r="G41" s="70">
        <v>7611.16</v>
      </c>
      <c r="H41" s="71">
        <f t="shared" si="8"/>
        <v>24.507935199999999</v>
      </c>
      <c r="I41" s="12">
        <f t="shared" si="9"/>
        <v>4084.655866666667</v>
      </c>
      <c r="J41" s="22"/>
    </row>
    <row r="42" spans="1:14" ht="15.75" hidden="1" customHeight="1">
      <c r="A42" s="26">
        <v>10</v>
      </c>
      <c r="B42" s="52" t="s">
        <v>127</v>
      </c>
      <c r="C42" s="68" t="s">
        <v>100</v>
      </c>
      <c r="D42" s="52" t="s">
        <v>191</v>
      </c>
      <c r="E42" s="70">
        <f>E38</f>
        <v>92</v>
      </c>
      <c r="F42" s="70">
        <f>SUM(E42*20/1000)</f>
        <v>1.84</v>
      </c>
      <c r="G42" s="70">
        <v>562.25</v>
      </c>
      <c r="H42" s="71">
        <f t="shared" si="8"/>
        <v>1.03454</v>
      </c>
      <c r="I42" s="12">
        <f>F42/6*G42</f>
        <v>172.42333333333335</v>
      </c>
      <c r="J42" s="22"/>
    </row>
    <row r="43" spans="1:14" ht="15.75" hidden="1" customHeight="1">
      <c r="A43" s="26">
        <v>11</v>
      </c>
      <c r="B43" s="52" t="s">
        <v>66</v>
      </c>
      <c r="C43" s="68" t="s">
        <v>30</v>
      </c>
      <c r="D43" s="52"/>
      <c r="E43" s="69"/>
      <c r="F43" s="70">
        <v>0.8</v>
      </c>
      <c r="G43" s="70">
        <v>992.97</v>
      </c>
      <c r="H43" s="71">
        <f t="shared" si="8"/>
        <v>0.79437600000000008</v>
      </c>
      <c r="I43" s="12">
        <f>F43/6*G43</f>
        <v>132.39600000000002</v>
      </c>
      <c r="J43" s="22"/>
    </row>
    <row r="44" spans="1:14" ht="15.75" hidden="1" customHeight="1">
      <c r="A44" s="153" t="s">
        <v>141</v>
      </c>
      <c r="B44" s="154"/>
      <c r="C44" s="154"/>
      <c r="D44" s="154"/>
      <c r="E44" s="154"/>
      <c r="F44" s="154"/>
      <c r="G44" s="154"/>
      <c r="H44" s="154"/>
      <c r="I44" s="155"/>
      <c r="J44" s="22"/>
      <c r="L44" s="18"/>
      <c r="M44" s="19"/>
      <c r="N44" s="20"/>
    </row>
    <row r="45" spans="1:14" ht="15.75" hidden="1" customHeight="1">
      <c r="A45" s="26">
        <v>17</v>
      </c>
      <c r="B45" s="33" t="s">
        <v>128</v>
      </c>
      <c r="C45" s="40" t="s">
        <v>100</v>
      </c>
      <c r="D45" s="33" t="s">
        <v>40</v>
      </c>
      <c r="E45" s="123">
        <v>1114.25</v>
      </c>
      <c r="F45" s="32">
        <f>SUM(E45*2/1000)</f>
        <v>2.2284999999999999</v>
      </c>
      <c r="G45" s="35">
        <v>1193.71</v>
      </c>
      <c r="H45" s="124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hidden="1" customHeight="1">
      <c r="A46" s="26">
        <v>18</v>
      </c>
      <c r="B46" s="33" t="s">
        <v>34</v>
      </c>
      <c r="C46" s="40" t="s">
        <v>100</v>
      </c>
      <c r="D46" s="33" t="s">
        <v>40</v>
      </c>
      <c r="E46" s="123">
        <v>2631</v>
      </c>
      <c r="F46" s="32">
        <f>SUM(E46*2/1000)</f>
        <v>5.2619999999999996</v>
      </c>
      <c r="G46" s="35">
        <v>1803.69</v>
      </c>
      <c r="H46" s="124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hidden="1" customHeight="1">
      <c r="A47" s="26">
        <v>19</v>
      </c>
      <c r="B47" s="33" t="s">
        <v>35</v>
      </c>
      <c r="C47" s="40" t="s">
        <v>100</v>
      </c>
      <c r="D47" s="33" t="s">
        <v>40</v>
      </c>
      <c r="E47" s="123">
        <v>1953.8</v>
      </c>
      <c r="F47" s="32">
        <f>SUM(E47*2/1000)</f>
        <v>3.9076</v>
      </c>
      <c r="G47" s="35">
        <v>1243.43</v>
      </c>
      <c r="H47" s="124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hidden="1" customHeight="1">
      <c r="A48" s="26">
        <v>20</v>
      </c>
      <c r="B48" s="33" t="s">
        <v>31</v>
      </c>
      <c r="C48" s="40" t="s">
        <v>32</v>
      </c>
      <c r="D48" s="33" t="s">
        <v>40</v>
      </c>
      <c r="E48" s="123">
        <v>91.84</v>
      </c>
      <c r="F48" s="32">
        <f>SUM(E48*2/100)</f>
        <v>1.8368</v>
      </c>
      <c r="G48" s="125">
        <v>1172.4100000000001</v>
      </c>
      <c r="H48" s="124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hidden="1" customHeight="1">
      <c r="A49" s="26">
        <v>21</v>
      </c>
      <c r="B49" s="33" t="s">
        <v>55</v>
      </c>
      <c r="C49" s="40" t="s">
        <v>100</v>
      </c>
      <c r="D49" s="33" t="s">
        <v>165</v>
      </c>
      <c r="E49" s="123">
        <v>3181</v>
      </c>
      <c r="F49" s="32">
        <f>SUM(E49*5/1000)</f>
        <v>15.904999999999999</v>
      </c>
      <c r="G49" s="35">
        <v>1083.69</v>
      </c>
      <c r="H49" s="124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13</v>
      </c>
      <c r="B50" s="33" t="s">
        <v>129</v>
      </c>
      <c r="C50" s="40" t="s">
        <v>100</v>
      </c>
      <c r="D50" s="33" t="s">
        <v>40</v>
      </c>
      <c r="E50" s="123">
        <v>3181</v>
      </c>
      <c r="F50" s="32">
        <f>SUM(E50*2/1000)</f>
        <v>6.3620000000000001</v>
      </c>
      <c r="G50" s="35">
        <v>1591.6</v>
      </c>
      <c r="H50" s="124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13</v>
      </c>
      <c r="B51" s="33" t="s">
        <v>130</v>
      </c>
      <c r="C51" s="40" t="s">
        <v>36</v>
      </c>
      <c r="D51" s="33" t="s">
        <v>40</v>
      </c>
      <c r="E51" s="123">
        <v>20</v>
      </c>
      <c r="F51" s="32">
        <f>SUM(E51*2/100)</f>
        <v>0.4</v>
      </c>
      <c r="G51" s="35">
        <v>4058.32</v>
      </c>
      <c r="H51" s="124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14</v>
      </c>
      <c r="B52" s="33" t="s">
        <v>37</v>
      </c>
      <c r="C52" s="40" t="s">
        <v>38</v>
      </c>
      <c r="D52" s="33" t="s">
        <v>40</v>
      </c>
      <c r="E52" s="123">
        <v>1</v>
      </c>
      <c r="F52" s="32">
        <v>0.02</v>
      </c>
      <c r="G52" s="35">
        <v>7412.92</v>
      </c>
      <c r="H52" s="124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hidden="1" customHeight="1">
      <c r="A53" s="26">
        <v>22</v>
      </c>
      <c r="B53" s="33" t="s">
        <v>131</v>
      </c>
      <c r="C53" s="40" t="s">
        <v>101</v>
      </c>
      <c r="D53" s="33" t="s">
        <v>67</v>
      </c>
      <c r="E53" s="123">
        <v>70</v>
      </c>
      <c r="F53" s="32">
        <f>E53*3</f>
        <v>210</v>
      </c>
      <c r="G53" s="35">
        <v>185.08</v>
      </c>
      <c r="H53" s="124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hidden="1" customHeight="1">
      <c r="A54" s="26">
        <v>23</v>
      </c>
      <c r="B54" s="33" t="s">
        <v>39</v>
      </c>
      <c r="C54" s="40" t="s">
        <v>101</v>
      </c>
      <c r="D54" s="33" t="s">
        <v>67</v>
      </c>
      <c r="E54" s="123">
        <v>140</v>
      </c>
      <c r="F54" s="32">
        <f>E54*3</f>
        <v>420</v>
      </c>
      <c r="G54" s="36">
        <v>86.15</v>
      </c>
      <c r="H54" s="124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53" t="s">
        <v>83</v>
      </c>
      <c r="B55" s="156"/>
      <c r="C55" s="156"/>
      <c r="D55" s="156"/>
      <c r="E55" s="156"/>
      <c r="F55" s="156"/>
      <c r="G55" s="156"/>
      <c r="H55" s="156"/>
      <c r="I55" s="157"/>
      <c r="J55" s="22"/>
      <c r="L55" s="18"/>
      <c r="M55" s="19"/>
      <c r="N55" s="20"/>
    </row>
    <row r="56" spans="1:14" ht="15.75" hidden="1" customHeight="1">
      <c r="A56" s="26"/>
      <c r="B56" s="93" t="s">
        <v>41</v>
      </c>
      <c r="C56" s="68"/>
      <c r="D56" s="52"/>
      <c r="E56" s="69"/>
      <c r="F56" s="70"/>
      <c r="G56" s="70"/>
      <c r="H56" s="71"/>
      <c r="I56" s="12"/>
      <c r="J56" s="22"/>
      <c r="L56" s="18"/>
      <c r="M56" s="19"/>
      <c r="N56" s="20"/>
    </row>
    <row r="57" spans="1:14" ht="31.5" hidden="1" customHeight="1">
      <c r="A57" s="26">
        <v>24</v>
      </c>
      <c r="B57" s="52" t="s">
        <v>132</v>
      </c>
      <c r="C57" s="68" t="s">
        <v>90</v>
      </c>
      <c r="D57" s="52" t="s">
        <v>133</v>
      </c>
      <c r="E57" s="69">
        <v>111.2</v>
      </c>
      <c r="F57" s="70">
        <f>SUM(E57*6/100)</f>
        <v>6.6720000000000006</v>
      </c>
      <c r="G57" s="12">
        <v>2431.1799999999998</v>
      </c>
      <c r="H57" s="71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15.75" hidden="1" customHeight="1">
      <c r="A58" s="26"/>
      <c r="B58" s="79" t="s">
        <v>135</v>
      </c>
      <c r="C58" s="78" t="s">
        <v>136</v>
      </c>
      <c r="D58" s="13" t="s">
        <v>63</v>
      </c>
      <c r="E58" s="80"/>
      <c r="F58" s="81">
        <v>3</v>
      </c>
      <c r="G58" s="12">
        <v>1582.05</v>
      </c>
      <c r="H58" s="71">
        <f>SUM(F58*G58/1000)</f>
        <v>4.7461499999999992</v>
      </c>
      <c r="I58" s="12">
        <v>0</v>
      </c>
      <c r="J58" s="22"/>
      <c r="L58" s="18"/>
      <c r="M58" s="19"/>
      <c r="N58" s="20"/>
    </row>
    <row r="59" spans="1:14" ht="15.75" hidden="1" customHeight="1">
      <c r="A59" s="26"/>
      <c r="B59" s="94" t="s">
        <v>42</v>
      </c>
      <c r="C59" s="78"/>
      <c r="D59" s="79"/>
      <c r="E59" s="80"/>
      <c r="F59" s="81"/>
      <c r="G59" s="12"/>
      <c r="H59" s="82"/>
      <c r="I59" s="12"/>
      <c r="J59" s="22"/>
      <c r="L59" s="18"/>
      <c r="M59" s="19"/>
      <c r="N59" s="20"/>
    </row>
    <row r="60" spans="1:14" ht="15.75" hidden="1" customHeight="1">
      <c r="A60" s="26"/>
      <c r="B60" s="79" t="s">
        <v>43</v>
      </c>
      <c r="C60" s="78" t="s">
        <v>51</v>
      </c>
      <c r="D60" s="79" t="s">
        <v>52</v>
      </c>
      <c r="E60" s="80">
        <v>222.85</v>
      </c>
      <c r="F60" s="81">
        <v>8.9</v>
      </c>
      <c r="G60" s="12">
        <v>1040.8399999999999</v>
      </c>
      <c r="H60" s="82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94" t="s">
        <v>44</v>
      </c>
      <c r="C61" s="78"/>
      <c r="D61" s="79"/>
      <c r="E61" s="80"/>
      <c r="F61" s="83"/>
      <c r="G61" s="83"/>
      <c r="H61" s="81" t="s">
        <v>110</v>
      </c>
      <c r="I61" s="12"/>
      <c r="J61" s="22"/>
      <c r="L61" s="18"/>
      <c r="M61" s="19"/>
      <c r="N61" s="20"/>
    </row>
    <row r="62" spans="1:14" ht="15.75" hidden="1" customHeight="1">
      <c r="A62" s="26">
        <v>9</v>
      </c>
      <c r="B62" s="13" t="s">
        <v>45</v>
      </c>
      <c r="C62" s="15" t="s">
        <v>101</v>
      </c>
      <c r="D62" s="13" t="s">
        <v>63</v>
      </c>
      <c r="E62" s="17">
        <v>4</v>
      </c>
      <c r="F62" s="70">
        <f>E62</f>
        <v>4</v>
      </c>
      <c r="G62" s="12">
        <v>291.68</v>
      </c>
      <c r="H62" s="84">
        <f t="shared" ref="H62:H70" si="13">SUM(F62*G62/1000)</f>
        <v>1.16672</v>
      </c>
      <c r="I62" s="12">
        <f>G62</f>
        <v>291.68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46</v>
      </c>
      <c r="C63" s="15" t="s">
        <v>101</v>
      </c>
      <c r="D63" s="13" t="s">
        <v>63</v>
      </c>
      <c r="E63" s="17">
        <v>4</v>
      </c>
      <c r="F63" s="70">
        <f>E63</f>
        <v>4</v>
      </c>
      <c r="G63" s="12">
        <v>100.01</v>
      </c>
      <c r="H63" s="84">
        <f t="shared" si="13"/>
        <v>0.40004000000000001</v>
      </c>
      <c r="I63" s="12">
        <v>0</v>
      </c>
      <c r="J63" s="22"/>
      <c r="L63" s="18"/>
      <c r="M63" s="19"/>
      <c r="N63" s="20"/>
    </row>
    <row r="64" spans="1:14" ht="15.75" hidden="1" customHeight="1">
      <c r="A64" s="26">
        <v>24</v>
      </c>
      <c r="B64" s="13" t="s">
        <v>47</v>
      </c>
      <c r="C64" s="15" t="s">
        <v>102</v>
      </c>
      <c r="D64" s="13" t="s">
        <v>52</v>
      </c>
      <c r="E64" s="69">
        <v>12702</v>
      </c>
      <c r="F64" s="12">
        <f>SUM(E64/100)</f>
        <v>127.02</v>
      </c>
      <c r="G64" s="12">
        <v>278.24</v>
      </c>
      <c r="H64" s="84">
        <f t="shared" si="13"/>
        <v>35.342044800000004</v>
      </c>
      <c r="I64" s="12">
        <f>F64*G64</f>
        <v>35342.044800000003</v>
      </c>
      <c r="J64" s="22"/>
      <c r="L64" s="18"/>
      <c r="M64" s="19"/>
      <c r="N64" s="20"/>
    </row>
    <row r="65" spans="1:14" ht="15.75" hidden="1" customHeight="1">
      <c r="A65" s="26">
        <v>25</v>
      </c>
      <c r="B65" s="13" t="s">
        <v>48</v>
      </c>
      <c r="C65" s="15" t="s">
        <v>103</v>
      </c>
      <c r="D65" s="13"/>
      <c r="E65" s="69">
        <v>12702</v>
      </c>
      <c r="F65" s="12">
        <f>SUM(E65/1000)</f>
        <v>12.702</v>
      </c>
      <c r="G65" s="12">
        <v>216.68</v>
      </c>
      <c r="H65" s="84">
        <f t="shared" si="13"/>
        <v>2.7522693600000001</v>
      </c>
      <c r="I65" s="12">
        <f t="shared" ref="I65:I68" si="14">F65*G65</f>
        <v>2752.2693600000002</v>
      </c>
      <c r="J65" s="22"/>
      <c r="L65" s="18"/>
      <c r="M65" s="19"/>
      <c r="N65" s="20"/>
    </row>
    <row r="66" spans="1:14" ht="15.75" hidden="1" customHeight="1">
      <c r="A66" s="26">
        <v>26</v>
      </c>
      <c r="B66" s="13" t="s">
        <v>49</v>
      </c>
      <c r="C66" s="15" t="s">
        <v>73</v>
      </c>
      <c r="D66" s="13" t="s">
        <v>52</v>
      </c>
      <c r="E66" s="69">
        <v>2200</v>
      </c>
      <c r="F66" s="12">
        <f>SUM(E66/100)</f>
        <v>22</v>
      </c>
      <c r="G66" s="12">
        <v>2720.94</v>
      </c>
      <c r="H66" s="84">
        <f t="shared" si="13"/>
        <v>59.860680000000002</v>
      </c>
      <c r="I66" s="12">
        <f t="shared" si="14"/>
        <v>59860.68</v>
      </c>
      <c r="J66" s="22"/>
      <c r="L66" s="18"/>
      <c r="M66" s="19"/>
      <c r="N66" s="20"/>
    </row>
    <row r="67" spans="1:14" ht="15.75" hidden="1" customHeight="1">
      <c r="A67" s="26">
        <v>27</v>
      </c>
      <c r="B67" s="85" t="s">
        <v>104</v>
      </c>
      <c r="C67" s="15" t="s">
        <v>30</v>
      </c>
      <c r="D67" s="13"/>
      <c r="E67" s="69">
        <v>9.6</v>
      </c>
      <c r="F67" s="12">
        <f>SUM(E67)</f>
        <v>9.6</v>
      </c>
      <c r="G67" s="12">
        <v>42.61</v>
      </c>
      <c r="H67" s="84">
        <f t="shared" si="13"/>
        <v>0.40905599999999998</v>
      </c>
      <c r="I67" s="12">
        <f t="shared" si="14"/>
        <v>409.05599999999998</v>
      </c>
      <c r="J67" s="22"/>
      <c r="L67" s="18"/>
      <c r="M67" s="19"/>
      <c r="N67" s="20"/>
    </row>
    <row r="68" spans="1:14" ht="15.75" hidden="1" customHeight="1">
      <c r="A68" s="26">
        <v>28</v>
      </c>
      <c r="B68" s="85" t="s">
        <v>105</v>
      </c>
      <c r="C68" s="15" t="s">
        <v>30</v>
      </c>
      <c r="D68" s="13"/>
      <c r="E68" s="69">
        <v>9.6</v>
      </c>
      <c r="F68" s="12">
        <f>SUM(E68)</f>
        <v>9.6</v>
      </c>
      <c r="G68" s="12">
        <v>46.04</v>
      </c>
      <c r="H68" s="84">
        <f t="shared" si="13"/>
        <v>0.44198399999999999</v>
      </c>
      <c r="I68" s="12">
        <f t="shared" si="14"/>
        <v>441.98399999999998</v>
      </c>
      <c r="J68" s="22"/>
      <c r="L68" s="18"/>
      <c r="M68" s="19"/>
      <c r="N68" s="20"/>
    </row>
    <row r="69" spans="1:14" ht="15.75" hidden="1" customHeight="1">
      <c r="A69" s="26"/>
      <c r="B69" s="13" t="s">
        <v>56</v>
      </c>
      <c r="C69" s="15" t="s">
        <v>57</v>
      </c>
      <c r="D69" s="13" t="s">
        <v>52</v>
      </c>
      <c r="E69" s="17">
        <v>4</v>
      </c>
      <c r="F69" s="12">
        <f>SUM(E69)</f>
        <v>4</v>
      </c>
      <c r="G69" s="12">
        <v>65.42</v>
      </c>
      <c r="H69" s="84">
        <f t="shared" si="13"/>
        <v>0.26168000000000002</v>
      </c>
      <c r="I69" s="12">
        <v>0</v>
      </c>
      <c r="J69" s="22"/>
      <c r="L69" s="18"/>
      <c r="M69" s="19"/>
      <c r="N69" s="20"/>
    </row>
    <row r="70" spans="1:14" ht="15.75" customHeight="1">
      <c r="A70" s="26">
        <v>9</v>
      </c>
      <c r="B70" s="13" t="s">
        <v>192</v>
      </c>
      <c r="C70" s="26" t="s">
        <v>193</v>
      </c>
      <c r="D70" s="13" t="s">
        <v>63</v>
      </c>
      <c r="E70" s="17">
        <v>3181</v>
      </c>
      <c r="F70" s="70">
        <f>SUM(E70)*12</f>
        <v>38172</v>
      </c>
      <c r="G70" s="12">
        <v>2.2799999999999998</v>
      </c>
      <c r="H70" s="84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5.75" hidden="1" customHeight="1">
      <c r="A71" s="26"/>
      <c r="B71" s="63" t="s">
        <v>68</v>
      </c>
      <c r="C71" s="15"/>
      <c r="D71" s="13"/>
      <c r="E71" s="17"/>
      <c r="F71" s="12"/>
      <c r="G71" s="12"/>
      <c r="H71" s="84" t="s">
        <v>110</v>
      </c>
      <c r="I71" s="12"/>
      <c r="J71" s="22"/>
      <c r="L71" s="18"/>
      <c r="M71" s="19"/>
      <c r="N71" s="20"/>
    </row>
    <row r="72" spans="1:14" ht="31.5" hidden="1" customHeight="1">
      <c r="A72" s="26">
        <v>18</v>
      </c>
      <c r="B72" s="13" t="s">
        <v>194</v>
      </c>
      <c r="C72" s="15" t="s">
        <v>28</v>
      </c>
      <c r="D72" s="13" t="s">
        <v>63</v>
      </c>
      <c r="E72" s="17">
        <v>1</v>
      </c>
      <c r="F72" s="70">
        <f t="shared" ref="F72" si="15">E72</f>
        <v>1</v>
      </c>
      <c r="G72" s="12">
        <v>1543.4</v>
      </c>
      <c r="H72" s="84">
        <f>G72*F72/1000</f>
        <v>1.5434000000000001</v>
      </c>
      <c r="I72" s="12">
        <v>0</v>
      </c>
      <c r="J72" s="22"/>
      <c r="L72" s="18"/>
      <c r="M72" s="19"/>
      <c r="N72" s="20"/>
    </row>
    <row r="73" spans="1:14" ht="15.75" hidden="1" customHeight="1">
      <c r="A73" s="26"/>
      <c r="B73" s="51" t="s">
        <v>195</v>
      </c>
      <c r="C73" s="57" t="s">
        <v>101</v>
      </c>
      <c r="D73" s="13" t="s">
        <v>63</v>
      </c>
      <c r="E73" s="17">
        <v>1</v>
      </c>
      <c r="F73" s="70">
        <f>E73</f>
        <v>1</v>
      </c>
      <c r="G73" s="12">
        <v>130.96</v>
      </c>
      <c r="H73" s="84">
        <f>G73*F73/1000</f>
        <v>0.13096000000000002</v>
      </c>
      <c r="I73" s="12">
        <v>0</v>
      </c>
      <c r="J73" s="22"/>
      <c r="L73" s="18"/>
      <c r="M73" s="19"/>
      <c r="N73" s="20"/>
    </row>
    <row r="74" spans="1:14" ht="15.75" hidden="1" customHeight="1">
      <c r="A74" s="26"/>
      <c r="B74" s="13" t="s">
        <v>69</v>
      </c>
      <c r="C74" s="15" t="s">
        <v>71</v>
      </c>
      <c r="D74" s="13" t="s">
        <v>63</v>
      </c>
      <c r="E74" s="17">
        <v>3</v>
      </c>
      <c r="F74" s="70">
        <f>E74/10</f>
        <v>0.3</v>
      </c>
      <c r="G74" s="12">
        <v>657.87</v>
      </c>
      <c r="H74" s="84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15.75" hidden="1" customHeight="1">
      <c r="A75" s="26"/>
      <c r="B75" s="13" t="s">
        <v>70</v>
      </c>
      <c r="C75" s="15" t="s">
        <v>28</v>
      </c>
      <c r="D75" s="13" t="s">
        <v>63</v>
      </c>
      <c r="E75" s="17">
        <v>1</v>
      </c>
      <c r="F75" s="70">
        <f>E75</f>
        <v>1</v>
      </c>
      <c r="G75" s="12">
        <v>1118.72</v>
      </c>
      <c r="H75" s="84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15.75" hidden="1" customHeight="1">
      <c r="A76" s="26"/>
      <c r="B76" s="51" t="s">
        <v>196</v>
      </c>
      <c r="C76" s="57" t="s">
        <v>101</v>
      </c>
      <c r="D76" s="13" t="s">
        <v>63</v>
      </c>
      <c r="E76" s="17">
        <v>1</v>
      </c>
      <c r="F76" s="70">
        <f>E76</f>
        <v>1</v>
      </c>
      <c r="G76" s="12">
        <v>1605.83</v>
      </c>
      <c r="H76" s="84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15.75" hidden="1" customHeight="1">
      <c r="A77" s="26"/>
      <c r="B77" s="51" t="s">
        <v>197</v>
      </c>
      <c r="C77" s="57" t="s">
        <v>101</v>
      </c>
      <c r="D77" s="13" t="s">
        <v>63</v>
      </c>
      <c r="E77" s="17">
        <v>2</v>
      </c>
      <c r="F77" s="70">
        <f>E77*12</f>
        <v>24</v>
      </c>
      <c r="G77" s="12">
        <v>53.42</v>
      </c>
      <c r="H77" s="84">
        <f t="shared" si="16"/>
        <v>1.2820799999999999</v>
      </c>
      <c r="I77" s="12">
        <v>0</v>
      </c>
      <c r="J77" s="22"/>
      <c r="L77" s="18"/>
      <c r="M77" s="19"/>
      <c r="N77" s="20"/>
    </row>
    <row r="78" spans="1:14" ht="15.75" hidden="1" customHeight="1">
      <c r="A78" s="26"/>
      <c r="B78" s="86" t="s">
        <v>72</v>
      </c>
      <c r="C78" s="15"/>
      <c r="D78" s="13"/>
      <c r="E78" s="17"/>
      <c r="F78" s="12"/>
      <c r="G78" s="12" t="s">
        <v>110</v>
      </c>
      <c r="H78" s="84" t="s">
        <v>110</v>
      </c>
      <c r="I78" s="12"/>
      <c r="J78" s="22"/>
      <c r="L78" s="18"/>
      <c r="M78" s="19"/>
      <c r="N78" s="20"/>
    </row>
    <row r="79" spans="1:14" ht="15.75" hidden="1" customHeight="1">
      <c r="A79" s="26"/>
      <c r="B79" s="46" t="s">
        <v>109</v>
      </c>
      <c r="C79" s="15" t="s">
        <v>73</v>
      </c>
      <c r="D79" s="13"/>
      <c r="E79" s="17"/>
      <c r="F79" s="12">
        <v>1</v>
      </c>
      <c r="G79" s="12">
        <v>3370.89</v>
      </c>
      <c r="H79" s="84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15.75" hidden="1" customHeight="1">
      <c r="A80" s="26"/>
      <c r="B80" s="63" t="s">
        <v>106</v>
      </c>
      <c r="C80" s="86"/>
      <c r="D80" s="27"/>
      <c r="E80" s="31"/>
      <c r="F80" s="75"/>
      <c r="G80" s="75"/>
      <c r="H80" s="87">
        <f>SUM(H57:H79)</f>
        <v>227.14633412000001</v>
      </c>
      <c r="I80" s="75"/>
      <c r="J80" s="22"/>
      <c r="L80" s="18"/>
      <c r="M80" s="19"/>
      <c r="N80" s="20"/>
    </row>
    <row r="81" spans="1:14" ht="15.75" hidden="1" customHeight="1">
      <c r="A81" s="118">
        <v>15</v>
      </c>
      <c r="B81" s="54" t="s">
        <v>107</v>
      </c>
      <c r="C81" s="126"/>
      <c r="D81" s="127"/>
      <c r="E81" s="127"/>
      <c r="F81" s="128">
        <v>1</v>
      </c>
      <c r="G81" s="128">
        <v>23195</v>
      </c>
      <c r="H81" s="129">
        <f>G81*F81/1000</f>
        <v>23.195</v>
      </c>
      <c r="I81" s="90">
        <f>G81</f>
        <v>23195</v>
      </c>
      <c r="J81" s="22"/>
      <c r="L81" s="18"/>
      <c r="M81" s="19"/>
      <c r="N81" s="20"/>
    </row>
    <row r="82" spans="1:14" ht="15.75" hidden="1" customHeight="1">
      <c r="A82" s="50"/>
      <c r="B82" s="130" t="s">
        <v>198</v>
      </c>
      <c r="C82" s="15"/>
      <c r="D82" s="13"/>
      <c r="E82" s="13"/>
      <c r="F82" s="12">
        <v>69</v>
      </c>
      <c r="G82" s="12">
        <v>700</v>
      </c>
      <c r="H82" s="84">
        <f>G82*F82/1000</f>
        <v>48.3</v>
      </c>
      <c r="I82" s="131">
        <v>0</v>
      </c>
      <c r="J82" s="22"/>
      <c r="L82" s="18"/>
      <c r="M82" s="19"/>
      <c r="N82" s="20"/>
    </row>
    <row r="83" spans="1:14" ht="15.75" customHeight="1">
      <c r="A83" s="134" t="s">
        <v>151</v>
      </c>
      <c r="B83" s="164"/>
      <c r="C83" s="164"/>
      <c r="D83" s="164"/>
      <c r="E83" s="164"/>
      <c r="F83" s="164"/>
      <c r="G83" s="164"/>
      <c r="H83" s="164"/>
      <c r="I83" s="165"/>
      <c r="J83" s="22"/>
      <c r="L83" s="18"/>
      <c r="M83" s="19"/>
      <c r="N83" s="20"/>
    </row>
    <row r="84" spans="1:14" ht="15.75" customHeight="1">
      <c r="A84" s="113">
        <v>10</v>
      </c>
      <c r="B84" s="33" t="s">
        <v>134</v>
      </c>
      <c r="C84" s="38" t="s">
        <v>53</v>
      </c>
      <c r="D84" s="89" t="s">
        <v>54</v>
      </c>
      <c r="E84" s="35">
        <v>3181</v>
      </c>
      <c r="F84" s="35">
        <f>SUM(E84*12)</f>
        <v>38172</v>
      </c>
      <c r="G84" s="35">
        <v>3.1</v>
      </c>
      <c r="H84" s="120">
        <f>SUM(F84*G84/1000)</f>
        <v>118.33319999999999</v>
      </c>
      <c r="I84" s="114">
        <f>F84/12*G84</f>
        <v>9861.1</v>
      </c>
      <c r="J84" s="22"/>
      <c r="L84" s="18"/>
      <c r="M84" s="19"/>
      <c r="N84" s="20"/>
    </row>
    <row r="85" spans="1:14" ht="31.5" customHeight="1">
      <c r="A85" s="26">
        <v>11</v>
      </c>
      <c r="B85" s="13" t="s">
        <v>74</v>
      </c>
      <c r="C85" s="15"/>
      <c r="D85" s="89" t="s">
        <v>54</v>
      </c>
      <c r="E85" s="69">
        <v>3181</v>
      </c>
      <c r="F85" s="12">
        <f>E85*12</f>
        <v>38172</v>
      </c>
      <c r="G85" s="12">
        <v>3.5</v>
      </c>
      <c r="H85" s="84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77</v>
      </c>
      <c r="C86" s="15"/>
      <c r="D86" s="46"/>
      <c r="E86" s="12"/>
      <c r="F86" s="12"/>
      <c r="G86" s="12"/>
      <c r="H86" s="84">
        <f>H85</f>
        <v>133.602</v>
      </c>
      <c r="I86" s="75">
        <f>I16+I17+I18+I26+I27+I30+I31+I33+I70+I84+I85</f>
        <v>49269.27805377778</v>
      </c>
      <c r="J86" s="22"/>
      <c r="L86" s="18"/>
      <c r="M86" s="19"/>
      <c r="N86" s="20"/>
    </row>
    <row r="87" spans="1:14" ht="15.75" customHeight="1">
      <c r="A87" s="139" t="s">
        <v>58</v>
      </c>
      <c r="B87" s="140"/>
      <c r="C87" s="140"/>
      <c r="D87" s="140"/>
      <c r="E87" s="140"/>
      <c r="F87" s="140"/>
      <c r="G87" s="140"/>
      <c r="H87" s="140"/>
      <c r="I87" s="141"/>
      <c r="J87" s="22"/>
      <c r="L87" s="18"/>
      <c r="M87" s="19"/>
      <c r="N87" s="20"/>
    </row>
    <row r="88" spans="1:14" ht="31.5" customHeight="1">
      <c r="A88" s="26">
        <v>12</v>
      </c>
      <c r="B88" s="51" t="s">
        <v>204</v>
      </c>
      <c r="C88" s="57" t="s">
        <v>86</v>
      </c>
      <c r="D88" s="46"/>
      <c r="E88" s="12"/>
      <c r="F88" s="12">
        <f>16/10</f>
        <v>1.6</v>
      </c>
      <c r="G88" s="12">
        <v>2064.25</v>
      </c>
      <c r="H88" s="84">
        <f t="shared" ref="H88" si="18">G88*F88/1000</f>
        <v>3.3028000000000004</v>
      </c>
      <c r="I88" s="90">
        <f>G88*1.6</f>
        <v>3302.8</v>
      </c>
      <c r="J88" s="22"/>
      <c r="L88" s="18"/>
      <c r="M88" s="19"/>
      <c r="N88" s="20"/>
    </row>
    <row r="89" spans="1:14" ht="15.75" customHeight="1">
      <c r="A89" s="26"/>
      <c r="B89" s="27" t="s">
        <v>50</v>
      </c>
      <c r="C89" s="41"/>
      <c r="D89" s="47"/>
      <c r="E89" s="41">
        <v>1</v>
      </c>
      <c r="F89" s="41"/>
      <c r="G89" s="41"/>
      <c r="H89" s="41"/>
      <c r="I89" s="31">
        <f>SUM(I88:I88)</f>
        <v>3302.8</v>
      </c>
      <c r="J89" s="22"/>
      <c r="L89" s="18"/>
      <c r="M89" s="19"/>
      <c r="N89" s="20"/>
    </row>
    <row r="90" spans="1:14" ht="15.75" customHeight="1">
      <c r="A90" s="26"/>
      <c r="B90" s="46" t="s">
        <v>75</v>
      </c>
      <c r="C90" s="14"/>
      <c r="D90" s="14"/>
      <c r="E90" s="42"/>
      <c r="F90" s="42"/>
      <c r="G90" s="43"/>
      <c r="H90" s="43"/>
      <c r="I90" s="16">
        <v>0</v>
      </c>
      <c r="J90" s="22"/>
      <c r="L90" s="18"/>
      <c r="M90" s="19"/>
      <c r="N90" s="20"/>
    </row>
    <row r="91" spans="1:14" ht="15.75" customHeight="1">
      <c r="A91" s="48"/>
      <c r="B91" s="45" t="s">
        <v>174</v>
      </c>
      <c r="C91" s="34"/>
      <c r="D91" s="34"/>
      <c r="E91" s="34"/>
      <c r="F91" s="34"/>
      <c r="G91" s="34"/>
      <c r="H91" s="34"/>
      <c r="I91" s="44">
        <f>I86+I89</f>
        <v>52572.078053777783</v>
      </c>
      <c r="J91" s="22"/>
      <c r="L91" s="18"/>
      <c r="M91" s="19"/>
      <c r="N91" s="20"/>
    </row>
    <row r="92" spans="1:14" ht="15.75" customHeight="1">
      <c r="A92" s="149" t="s">
        <v>211</v>
      </c>
      <c r="B92" s="149"/>
      <c r="C92" s="149"/>
      <c r="D92" s="149"/>
      <c r="E92" s="149"/>
      <c r="F92" s="149"/>
      <c r="G92" s="149"/>
      <c r="H92" s="149"/>
      <c r="I92" s="149"/>
      <c r="J92" s="22"/>
      <c r="L92" s="18"/>
      <c r="M92" s="19"/>
      <c r="N92" s="20"/>
    </row>
    <row r="93" spans="1:14" ht="15.75" customHeight="1">
      <c r="A93" s="8"/>
      <c r="B93" s="163" t="s">
        <v>205</v>
      </c>
      <c r="C93" s="163"/>
      <c r="D93" s="163"/>
      <c r="E93" s="163"/>
      <c r="F93" s="163"/>
      <c r="G93" s="163"/>
      <c r="H93" s="95"/>
      <c r="I93" s="3"/>
      <c r="J93" s="22"/>
      <c r="L93" s="18"/>
      <c r="M93" s="19"/>
      <c r="N93" s="20"/>
    </row>
    <row r="94" spans="1:14" ht="15.75" customHeight="1">
      <c r="A94" s="97"/>
      <c r="B94" s="148" t="s">
        <v>5</v>
      </c>
      <c r="C94" s="148"/>
      <c r="D94" s="148"/>
      <c r="E94" s="148"/>
      <c r="F94" s="148"/>
      <c r="G94" s="148"/>
      <c r="H94" s="23"/>
      <c r="I94" s="5"/>
      <c r="J94" s="22"/>
      <c r="K94" s="22"/>
      <c r="L94" s="22"/>
      <c r="M94" s="19"/>
      <c r="N94" s="20"/>
    </row>
    <row r="95" spans="1:14" ht="15.75" customHeight="1">
      <c r="A95" s="9"/>
      <c r="B95" s="9"/>
      <c r="C95" s="9"/>
      <c r="D95" s="9"/>
      <c r="E95" s="9"/>
      <c r="F95" s="9"/>
      <c r="G95" s="9"/>
      <c r="H95" s="9"/>
      <c r="I95" s="9"/>
      <c r="J95" s="22"/>
      <c r="K95" s="22"/>
      <c r="L95" s="22"/>
      <c r="M95" s="19"/>
      <c r="N95" s="20"/>
    </row>
    <row r="96" spans="1:14" ht="15.75" customHeight="1">
      <c r="A96" s="161" t="s">
        <v>6</v>
      </c>
      <c r="B96" s="161"/>
      <c r="C96" s="161"/>
      <c r="D96" s="161"/>
      <c r="E96" s="161"/>
      <c r="F96" s="161"/>
      <c r="G96" s="161"/>
      <c r="H96" s="161"/>
      <c r="I96" s="161"/>
      <c r="J96" s="22"/>
      <c r="K96" s="22"/>
      <c r="L96" s="22"/>
    </row>
    <row r="97" spans="1:22" ht="15.75" customHeight="1">
      <c r="A97" s="161" t="s">
        <v>7</v>
      </c>
      <c r="B97" s="161"/>
      <c r="C97" s="161"/>
      <c r="D97" s="161"/>
      <c r="E97" s="161"/>
      <c r="F97" s="161"/>
      <c r="G97" s="161"/>
      <c r="H97" s="161"/>
      <c r="I97" s="161"/>
      <c r="J97" s="22"/>
      <c r="K97" s="22"/>
      <c r="L97" s="22"/>
    </row>
    <row r="98" spans="1:22" ht="15.75" customHeight="1">
      <c r="A98" s="149" t="s">
        <v>8</v>
      </c>
      <c r="B98" s="149"/>
      <c r="C98" s="149"/>
      <c r="D98" s="149"/>
      <c r="E98" s="149"/>
      <c r="F98" s="149"/>
      <c r="G98" s="149"/>
      <c r="H98" s="149"/>
      <c r="I98" s="149"/>
    </row>
    <row r="99" spans="1:22" ht="15.75" customHeight="1">
      <c r="A99" s="10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7"/>
    </row>
    <row r="100" spans="1:22" ht="15.75" customHeight="1">
      <c r="A100" s="162" t="s">
        <v>9</v>
      </c>
      <c r="B100" s="162"/>
      <c r="C100" s="162"/>
      <c r="D100" s="162"/>
      <c r="E100" s="162"/>
      <c r="F100" s="162"/>
      <c r="G100" s="162"/>
      <c r="H100" s="162"/>
      <c r="I100" s="162"/>
      <c r="J100" s="24"/>
      <c r="K100" s="24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2" ht="15.75" customHeight="1">
      <c r="A101" s="4"/>
      <c r="J101" s="3"/>
      <c r="K101" s="3"/>
      <c r="L101" s="3"/>
      <c r="M101" s="3"/>
      <c r="N101" s="3"/>
      <c r="O101" s="3"/>
      <c r="P101" s="3"/>
      <c r="Q101" s="3"/>
      <c r="S101" s="3"/>
      <c r="T101" s="3"/>
      <c r="U101" s="3"/>
    </row>
    <row r="102" spans="1:22" ht="15.75" customHeight="1">
      <c r="A102" s="149" t="s">
        <v>10</v>
      </c>
      <c r="B102" s="149"/>
      <c r="C102" s="151" t="s">
        <v>84</v>
      </c>
      <c r="D102" s="151"/>
      <c r="E102" s="151"/>
      <c r="F102" s="65"/>
      <c r="I102" s="100"/>
      <c r="J102" s="5"/>
      <c r="K102" s="5"/>
      <c r="L102" s="5"/>
      <c r="M102" s="5"/>
      <c r="N102" s="5"/>
      <c r="O102" s="5"/>
      <c r="P102" s="5"/>
      <c r="Q102" s="5"/>
      <c r="R102" s="147"/>
      <c r="S102" s="147"/>
      <c r="T102" s="147"/>
      <c r="U102" s="147"/>
    </row>
    <row r="103" spans="1:22" ht="15.75" customHeight="1">
      <c r="A103" s="97"/>
      <c r="C103" s="148" t="s">
        <v>11</v>
      </c>
      <c r="D103" s="148"/>
      <c r="E103" s="148"/>
      <c r="F103" s="23"/>
      <c r="I103" s="98" t="s">
        <v>12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2" ht="15.75" customHeight="1">
      <c r="A104" s="24"/>
      <c r="C104" s="11"/>
      <c r="D104" s="11"/>
      <c r="G104" s="11"/>
      <c r="H104" s="11"/>
    </row>
    <row r="105" spans="1:22" ht="15.75" customHeight="1">
      <c r="A105" s="149" t="s">
        <v>13</v>
      </c>
      <c r="B105" s="149"/>
      <c r="C105" s="150"/>
      <c r="D105" s="150"/>
      <c r="E105" s="150"/>
      <c r="F105" s="66"/>
      <c r="I105" s="100"/>
    </row>
    <row r="106" spans="1:22" ht="15.75" customHeight="1">
      <c r="A106" s="97"/>
      <c r="C106" s="147" t="s">
        <v>11</v>
      </c>
      <c r="D106" s="147"/>
      <c r="E106" s="147"/>
      <c r="F106" s="97"/>
      <c r="I106" s="98" t="s">
        <v>12</v>
      </c>
    </row>
    <row r="107" spans="1:22" ht="15.75" customHeight="1">
      <c r="A107" s="4" t="s">
        <v>14</v>
      </c>
    </row>
    <row r="108" spans="1:22" ht="15" customHeight="1">
      <c r="A108" s="160" t="s">
        <v>15</v>
      </c>
      <c r="B108" s="160"/>
      <c r="C108" s="160"/>
      <c r="D108" s="160"/>
      <c r="E108" s="160"/>
      <c r="F108" s="160"/>
      <c r="G108" s="160"/>
      <c r="H108" s="160"/>
      <c r="I108" s="160"/>
    </row>
    <row r="109" spans="1:22" ht="45" customHeight="1">
      <c r="A109" s="152" t="s">
        <v>16</v>
      </c>
      <c r="B109" s="152"/>
      <c r="C109" s="152"/>
      <c r="D109" s="152"/>
      <c r="E109" s="152"/>
      <c r="F109" s="152"/>
      <c r="G109" s="152"/>
      <c r="H109" s="152"/>
      <c r="I109" s="152"/>
    </row>
    <row r="110" spans="1:22" ht="30" customHeight="1">
      <c r="A110" s="152" t="s">
        <v>17</v>
      </c>
      <c r="B110" s="152"/>
      <c r="C110" s="152"/>
      <c r="D110" s="152"/>
      <c r="E110" s="152"/>
      <c r="F110" s="152"/>
      <c r="G110" s="152"/>
      <c r="H110" s="152"/>
      <c r="I110" s="152"/>
    </row>
    <row r="111" spans="1:22" ht="30" customHeight="1">
      <c r="A111" s="152" t="s">
        <v>21</v>
      </c>
      <c r="B111" s="152"/>
      <c r="C111" s="152"/>
      <c r="D111" s="152"/>
      <c r="E111" s="152"/>
      <c r="F111" s="152"/>
      <c r="G111" s="152"/>
      <c r="H111" s="152"/>
      <c r="I111" s="152"/>
    </row>
    <row r="112" spans="1:22" ht="15" customHeight="1">
      <c r="A112" s="152" t="s">
        <v>20</v>
      </c>
      <c r="B112" s="152"/>
      <c r="C112" s="152"/>
      <c r="D112" s="152"/>
      <c r="E112" s="152"/>
      <c r="F112" s="152"/>
      <c r="G112" s="152"/>
      <c r="H112" s="152"/>
      <c r="I112" s="152"/>
    </row>
  </sheetData>
  <autoFilter ref="I12:I98"/>
  <mergeCells count="31">
    <mergeCell ref="A14:I14"/>
    <mergeCell ref="A3:I3"/>
    <mergeCell ref="A4:I4"/>
    <mergeCell ref="A5:I5"/>
    <mergeCell ref="A8:I8"/>
    <mergeCell ref="A10:I10"/>
    <mergeCell ref="A98:I98"/>
    <mergeCell ref="A15:I15"/>
    <mergeCell ref="A28:I28"/>
    <mergeCell ref="A44:I44"/>
    <mergeCell ref="A55:I55"/>
    <mergeCell ref="A83:I83"/>
    <mergeCell ref="A87:I87"/>
    <mergeCell ref="A92:I92"/>
    <mergeCell ref="B93:G93"/>
    <mergeCell ref="B94:G94"/>
    <mergeCell ref="A96:I96"/>
    <mergeCell ref="A97:I97"/>
    <mergeCell ref="A112:I112"/>
    <mergeCell ref="A100:I100"/>
    <mergeCell ref="A102:B102"/>
    <mergeCell ref="C102:E102"/>
    <mergeCell ref="R102:U102"/>
    <mergeCell ref="C103:E103"/>
    <mergeCell ref="A105:B105"/>
    <mergeCell ref="C105:E105"/>
    <mergeCell ref="C106:E106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29" t="s">
        <v>81</v>
      </c>
      <c r="I1" s="28"/>
    </row>
    <row r="2" spans="1:15" s="25" customFormat="1" ht="15.75" customHeight="1">
      <c r="A2" s="25" t="s">
        <v>59</v>
      </c>
      <c r="J2" s="1"/>
      <c r="K2" s="1"/>
      <c r="L2" s="1"/>
      <c r="M2" s="1"/>
    </row>
    <row r="3" spans="1:15" s="25" customFormat="1" ht="15.75">
      <c r="A3" s="142" t="s">
        <v>150</v>
      </c>
      <c r="B3" s="142"/>
      <c r="C3" s="142"/>
      <c r="D3" s="142"/>
      <c r="E3" s="142"/>
      <c r="F3" s="142"/>
      <c r="G3" s="142"/>
      <c r="H3" s="142"/>
      <c r="I3" s="142"/>
      <c r="J3" s="2"/>
      <c r="K3" s="2"/>
      <c r="L3" s="2"/>
      <c r="M3" s="2"/>
    </row>
    <row r="4" spans="1:15" s="25" customFormat="1" ht="31.5" customHeight="1">
      <c r="A4" s="143" t="s">
        <v>89</v>
      </c>
      <c r="B4" s="143"/>
      <c r="C4" s="143"/>
      <c r="D4" s="143"/>
      <c r="E4" s="143"/>
      <c r="F4" s="143"/>
      <c r="G4" s="143"/>
      <c r="H4" s="143"/>
      <c r="I4" s="143"/>
      <c r="J4" s="3"/>
      <c r="K4" s="3"/>
      <c r="L4" s="3"/>
    </row>
    <row r="5" spans="1:15" s="25" customFormat="1" ht="15.75" customHeight="1">
      <c r="A5" s="142" t="s">
        <v>206</v>
      </c>
      <c r="B5" s="144"/>
      <c r="C5" s="144"/>
      <c r="D5" s="144"/>
      <c r="E5" s="144"/>
      <c r="F5" s="144"/>
      <c r="G5" s="144"/>
      <c r="H5" s="144"/>
      <c r="I5" s="144"/>
    </row>
    <row r="6" spans="1:15" s="25" customFormat="1" ht="15.75">
      <c r="A6" s="2"/>
      <c r="B6" s="96"/>
      <c r="C6" s="96"/>
      <c r="D6" s="96"/>
      <c r="E6" s="96"/>
      <c r="F6" s="96"/>
      <c r="G6" s="96"/>
      <c r="H6" s="96"/>
      <c r="I6" s="30">
        <v>42978</v>
      </c>
      <c r="J6" s="2"/>
      <c r="K6" s="2"/>
      <c r="L6" s="2"/>
      <c r="M6" s="2"/>
    </row>
    <row r="7" spans="1:15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45" t="s">
        <v>188</v>
      </c>
      <c r="B8" s="145"/>
      <c r="C8" s="145"/>
      <c r="D8" s="145"/>
      <c r="E8" s="145"/>
      <c r="F8" s="145"/>
      <c r="G8" s="145"/>
      <c r="H8" s="145"/>
      <c r="I8" s="145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46" t="s">
        <v>228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108" t="s">
        <v>0</v>
      </c>
      <c r="B12" s="108" t="s">
        <v>156</v>
      </c>
      <c r="C12" s="108" t="s">
        <v>1</v>
      </c>
      <c r="D12" s="108" t="s">
        <v>18</v>
      </c>
      <c r="E12" s="108" t="s">
        <v>19</v>
      </c>
      <c r="F12" s="108"/>
      <c r="G12" s="108" t="s">
        <v>22</v>
      </c>
      <c r="H12" s="108"/>
      <c r="I12" s="108" t="s">
        <v>2</v>
      </c>
    </row>
    <row r="13" spans="1:15" s="49" customFormat="1" ht="12.75">
      <c r="A13" s="109">
        <v>1</v>
      </c>
      <c r="B13" s="109">
        <v>2</v>
      </c>
      <c r="C13" s="109">
        <v>3</v>
      </c>
      <c r="D13" s="110">
        <v>4</v>
      </c>
      <c r="E13" s="109">
        <v>5</v>
      </c>
      <c r="F13" s="109"/>
      <c r="G13" s="109">
        <v>5</v>
      </c>
      <c r="H13" s="109"/>
      <c r="I13" s="109">
        <v>6</v>
      </c>
      <c r="J13" s="111"/>
      <c r="K13" s="111"/>
      <c r="L13" s="111"/>
      <c r="M13" s="111"/>
    </row>
    <row r="14" spans="1:15" ht="15.75" customHeight="1">
      <c r="A14" s="137" t="s">
        <v>157</v>
      </c>
      <c r="B14" s="138"/>
      <c r="C14" s="138"/>
      <c r="D14" s="138"/>
      <c r="E14" s="138"/>
      <c r="F14" s="138"/>
      <c r="G14" s="138"/>
      <c r="H14" s="138"/>
      <c r="I14" s="138"/>
      <c r="J14" s="112"/>
      <c r="K14" s="112"/>
      <c r="L14" s="6"/>
      <c r="M14" s="6"/>
      <c r="N14" s="6"/>
      <c r="O14" s="6"/>
    </row>
    <row r="15" spans="1:15" ht="15.75" customHeight="1">
      <c r="A15" s="134" t="s">
        <v>3</v>
      </c>
      <c r="B15" s="135"/>
      <c r="C15" s="135"/>
      <c r="D15" s="135"/>
      <c r="E15" s="135"/>
      <c r="F15" s="135"/>
      <c r="G15" s="135"/>
      <c r="H15" s="135"/>
      <c r="I15" s="136"/>
      <c r="J15" s="6"/>
      <c r="K15" s="6"/>
      <c r="L15" s="6"/>
      <c r="M15" s="6"/>
    </row>
    <row r="16" spans="1:15" ht="15.75" customHeight="1">
      <c r="A16" s="26">
        <v>1</v>
      </c>
      <c r="B16" s="52" t="s">
        <v>82</v>
      </c>
      <c r="C16" s="68" t="s">
        <v>90</v>
      </c>
      <c r="D16" s="52" t="s">
        <v>113</v>
      </c>
      <c r="E16" s="69">
        <v>59.9</v>
      </c>
      <c r="F16" s="70">
        <f>SUM(E16*156/100)</f>
        <v>93.444000000000003</v>
      </c>
      <c r="G16" s="70">
        <v>230</v>
      </c>
      <c r="H16" s="71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87</v>
      </c>
      <c r="C17" s="68" t="s">
        <v>90</v>
      </c>
      <c r="D17" s="52" t="s">
        <v>114</v>
      </c>
      <c r="E17" s="69">
        <v>239.4</v>
      </c>
      <c r="F17" s="70">
        <f>SUM(E17*104/100)</f>
        <v>248.97600000000003</v>
      </c>
      <c r="G17" s="70">
        <v>230</v>
      </c>
      <c r="H17" s="71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88</v>
      </c>
      <c r="C18" s="68" t="s">
        <v>90</v>
      </c>
      <c r="D18" s="52" t="s">
        <v>115</v>
      </c>
      <c r="E18" s="69">
        <f>SUM(E16+E17)</f>
        <v>299.3</v>
      </c>
      <c r="F18" s="70">
        <f>SUM(E18*24/100)</f>
        <v>71.832000000000008</v>
      </c>
      <c r="G18" s="70">
        <v>661.67</v>
      </c>
      <c r="H18" s="71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91</v>
      </c>
      <c r="C19" s="68" t="s">
        <v>92</v>
      </c>
      <c r="D19" s="52" t="s">
        <v>93</v>
      </c>
      <c r="E19" s="69">
        <v>25.6</v>
      </c>
      <c r="F19" s="70">
        <f>SUM(E19/10)</f>
        <v>2.56</v>
      </c>
      <c r="G19" s="70">
        <v>223.17</v>
      </c>
      <c r="H19" s="71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hidden="1" customHeight="1">
      <c r="A20" s="26">
        <v>5</v>
      </c>
      <c r="B20" s="52" t="s">
        <v>94</v>
      </c>
      <c r="C20" s="68" t="s">
        <v>90</v>
      </c>
      <c r="D20" s="52" t="s">
        <v>40</v>
      </c>
      <c r="E20" s="69">
        <v>10.5</v>
      </c>
      <c r="F20" s="70">
        <f>SUM(E20*2/100)</f>
        <v>0.21</v>
      </c>
      <c r="G20" s="70">
        <v>285.76</v>
      </c>
      <c r="H20" s="71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hidden="1" customHeight="1">
      <c r="A21" s="26">
        <v>6</v>
      </c>
      <c r="B21" s="52" t="s">
        <v>95</v>
      </c>
      <c r="C21" s="68" t="s">
        <v>90</v>
      </c>
      <c r="D21" s="52" t="s">
        <v>40</v>
      </c>
      <c r="E21" s="69">
        <v>2.7</v>
      </c>
      <c r="F21" s="70">
        <f>SUM(E21*2/100)</f>
        <v>5.4000000000000006E-2</v>
      </c>
      <c r="G21" s="70">
        <v>283.44</v>
      </c>
      <c r="H21" s="71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96</v>
      </c>
      <c r="C22" s="68" t="s">
        <v>51</v>
      </c>
      <c r="D22" s="52" t="s">
        <v>93</v>
      </c>
      <c r="E22" s="69">
        <v>357</v>
      </c>
      <c r="F22" s="70">
        <f t="shared" ref="F22:F25" si="2">SUM(E22/100)</f>
        <v>3.57</v>
      </c>
      <c r="G22" s="70">
        <v>353.14</v>
      </c>
      <c r="H22" s="71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97</v>
      </c>
      <c r="C23" s="68" t="s">
        <v>51</v>
      </c>
      <c r="D23" s="52" t="s">
        <v>93</v>
      </c>
      <c r="E23" s="72">
        <v>38.64</v>
      </c>
      <c r="F23" s="70">
        <f t="shared" si="2"/>
        <v>0.38640000000000002</v>
      </c>
      <c r="G23" s="70">
        <v>58.08</v>
      </c>
      <c r="H23" s="71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98</v>
      </c>
      <c r="C24" s="68" t="s">
        <v>51</v>
      </c>
      <c r="D24" s="53" t="s">
        <v>93</v>
      </c>
      <c r="E24" s="17">
        <v>15</v>
      </c>
      <c r="F24" s="73">
        <f t="shared" si="2"/>
        <v>0.15</v>
      </c>
      <c r="G24" s="70">
        <v>511.12</v>
      </c>
      <c r="H24" s="71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99</v>
      </c>
      <c r="C25" s="68" t="s">
        <v>51</v>
      </c>
      <c r="D25" s="52" t="s">
        <v>93</v>
      </c>
      <c r="E25" s="74">
        <v>6.38</v>
      </c>
      <c r="F25" s="70">
        <f t="shared" si="2"/>
        <v>6.3799999999999996E-2</v>
      </c>
      <c r="G25" s="70">
        <v>638.04999999999995</v>
      </c>
      <c r="H25" s="71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4</v>
      </c>
      <c r="B26" s="52" t="s">
        <v>61</v>
      </c>
      <c r="C26" s="68" t="s">
        <v>30</v>
      </c>
      <c r="D26" s="52" t="s">
        <v>80</v>
      </c>
      <c r="E26" s="69">
        <v>0.1</v>
      </c>
      <c r="F26" s="70">
        <f>SUM(E26*365)</f>
        <v>36.5</v>
      </c>
      <c r="G26" s="70">
        <v>192.84</v>
      </c>
      <c r="H26" s="71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5</v>
      </c>
      <c r="B27" s="77" t="s">
        <v>23</v>
      </c>
      <c r="C27" s="68" t="s">
        <v>24</v>
      </c>
      <c r="D27" s="52" t="s">
        <v>80</v>
      </c>
      <c r="E27" s="69">
        <v>3181</v>
      </c>
      <c r="F27" s="70">
        <f>SUM(E27*12)</f>
        <v>38172</v>
      </c>
      <c r="G27" s="70">
        <v>2.67</v>
      </c>
      <c r="H27" s="71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34" t="s">
        <v>158</v>
      </c>
      <c r="B28" s="135"/>
      <c r="C28" s="135"/>
      <c r="D28" s="135"/>
      <c r="E28" s="135"/>
      <c r="F28" s="135"/>
      <c r="G28" s="135"/>
      <c r="H28" s="135"/>
      <c r="I28" s="136"/>
      <c r="J28" s="21"/>
      <c r="K28" s="6"/>
      <c r="L28" s="6"/>
      <c r="M28" s="6"/>
    </row>
    <row r="29" spans="1:13" ht="15.75" customHeight="1">
      <c r="A29" s="115"/>
      <c r="B29" s="63" t="s">
        <v>159</v>
      </c>
      <c r="C29" s="116"/>
      <c r="D29" s="116"/>
      <c r="E29" s="116"/>
      <c r="F29" s="116"/>
      <c r="G29" s="116"/>
      <c r="H29" s="116"/>
      <c r="I29" s="116"/>
      <c r="J29" s="21"/>
      <c r="K29" s="6"/>
      <c r="L29" s="6"/>
      <c r="M29" s="6"/>
    </row>
    <row r="30" spans="1:13" ht="15.75" customHeight="1">
      <c r="A30" s="113">
        <v>6</v>
      </c>
      <c r="B30" s="52" t="s">
        <v>160</v>
      </c>
      <c r="C30" s="68" t="s">
        <v>100</v>
      </c>
      <c r="D30" s="52" t="s">
        <v>163</v>
      </c>
      <c r="E30" s="70">
        <v>210.2</v>
      </c>
      <c r="F30" s="70">
        <f>SUM(E30*52/1000)</f>
        <v>10.930399999999999</v>
      </c>
      <c r="G30" s="70">
        <v>204.44</v>
      </c>
      <c r="H30" s="71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customHeight="1">
      <c r="A31" s="26">
        <v>7</v>
      </c>
      <c r="B31" s="52" t="s">
        <v>161</v>
      </c>
      <c r="C31" s="68" t="s">
        <v>100</v>
      </c>
      <c r="D31" s="52" t="s">
        <v>164</v>
      </c>
      <c r="E31" s="70">
        <v>92</v>
      </c>
      <c r="F31" s="70">
        <f>SUM(E31*78/1000)</f>
        <v>7.1760000000000002</v>
      </c>
      <c r="G31" s="70">
        <v>339.21</v>
      </c>
      <c r="H31" s="71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8" t="s">
        <v>100</v>
      </c>
      <c r="D32" s="52" t="s">
        <v>52</v>
      </c>
      <c r="E32" s="70">
        <f>E30</f>
        <v>210.2</v>
      </c>
      <c r="F32" s="70">
        <f>SUM(E32/1000)</f>
        <v>0.2102</v>
      </c>
      <c r="G32" s="70">
        <v>3961.23</v>
      </c>
      <c r="H32" s="71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customHeight="1">
      <c r="A33" s="26">
        <v>8</v>
      </c>
      <c r="B33" s="52" t="s">
        <v>162</v>
      </c>
      <c r="C33" s="68" t="s">
        <v>28</v>
      </c>
      <c r="D33" s="52" t="s">
        <v>60</v>
      </c>
      <c r="E33" s="76">
        <f>1/3</f>
        <v>0.33333333333333331</v>
      </c>
      <c r="F33" s="70">
        <f>155/3</f>
        <v>51.666666666666664</v>
      </c>
      <c r="G33" s="70">
        <v>74.349999999999994</v>
      </c>
      <c r="H33" s="71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62</v>
      </c>
      <c r="C34" s="68" t="s">
        <v>30</v>
      </c>
      <c r="D34" s="52" t="s">
        <v>63</v>
      </c>
      <c r="E34" s="69"/>
      <c r="F34" s="70">
        <v>1</v>
      </c>
      <c r="G34" s="70">
        <v>250.92</v>
      </c>
      <c r="H34" s="71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18"/>
      <c r="B35" s="52" t="s">
        <v>119</v>
      </c>
      <c r="C35" s="68" t="s">
        <v>29</v>
      </c>
      <c r="D35" s="52" t="s">
        <v>63</v>
      </c>
      <c r="E35" s="69"/>
      <c r="F35" s="70">
        <v>1</v>
      </c>
      <c r="G35" s="70">
        <v>1490.31</v>
      </c>
      <c r="H35" s="71">
        <f t="shared" si="6"/>
        <v>1.49031</v>
      </c>
      <c r="I35" s="12">
        <v>0</v>
      </c>
      <c r="J35" s="21"/>
      <c r="K35" s="6"/>
      <c r="L35" s="6"/>
      <c r="M35" s="6"/>
    </row>
    <row r="36" spans="1:14" ht="15.75" hidden="1" customHeight="1">
      <c r="A36" s="115"/>
      <c r="B36" s="63" t="s">
        <v>4</v>
      </c>
      <c r="C36" s="117"/>
      <c r="D36" s="117"/>
      <c r="E36" s="117"/>
      <c r="F36" s="117"/>
      <c r="G36" s="117"/>
      <c r="H36" s="117"/>
      <c r="I36" s="117"/>
      <c r="J36" s="21"/>
      <c r="K36" s="6"/>
      <c r="L36" s="6"/>
      <c r="M36" s="6"/>
    </row>
    <row r="37" spans="1:14" ht="15.75" hidden="1" customHeight="1">
      <c r="A37" s="113">
        <v>6</v>
      </c>
      <c r="B37" s="52" t="s">
        <v>25</v>
      </c>
      <c r="C37" s="68" t="s">
        <v>29</v>
      </c>
      <c r="D37" s="52"/>
      <c r="E37" s="69"/>
      <c r="F37" s="70">
        <v>3</v>
      </c>
      <c r="G37" s="70">
        <v>2003</v>
      </c>
      <c r="H37" s="71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hidden="1" customHeight="1">
      <c r="A38" s="26">
        <v>7</v>
      </c>
      <c r="B38" s="52" t="s">
        <v>189</v>
      </c>
      <c r="C38" s="68" t="s">
        <v>27</v>
      </c>
      <c r="D38" s="52" t="s">
        <v>122</v>
      </c>
      <c r="E38" s="69">
        <v>92</v>
      </c>
      <c r="F38" s="70">
        <f>E38*30/1000</f>
        <v>2.76</v>
      </c>
      <c r="G38" s="70">
        <v>2757.78</v>
      </c>
      <c r="H38" s="71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123</v>
      </c>
      <c r="C39" s="68" t="s">
        <v>124</v>
      </c>
      <c r="D39" s="52" t="s">
        <v>63</v>
      </c>
      <c r="E39" s="69"/>
      <c r="F39" s="70">
        <v>52</v>
      </c>
      <c r="G39" s="70">
        <v>239.09</v>
      </c>
      <c r="H39" s="71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hidden="1" customHeight="1">
      <c r="A40" s="26"/>
      <c r="B40" s="52" t="s">
        <v>64</v>
      </c>
      <c r="C40" s="68" t="s">
        <v>27</v>
      </c>
      <c r="D40" s="52" t="s">
        <v>125</v>
      </c>
      <c r="E40" s="70">
        <f>E38</f>
        <v>92</v>
      </c>
      <c r="F40" s="70">
        <f>SUM(E40*155/1000)</f>
        <v>14.26</v>
      </c>
      <c r="G40" s="70">
        <v>460.02</v>
      </c>
      <c r="H40" s="71">
        <f t="shared" si="8"/>
        <v>6.5598852000000001</v>
      </c>
      <c r="I40" s="12">
        <f t="shared" si="9"/>
        <v>1093.3141999999998</v>
      </c>
      <c r="J40" s="22"/>
    </row>
    <row r="41" spans="1:14" ht="48" hidden="1" customHeight="1">
      <c r="A41" s="26">
        <v>9</v>
      </c>
      <c r="B41" s="52" t="s">
        <v>79</v>
      </c>
      <c r="C41" s="68" t="s">
        <v>100</v>
      </c>
      <c r="D41" s="52" t="s">
        <v>190</v>
      </c>
      <c r="E41" s="70">
        <v>92</v>
      </c>
      <c r="F41" s="70">
        <f>SUM(E41*35/1000)</f>
        <v>3.22</v>
      </c>
      <c r="G41" s="70">
        <v>7611.16</v>
      </c>
      <c r="H41" s="71">
        <f t="shared" si="8"/>
        <v>24.507935199999999</v>
      </c>
      <c r="I41" s="12">
        <f t="shared" si="9"/>
        <v>4084.655866666667</v>
      </c>
      <c r="J41" s="22"/>
    </row>
    <row r="42" spans="1:14" ht="15.75" hidden="1" customHeight="1">
      <c r="A42" s="26">
        <v>10</v>
      </c>
      <c r="B42" s="52" t="s">
        <v>127</v>
      </c>
      <c r="C42" s="68" t="s">
        <v>100</v>
      </c>
      <c r="D42" s="52" t="s">
        <v>191</v>
      </c>
      <c r="E42" s="70">
        <f>E38</f>
        <v>92</v>
      </c>
      <c r="F42" s="70">
        <f>SUM(E42*20/1000)</f>
        <v>1.84</v>
      </c>
      <c r="G42" s="70">
        <v>562.25</v>
      </c>
      <c r="H42" s="71">
        <f t="shared" si="8"/>
        <v>1.03454</v>
      </c>
      <c r="I42" s="12">
        <f>F42/6*G42</f>
        <v>172.42333333333335</v>
      </c>
      <c r="J42" s="22"/>
    </row>
    <row r="43" spans="1:14" ht="15.75" hidden="1" customHeight="1">
      <c r="A43" s="26">
        <v>11</v>
      </c>
      <c r="B43" s="52" t="s">
        <v>66</v>
      </c>
      <c r="C43" s="68" t="s">
        <v>30</v>
      </c>
      <c r="D43" s="52"/>
      <c r="E43" s="69"/>
      <c r="F43" s="70">
        <v>0.8</v>
      </c>
      <c r="G43" s="70">
        <v>992.97</v>
      </c>
      <c r="H43" s="71">
        <f t="shared" si="8"/>
        <v>0.79437600000000008</v>
      </c>
      <c r="I43" s="12">
        <f>F43/6*G43</f>
        <v>132.39600000000002</v>
      </c>
      <c r="J43" s="22"/>
    </row>
    <row r="44" spans="1:14" ht="15.75" hidden="1" customHeight="1">
      <c r="A44" s="153" t="s">
        <v>141</v>
      </c>
      <c r="B44" s="154"/>
      <c r="C44" s="154"/>
      <c r="D44" s="154"/>
      <c r="E44" s="154"/>
      <c r="F44" s="154"/>
      <c r="G44" s="154"/>
      <c r="H44" s="154"/>
      <c r="I44" s="155"/>
      <c r="J44" s="22"/>
      <c r="L44" s="18"/>
      <c r="M44" s="19"/>
      <c r="N44" s="20"/>
    </row>
    <row r="45" spans="1:14" ht="15.75" hidden="1" customHeight="1">
      <c r="A45" s="26">
        <v>17</v>
      </c>
      <c r="B45" s="33" t="s">
        <v>128</v>
      </c>
      <c r="C45" s="40" t="s">
        <v>100</v>
      </c>
      <c r="D45" s="33" t="s">
        <v>40</v>
      </c>
      <c r="E45" s="123">
        <v>1114.25</v>
      </c>
      <c r="F45" s="32">
        <f>SUM(E45*2/1000)</f>
        <v>2.2284999999999999</v>
      </c>
      <c r="G45" s="35">
        <v>1193.71</v>
      </c>
      <c r="H45" s="124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hidden="1" customHeight="1">
      <c r="A46" s="26">
        <v>18</v>
      </c>
      <c r="B46" s="33" t="s">
        <v>34</v>
      </c>
      <c r="C46" s="40" t="s">
        <v>100</v>
      </c>
      <c r="D46" s="33" t="s">
        <v>40</v>
      </c>
      <c r="E46" s="123">
        <v>2631</v>
      </c>
      <c r="F46" s="32">
        <f>SUM(E46*2/1000)</f>
        <v>5.2619999999999996</v>
      </c>
      <c r="G46" s="35">
        <v>1803.69</v>
      </c>
      <c r="H46" s="124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hidden="1" customHeight="1">
      <c r="A47" s="26">
        <v>19</v>
      </c>
      <c r="B47" s="33" t="s">
        <v>35</v>
      </c>
      <c r="C47" s="40" t="s">
        <v>100</v>
      </c>
      <c r="D47" s="33" t="s">
        <v>40</v>
      </c>
      <c r="E47" s="123">
        <v>1953.8</v>
      </c>
      <c r="F47" s="32">
        <f>SUM(E47*2/1000)</f>
        <v>3.9076</v>
      </c>
      <c r="G47" s="35">
        <v>1243.43</v>
      </c>
      <c r="H47" s="124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hidden="1" customHeight="1">
      <c r="A48" s="26">
        <v>20</v>
      </c>
      <c r="B48" s="33" t="s">
        <v>31</v>
      </c>
      <c r="C48" s="40" t="s">
        <v>32</v>
      </c>
      <c r="D48" s="33" t="s">
        <v>40</v>
      </c>
      <c r="E48" s="123">
        <v>91.84</v>
      </c>
      <c r="F48" s="32">
        <f>SUM(E48*2/100)</f>
        <v>1.8368</v>
      </c>
      <c r="G48" s="125">
        <v>1172.4100000000001</v>
      </c>
      <c r="H48" s="124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hidden="1" customHeight="1">
      <c r="A49" s="26">
        <v>21</v>
      </c>
      <c r="B49" s="33" t="s">
        <v>55</v>
      </c>
      <c r="C49" s="40" t="s">
        <v>100</v>
      </c>
      <c r="D49" s="33" t="s">
        <v>165</v>
      </c>
      <c r="E49" s="123">
        <v>3181</v>
      </c>
      <c r="F49" s="32">
        <f>SUM(E49*5/1000)</f>
        <v>15.904999999999999</v>
      </c>
      <c r="G49" s="35">
        <v>1083.69</v>
      </c>
      <c r="H49" s="124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hidden="1" customHeight="1">
      <c r="A50" s="26">
        <v>13</v>
      </c>
      <c r="B50" s="33" t="s">
        <v>129</v>
      </c>
      <c r="C50" s="40" t="s">
        <v>100</v>
      </c>
      <c r="D50" s="33" t="s">
        <v>40</v>
      </c>
      <c r="E50" s="123">
        <v>3181</v>
      </c>
      <c r="F50" s="32">
        <f>SUM(E50*2/1000)</f>
        <v>6.3620000000000001</v>
      </c>
      <c r="G50" s="35">
        <v>1591.6</v>
      </c>
      <c r="H50" s="124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hidden="1" customHeight="1">
      <c r="A51" s="26">
        <v>13</v>
      </c>
      <c r="B51" s="33" t="s">
        <v>130</v>
      </c>
      <c r="C51" s="40" t="s">
        <v>36</v>
      </c>
      <c r="D51" s="33" t="s">
        <v>40</v>
      </c>
      <c r="E51" s="123">
        <v>20</v>
      </c>
      <c r="F51" s="32">
        <f>SUM(E51*2/100)</f>
        <v>0.4</v>
      </c>
      <c r="G51" s="35">
        <v>4058.32</v>
      </c>
      <c r="H51" s="124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hidden="1" customHeight="1">
      <c r="A52" s="26">
        <v>14</v>
      </c>
      <c r="B52" s="33" t="s">
        <v>37</v>
      </c>
      <c r="C52" s="40" t="s">
        <v>38</v>
      </c>
      <c r="D52" s="33" t="s">
        <v>40</v>
      </c>
      <c r="E52" s="123">
        <v>1</v>
      </c>
      <c r="F52" s="32">
        <v>0.02</v>
      </c>
      <c r="G52" s="35">
        <v>7412.92</v>
      </c>
      <c r="H52" s="124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hidden="1" customHeight="1">
      <c r="A53" s="26">
        <v>22</v>
      </c>
      <c r="B53" s="33" t="s">
        <v>131</v>
      </c>
      <c r="C53" s="40" t="s">
        <v>101</v>
      </c>
      <c r="D53" s="33" t="s">
        <v>67</v>
      </c>
      <c r="E53" s="123">
        <v>70</v>
      </c>
      <c r="F53" s="32">
        <f>E53*3</f>
        <v>210</v>
      </c>
      <c r="G53" s="35">
        <v>185.08</v>
      </c>
      <c r="H53" s="124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hidden="1" customHeight="1">
      <c r="A54" s="26">
        <v>23</v>
      </c>
      <c r="B54" s="33" t="s">
        <v>39</v>
      </c>
      <c r="C54" s="40" t="s">
        <v>101</v>
      </c>
      <c r="D54" s="33" t="s">
        <v>67</v>
      </c>
      <c r="E54" s="123">
        <v>140</v>
      </c>
      <c r="F54" s="32">
        <f>E54*3</f>
        <v>420</v>
      </c>
      <c r="G54" s="36">
        <v>86.15</v>
      </c>
      <c r="H54" s="124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53" t="s">
        <v>83</v>
      </c>
      <c r="B55" s="156"/>
      <c r="C55" s="156"/>
      <c r="D55" s="156"/>
      <c r="E55" s="156"/>
      <c r="F55" s="156"/>
      <c r="G55" s="156"/>
      <c r="H55" s="156"/>
      <c r="I55" s="157"/>
      <c r="J55" s="22"/>
      <c r="L55" s="18"/>
      <c r="M55" s="19"/>
      <c r="N55" s="20"/>
    </row>
    <row r="56" spans="1:14" ht="15.75" hidden="1" customHeight="1">
      <c r="A56" s="26"/>
      <c r="B56" s="93" t="s">
        <v>41</v>
      </c>
      <c r="C56" s="68"/>
      <c r="D56" s="52"/>
      <c r="E56" s="69"/>
      <c r="F56" s="70"/>
      <c r="G56" s="70"/>
      <c r="H56" s="71"/>
      <c r="I56" s="12"/>
      <c r="J56" s="22"/>
      <c r="L56" s="18"/>
      <c r="M56" s="19"/>
      <c r="N56" s="20"/>
    </row>
    <row r="57" spans="1:14" ht="31.5" hidden="1" customHeight="1">
      <c r="A57" s="26">
        <v>24</v>
      </c>
      <c r="B57" s="52" t="s">
        <v>132</v>
      </c>
      <c r="C57" s="68" t="s">
        <v>90</v>
      </c>
      <c r="D57" s="52" t="s">
        <v>133</v>
      </c>
      <c r="E57" s="69">
        <v>111.2</v>
      </c>
      <c r="F57" s="70">
        <f>SUM(E57*6/100)</f>
        <v>6.6720000000000006</v>
      </c>
      <c r="G57" s="12">
        <v>2431.1799999999998</v>
      </c>
      <c r="H57" s="71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15.75" hidden="1" customHeight="1">
      <c r="A58" s="26"/>
      <c r="B58" s="79" t="s">
        <v>135</v>
      </c>
      <c r="C58" s="78" t="s">
        <v>136</v>
      </c>
      <c r="D58" s="13" t="s">
        <v>63</v>
      </c>
      <c r="E58" s="80"/>
      <c r="F58" s="81">
        <v>3</v>
      </c>
      <c r="G58" s="12">
        <v>1582.05</v>
      </c>
      <c r="H58" s="71">
        <f>SUM(F58*G58/1000)</f>
        <v>4.7461499999999992</v>
      </c>
      <c r="I58" s="12">
        <v>0</v>
      </c>
      <c r="J58" s="22"/>
      <c r="L58" s="18"/>
      <c r="M58" s="19"/>
      <c r="N58" s="20"/>
    </row>
    <row r="59" spans="1:14" ht="15.75" hidden="1" customHeight="1">
      <c r="A59" s="26"/>
      <c r="B59" s="94" t="s">
        <v>42</v>
      </c>
      <c r="C59" s="78"/>
      <c r="D59" s="79"/>
      <c r="E59" s="80"/>
      <c r="F59" s="81"/>
      <c r="G59" s="12"/>
      <c r="H59" s="82"/>
      <c r="I59" s="12"/>
      <c r="J59" s="22"/>
      <c r="L59" s="18"/>
      <c r="M59" s="19"/>
      <c r="N59" s="20"/>
    </row>
    <row r="60" spans="1:14" ht="15.75" hidden="1" customHeight="1">
      <c r="A60" s="26"/>
      <c r="B60" s="79" t="s">
        <v>43</v>
      </c>
      <c r="C60" s="78" t="s">
        <v>51</v>
      </c>
      <c r="D60" s="79" t="s">
        <v>52</v>
      </c>
      <c r="E60" s="80">
        <v>222.85</v>
      </c>
      <c r="F60" s="81">
        <v>8.9</v>
      </c>
      <c r="G60" s="12">
        <v>1040.8399999999999</v>
      </c>
      <c r="H60" s="82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94" t="s">
        <v>44</v>
      </c>
      <c r="C61" s="78"/>
      <c r="D61" s="79"/>
      <c r="E61" s="80"/>
      <c r="F61" s="83"/>
      <c r="G61" s="83"/>
      <c r="H61" s="81" t="s">
        <v>110</v>
      </c>
      <c r="I61" s="12"/>
      <c r="J61" s="22"/>
      <c r="L61" s="18"/>
      <c r="M61" s="19"/>
      <c r="N61" s="20"/>
    </row>
    <row r="62" spans="1:14" ht="15.75" hidden="1" customHeight="1">
      <c r="A62" s="26">
        <v>9</v>
      </c>
      <c r="B62" s="13" t="s">
        <v>45</v>
      </c>
      <c r="C62" s="15" t="s">
        <v>101</v>
      </c>
      <c r="D62" s="13" t="s">
        <v>63</v>
      </c>
      <c r="E62" s="17">
        <v>4</v>
      </c>
      <c r="F62" s="70">
        <f>E62</f>
        <v>4</v>
      </c>
      <c r="G62" s="12">
        <v>291.68</v>
      </c>
      <c r="H62" s="84">
        <f t="shared" ref="H62:H70" si="13">SUM(F62*G62/1000)</f>
        <v>1.16672</v>
      </c>
      <c r="I62" s="12">
        <f>G62</f>
        <v>291.68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46</v>
      </c>
      <c r="C63" s="15" t="s">
        <v>101</v>
      </c>
      <c r="D63" s="13" t="s">
        <v>63</v>
      </c>
      <c r="E63" s="17">
        <v>4</v>
      </c>
      <c r="F63" s="70">
        <f>E63</f>
        <v>4</v>
      </c>
      <c r="G63" s="12">
        <v>100.01</v>
      </c>
      <c r="H63" s="84">
        <f t="shared" si="13"/>
        <v>0.40004000000000001</v>
      </c>
      <c r="I63" s="12">
        <v>0</v>
      </c>
      <c r="J63" s="22"/>
      <c r="L63" s="18"/>
      <c r="M63" s="19"/>
      <c r="N63" s="20"/>
    </row>
    <row r="64" spans="1:14" ht="15.75" hidden="1" customHeight="1">
      <c r="A64" s="26">
        <v>24</v>
      </c>
      <c r="B64" s="13" t="s">
        <v>47</v>
      </c>
      <c r="C64" s="15" t="s">
        <v>102</v>
      </c>
      <c r="D64" s="13" t="s">
        <v>52</v>
      </c>
      <c r="E64" s="69">
        <v>12702</v>
      </c>
      <c r="F64" s="12">
        <f>SUM(E64/100)</f>
        <v>127.02</v>
      </c>
      <c r="G64" s="12">
        <v>278.24</v>
      </c>
      <c r="H64" s="84">
        <f t="shared" si="13"/>
        <v>35.342044800000004</v>
      </c>
      <c r="I64" s="12">
        <f>F64*G64</f>
        <v>35342.044800000003</v>
      </c>
      <c r="J64" s="22"/>
      <c r="L64" s="18"/>
      <c r="M64" s="19"/>
      <c r="N64" s="20"/>
    </row>
    <row r="65" spans="1:14" ht="15.75" hidden="1" customHeight="1">
      <c r="A65" s="26">
        <v>25</v>
      </c>
      <c r="B65" s="13" t="s">
        <v>48</v>
      </c>
      <c r="C65" s="15" t="s">
        <v>103</v>
      </c>
      <c r="D65" s="13"/>
      <c r="E65" s="69">
        <v>12702</v>
      </c>
      <c r="F65" s="12">
        <f>SUM(E65/1000)</f>
        <v>12.702</v>
      </c>
      <c r="G65" s="12">
        <v>216.68</v>
      </c>
      <c r="H65" s="84">
        <f t="shared" si="13"/>
        <v>2.7522693600000001</v>
      </c>
      <c r="I65" s="12">
        <f t="shared" ref="I65:I68" si="14">F65*G65</f>
        <v>2752.2693600000002</v>
      </c>
      <c r="J65" s="22"/>
      <c r="L65" s="18"/>
      <c r="M65" s="19"/>
      <c r="N65" s="20"/>
    </row>
    <row r="66" spans="1:14" ht="15.75" hidden="1" customHeight="1">
      <c r="A66" s="26">
        <v>26</v>
      </c>
      <c r="B66" s="13" t="s">
        <v>49</v>
      </c>
      <c r="C66" s="15" t="s">
        <v>73</v>
      </c>
      <c r="D66" s="13" t="s">
        <v>52</v>
      </c>
      <c r="E66" s="69">
        <v>2200</v>
      </c>
      <c r="F66" s="12">
        <f>SUM(E66/100)</f>
        <v>22</v>
      </c>
      <c r="G66" s="12">
        <v>2720.94</v>
      </c>
      <c r="H66" s="84">
        <f t="shared" si="13"/>
        <v>59.860680000000002</v>
      </c>
      <c r="I66" s="12">
        <f t="shared" si="14"/>
        <v>59860.68</v>
      </c>
      <c r="J66" s="22"/>
      <c r="L66" s="18"/>
      <c r="M66" s="19"/>
      <c r="N66" s="20"/>
    </row>
    <row r="67" spans="1:14" ht="15.75" hidden="1" customHeight="1">
      <c r="A67" s="26">
        <v>27</v>
      </c>
      <c r="B67" s="85" t="s">
        <v>104</v>
      </c>
      <c r="C67" s="15" t="s">
        <v>30</v>
      </c>
      <c r="D67" s="13"/>
      <c r="E67" s="69">
        <v>9.6</v>
      </c>
      <c r="F67" s="12">
        <f>SUM(E67)</f>
        <v>9.6</v>
      </c>
      <c r="G67" s="12">
        <v>42.61</v>
      </c>
      <c r="H67" s="84">
        <f t="shared" si="13"/>
        <v>0.40905599999999998</v>
      </c>
      <c r="I67" s="12">
        <f t="shared" si="14"/>
        <v>409.05599999999998</v>
      </c>
      <c r="J67" s="22"/>
      <c r="L67" s="18"/>
      <c r="M67" s="19"/>
      <c r="N67" s="20"/>
    </row>
    <row r="68" spans="1:14" ht="15.75" hidden="1" customHeight="1">
      <c r="A68" s="26">
        <v>28</v>
      </c>
      <c r="B68" s="85" t="s">
        <v>105</v>
      </c>
      <c r="C68" s="15" t="s">
        <v>30</v>
      </c>
      <c r="D68" s="13"/>
      <c r="E68" s="69">
        <v>9.6</v>
      </c>
      <c r="F68" s="12">
        <f>SUM(E68)</f>
        <v>9.6</v>
      </c>
      <c r="G68" s="12">
        <v>46.04</v>
      </c>
      <c r="H68" s="84">
        <f t="shared" si="13"/>
        <v>0.44198399999999999</v>
      </c>
      <c r="I68" s="12">
        <f t="shared" si="14"/>
        <v>441.98399999999998</v>
      </c>
      <c r="J68" s="22"/>
      <c r="L68" s="18"/>
      <c r="M68" s="19"/>
      <c r="N68" s="20"/>
    </row>
    <row r="69" spans="1:14" ht="15.75" hidden="1" customHeight="1">
      <c r="A69" s="26"/>
      <c r="B69" s="13" t="s">
        <v>56</v>
      </c>
      <c r="C69" s="15" t="s">
        <v>57</v>
      </c>
      <c r="D69" s="13" t="s">
        <v>52</v>
      </c>
      <c r="E69" s="17">
        <v>4</v>
      </c>
      <c r="F69" s="12">
        <f>SUM(E69)</f>
        <v>4</v>
      </c>
      <c r="G69" s="12">
        <v>65.42</v>
      </c>
      <c r="H69" s="84">
        <f t="shared" si="13"/>
        <v>0.26168000000000002</v>
      </c>
      <c r="I69" s="12">
        <v>0</v>
      </c>
      <c r="J69" s="22"/>
      <c r="L69" s="18"/>
      <c r="M69" s="19"/>
      <c r="N69" s="20"/>
    </row>
    <row r="70" spans="1:14" ht="15.75" customHeight="1">
      <c r="A70" s="26">
        <v>9</v>
      </c>
      <c r="B70" s="13" t="s">
        <v>192</v>
      </c>
      <c r="C70" s="26" t="s">
        <v>193</v>
      </c>
      <c r="D70" s="13" t="s">
        <v>63</v>
      </c>
      <c r="E70" s="17">
        <v>3181</v>
      </c>
      <c r="F70" s="70">
        <f>SUM(E70)*12</f>
        <v>38172</v>
      </c>
      <c r="G70" s="12">
        <v>2.2799999999999998</v>
      </c>
      <c r="H70" s="84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5.75" hidden="1" customHeight="1">
      <c r="A71" s="26"/>
      <c r="B71" s="63" t="s">
        <v>68</v>
      </c>
      <c r="C71" s="15"/>
      <c r="D71" s="13"/>
      <c r="E71" s="17"/>
      <c r="F71" s="12"/>
      <c r="G71" s="12"/>
      <c r="H71" s="84" t="s">
        <v>110</v>
      </c>
      <c r="I71" s="12"/>
      <c r="J71" s="22"/>
      <c r="L71" s="18"/>
      <c r="M71" s="19"/>
      <c r="N71" s="20"/>
    </row>
    <row r="72" spans="1:14" ht="31.5" hidden="1" customHeight="1">
      <c r="A72" s="26">
        <v>18</v>
      </c>
      <c r="B72" s="13" t="s">
        <v>194</v>
      </c>
      <c r="C72" s="15" t="s">
        <v>28</v>
      </c>
      <c r="D72" s="13" t="s">
        <v>63</v>
      </c>
      <c r="E72" s="17">
        <v>1</v>
      </c>
      <c r="F72" s="70">
        <f t="shared" ref="F72" si="15">E72</f>
        <v>1</v>
      </c>
      <c r="G72" s="12">
        <v>1543.4</v>
      </c>
      <c r="H72" s="84">
        <f>G72*F72/1000</f>
        <v>1.5434000000000001</v>
      </c>
      <c r="I72" s="12">
        <v>0</v>
      </c>
      <c r="J72" s="22"/>
      <c r="L72" s="18"/>
      <c r="M72" s="19"/>
      <c r="N72" s="20"/>
    </row>
    <row r="73" spans="1:14" ht="15.75" hidden="1" customHeight="1">
      <c r="A73" s="26"/>
      <c r="B73" s="51" t="s">
        <v>195</v>
      </c>
      <c r="C73" s="57" t="s">
        <v>101</v>
      </c>
      <c r="D73" s="13" t="s">
        <v>63</v>
      </c>
      <c r="E73" s="17">
        <v>1</v>
      </c>
      <c r="F73" s="70">
        <f>E73</f>
        <v>1</v>
      </c>
      <c r="G73" s="12">
        <v>130.96</v>
      </c>
      <c r="H73" s="84">
        <f>G73*F73/1000</f>
        <v>0.13096000000000002</v>
      </c>
      <c r="I73" s="12">
        <v>0</v>
      </c>
      <c r="J73" s="22"/>
      <c r="L73" s="18"/>
      <c r="M73" s="19"/>
      <c r="N73" s="20"/>
    </row>
    <row r="74" spans="1:14" ht="15.75" hidden="1" customHeight="1">
      <c r="A74" s="26"/>
      <c r="B74" s="13" t="s">
        <v>69</v>
      </c>
      <c r="C74" s="15" t="s">
        <v>71</v>
      </c>
      <c r="D74" s="13" t="s">
        <v>63</v>
      </c>
      <c r="E74" s="17">
        <v>3</v>
      </c>
      <c r="F74" s="70">
        <f>E74/10</f>
        <v>0.3</v>
      </c>
      <c r="G74" s="12">
        <v>657.87</v>
      </c>
      <c r="H74" s="84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15.75" hidden="1" customHeight="1">
      <c r="A75" s="26"/>
      <c r="B75" s="13" t="s">
        <v>70</v>
      </c>
      <c r="C75" s="15" t="s">
        <v>28</v>
      </c>
      <c r="D75" s="13" t="s">
        <v>63</v>
      </c>
      <c r="E75" s="17">
        <v>1</v>
      </c>
      <c r="F75" s="70">
        <f>E75</f>
        <v>1</v>
      </c>
      <c r="G75" s="12">
        <v>1118.72</v>
      </c>
      <c r="H75" s="84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15.75" hidden="1" customHeight="1">
      <c r="A76" s="26"/>
      <c r="B76" s="51" t="s">
        <v>196</v>
      </c>
      <c r="C76" s="57" t="s">
        <v>101</v>
      </c>
      <c r="D76" s="13" t="s">
        <v>63</v>
      </c>
      <c r="E76" s="17">
        <v>1</v>
      </c>
      <c r="F76" s="70">
        <f>E76</f>
        <v>1</v>
      </c>
      <c r="G76" s="12">
        <v>1605.83</v>
      </c>
      <c r="H76" s="84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15.75" hidden="1" customHeight="1">
      <c r="A77" s="26"/>
      <c r="B77" s="51" t="s">
        <v>197</v>
      </c>
      <c r="C77" s="57" t="s">
        <v>101</v>
      </c>
      <c r="D77" s="13" t="s">
        <v>63</v>
      </c>
      <c r="E77" s="17">
        <v>2</v>
      </c>
      <c r="F77" s="70">
        <f>E77*12</f>
        <v>24</v>
      </c>
      <c r="G77" s="12">
        <v>53.42</v>
      </c>
      <c r="H77" s="84">
        <f t="shared" si="16"/>
        <v>1.2820799999999999</v>
      </c>
      <c r="I77" s="12">
        <v>0</v>
      </c>
      <c r="J77" s="22"/>
      <c r="L77" s="18"/>
      <c r="M77" s="19"/>
      <c r="N77" s="20"/>
    </row>
    <row r="78" spans="1:14" ht="15.75" hidden="1" customHeight="1">
      <c r="A78" s="26"/>
      <c r="B78" s="86" t="s">
        <v>72</v>
      </c>
      <c r="C78" s="15"/>
      <c r="D78" s="13"/>
      <c r="E78" s="17"/>
      <c r="F78" s="12"/>
      <c r="G78" s="12" t="s">
        <v>110</v>
      </c>
      <c r="H78" s="84" t="s">
        <v>110</v>
      </c>
      <c r="I78" s="12"/>
      <c r="J78" s="22"/>
      <c r="L78" s="18"/>
      <c r="M78" s="19"/>
      <c r="N78" s="20"/>
    </row>
    <row r="79" spans="1:14" ht="15.75" hidden="1" customHeight="1">
      <c r="A79" s="26"/>
      <c r="B79" s="46" t="s">
        <v>109</v>
      </c>
      <c r="C79" s="15" t="s">
        <v>73</v>
      </c>
      <c r="D79" s="13"/>
      <c r="E79" s="17"/>
      <c r="F79" s="12">
        <v>1</v>
      </c>
      <c r="G79" s="12">
        <v>3370.89</v>
      </c>
      <c r="H79" s="84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15.75" hidden="1" customHeight="1">
      <c r="A80" s="26"/>
      <c r="B80" s="63" t="s">
        <v>106</v>
      </c>
      <c r="C80" s="86"/>
      <c r="D80" s="27"/>
      <c r="E80" s="31"/>
      <c r="F80" s="75"/>
      <c r="G80" s="75"/>
      <c r="H80" s="87">
        <f>SUM(H57:H79)</f>
        <v>227.14633412000001</v>
      </c>
      <c r="I80" s="75"/>
      <c r="J80" s="22"/>
      <c r="L80" s="18"/>
      <c r="M80" s="19"/>
      <c r="N80" s="20"/>
    </row>
    <row r="81" spans="1:14" ht="15.75" hidden="1" customHeight="1">
      <c r="A81" s="118">
        <v>15</v>
      </c>
      <c r="B81" s="54" t="s">
        <v>107</v>
      </c>
      <c r="C81" s="126"/>
      <c r="D81" s="127"/>
      <c r="E81" s="127"/>
      <c r="F81" s="128">
        <v>1</v>
      </c>
      <c r="G81" s="128">
        <v>23195</v>
      </c>
      <c r="H81" s="129">
        <f>G81*F81/1000</f>
        <v>23.195</v>
      </c>
      <c r="I81" s="90">
        <f>G81</f>
        <v>23195</v>
      </c>
      <c r="J81" s="22"/>
      <c r="L81" s="18"/>
      <c r="M81" s="19"/>
      <c r="N81" s="20"/>
    </row>
    <row r="82" spans="1:14" ht="15.75" hidden="1" customHeight="1">
      <c r="A82" s="50"/>
      <c r="B82" s="130" t="s">
        <v>198</v>
      </c>
      <c r="C82" s="15"/>
      <c r="D82" s="13"/>
      <c r="E82" s="13"/>
      <c r="F82" s="12">
        <v>69</v>
      </c>
      <c r="G82" s="12">
        <v>700</v>
      </c>
      <c r="H82" s="84">
        <f>G82*F82/1000</f>
        <v>48.3</v>
      </c>
      <c r="I82" s="131">
        <v>0</v>
      </c>
      <c r="J82" s="22"/>
      <c r="L82" s="18"/>
      <c r="M82" s="19"/>
      <c r="N82" s="20"/>
    </row>
    <row r="83" spans="1:14" ht="15.75" customHeight="1">
      <c r="A83" s="134" t="s">
        <v>151</v>
      </c>
      <c r="B83" s="164"/>
      <c r="C83" s="164"/>
      <c r="D83" s="164"/>
      <c r="E83" s="164"/>
      <c r="F83" s="164"/>
      <c r="G83" s="164"/>
      <c r="H83" s="164"/>
      <c r="I83" s="165"/>
      <c r="J83" s="22"/>
      <c r="L83" s="18"/>
      <c r="M83" s="19"/>
      <c r="N83" s="20"/>
    </row>
    <row r="84" spans="1:14" ht="15.75" customHeight="1">
      <c r="A84" s="113">
        <v>10</v>
      </c>
      <c r="B84" s="33" t="s">
        <v>134</v>
      </c>
      <c r="C84" s="38" t="s">
        <v>53</v>
      </c>
      <c r="D84" s="89" t="s">
        <v>54</v>
      </c>
      <c r="E84" s="35">
        <v>3181</v>
      </c>
      <c r="F84" s="35">
        <f>SUM(E84*12)</f>
        <v>38172</v>
      </c>
      <c r="G84" s="35">
        <v>3.1</v>
      </c>
      <c r="H84" s="120">
        <f>SUM(F84*G84/1000)</f>
        <v>118.33319999999999</v>
      </c>
      <c r="I84" s="114">
        <f>F84/12*G84</f>
        <v>9861.1</v>
      </c>
      <c r="J84" s="22"/>
      <c r="L84" s="18"/>
      <c r="M84" s="19"/>
      <c r="N84" s="20"/>
    </row>
    <row r="85" spans="1:14" ht="31.5" customHeight="1">
      <c r="A85" s="26">
        <v>11</v>
      </c>
      <c r="B85" s="13" t="s">
        <v>74</v>
      </c>
      <c r="C85" s="15"/>
      <c r="D85" s="89" t="s">
        <v>54</v>
      </c>
      <c r="E85" s="69">
        <v>3181</v>
      </c>
      <c r="F85" s="12">
        <f>E85*12</f>
        <v>38172</v>
      </c>
      <c r="G85" s="12">
        <v>3.5</v>
      </c>
      <c r="H85" s="84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77</v>
      </c>
      <c r="C86" s="15"/>
      <c r="D86" s="46"/>
      <c r="E86" s="12"/>
      <c r="F86" s="12"/>
      <c r="G86" s="12"/>
      <c r="H86" s="84">
        <f>H85</f>
        <v>133.602</v>
      </c>
      <c r="I86" s="75">
        <f>I16+I17+I18+I26+I27+I30+I31+I33+I70+I84+I85</f>
        <v>49269.27805377778</v>
      </c>
      <c r="J86" s="22"/>
      <c r="L86" s="18"/>
      <c r="M86" s="19"/>
      <c r="N86" s="20"/>
    </row>
    <row r="87" spans="1:14" ht="15.75" customHeight="1">
      <c r="A87" s="139" t="s">
        <v>58</v>
      </c>
      <c r="B87" s="140"/>
      <c r="C87" s="140"/>
      <c r="D87" s="140"/>
      <c r="E87" s="140"/>
      <c r="F87" s="140"/>
      <c r="G87" s="140"/>
      <c r="H87" s="140"/>
      <c r="I87" s="141"/>
      <c r="J87" s="22"/>
      <c r="L87" s="18"/>
      <c r="M87" s="19"/>
      <c r="N87" s="20"/>
    </row>
    <row r="88" spans="1:14" ht="15.75" customHeight="1">
      <c r="A88" s="26">
        <v>12</v>
      </c>
      <c r="B88" s="56" t="s">
        <v>166</v>
      </c>
      <c r="C88" s="55" t="s">
        <v>116</v>
      </c>
      <c r="D88" s="13"/>
      <c r="E88" s="17"/>
      <c r="F88" s="12">
        <f>49/3</f>
        <v>16.333333333333332</v>
      </c>
      <c r="G88" s="12">
        <v>1120.8900000000001</v>
      </c>
      <c r="H88" s="84">
        <f t="shared" ref="H88" si="18">G88*F88/1000</f>
        <v>18.307869999999998</v>
      </c>
      <c r="I88" s="90">
        <f>G88*((10+15+10)/3)</f>
        <v>13077.050000000001</v>
      </c>
      <c r="J88" s="22"/>
      <c r="L88" s="18"/>
      <c r="M88" s="19"/>
      <c r="N88" s="20"/>
    </row>
    <row r="89" spans="1:14" ht="15.75" customHeight="1">
      <c r="A89" s="26">
        <v>13</v>
      </c>
      <c r="B89" s="51" t="s">
        <v>78</v>
      </c>
      <c r="C89" s="57" t="s">
        <v>101</v>
      </c>
      <c r="D89" s="13"/>
      <c r="E89" s="17"/>
      <c r="F89" s="12">
        <v>2</v>
      </c>
      <c r="G89" s="12">
        <v>189.88</v>
      </c>
      <c r="H89" s="84">
        <f>G89*F89/1000</f>
        <v>0.37975999999999999</v>
      </c>
      <c r="I89" s="90">
        <f>G89</f>
        <v>189.88</v>
      </c>
      <c r="J89" s="22"/>
      <c r="L89" s="18"/>
      <c r="M89" s="19"/>
      <c r="N89" s="20"/>
    </row>
    <row r="90" spans="1:14" ht="15.75" customHeight="1">
      <c r="A90" s="26">
        <v>14</v>
      </c>
      <c r="B90" s="51" t="s">
        <v>207</v>
      </c>
      <c r="C90" s="91" t="s">
        <v>208</v>
      </c>
      <c r="D90" s="46"/>
      <c r="E90" s="12"/>
      <c r="F90" s="12">
        <v>2</v>
      </c>
      <c r="G90" s="12">
        <v>294.45</v>
      </c>
      <c r="H90" s="84">
        <f>G90*F90/1000</f>
        <v>0.58889999999999998</v>
      </c>
      <c r="I90" s="90">
        <f>G90*2</f>
        <v>588.9</v>
      </c>
      <c r="J90" s="22"/>
      <c r="L90" s="18"/>
      <c r="M90" s="19"/>
      <c r="N90" s="20"/>
    </row>
    <row r="91" spans="1:14" ht="15.75" customHeight="1">
      <c r="A91" s="26">
        <v>15</v>
      </c>
      <c r="B91" s="51" t="s">
        <v>209</v>
      </c>
      <c r="C91" s="57" t="s">
        <v>210</v>
      </c>
      <c r="D91" s="13"/>
      <c r="E91" s="17"/>
      <c r="F91" s="12">
        <v>1</v>
      </c>
      <c r="G91" s="12">
        <v>436.71</v>
      </c>
      <c r="H91" s="84">
        <f>G91*F91/1000</f>
        <v>0.43670999999999999</v>
      </c>
      <c r="I91" s="90">
        <f>G91</f>
        <v>436.71</v>
      </c>
      <c r="J91" s="22"/>
      <c r="L91" s="18"/>
      <c r="M91" s="19"/>
      <c r="N91" s="20"/>
    </row>
    <row r="92" spans="1:14" ht="15.75" customHeight="1">
      <c r="A92" s="26"/>
      <c r="B92" s="27" t="s">
        <v>50</v>
      </c>
      <c r="C92" s="41"/>
      <c r="D92" s="47"/>
      <c r="E92" s="41">
        <v>1</v>
      </c>
      <c r="F92" s="41"/>
      <c r="G92" s="41"/>
      <c r="H92" s="41"/>
      <c r="I92" s="31">
        <f>SUM(I88:I91)</f>
        <v>14292.539999999999</v>
      </c>
      <c r="J92" s="22"/>
      <c r="L92" s="18"/>
      <c r="M92" s="19"/>
      <c r="N92" s="20"/>
    </row>
    <row r="93" spans="1:14" ht="15.75" customHeight="1">
      <c r="A93" s="26"/>
      <c r="B93" s="46" t="s">
        <v>75</v>
      </c>
      <c r="C93" s="14"/>
      <c r="D93" s="14"/>
      <c r="E93" s="42"/>
      <c r="F93" s="42"/>
      <c r="G93" s="43"/>
      <c r="H93" s="43"/>
      <c r="I93" s="16">
        <v>0</v>
      </c>
      <c r="J93" s="22"/>
      <c r="L93" s="18"/>
      <c r="M93" s="19"/>
      <c r="N93" s="20"/>
    </row>
    <row r="94" spans="1:14" ht="15.75" customHeight="1">
      <c r="A94" s="48"/>
      <c r="B94" s="45" t="s">
        <v>174</v>
      </c>
      <c r="C94" s="34"/>
      <c r="D94" s="34"/>
      <c r="E94" s="34"/>
      <c r="F94" s="34"/>
      <c r="G94" s="34"/>
      <c r="H94" s="34"/>
      <c r="I94" s="44">
        <f>I86+I92</f>
        <v>63561.818053777781</v>
      </c>
      <c r="J94" s="22"/>
      <c r="L94" s="18"/>
      <c r="M94" s="19"/>
      <c r="N94" s="20"/>
    </row>
    <row r="95" spans="1:14" ht="15.75" customHeight="1">
      <c r="A95" s="149" t="s">
        <v>212</v>
      </c>
      <c r="B95" s="149"/>
      <c r="C95" s="149"/>
      <c r="D95" s="149"/>
      <c r="E95" s="149"/>
      <c r="F95" s="149"/>
      <c r="G95" s="149"/>
      <c r="H95" s="149"/>
      <c r="I95" s="149"/>
      <c r="J95" s="22"/>
      <c r="L95" s="18"/>
      <c r="M95" s="19"/>
      <c r="N95" s="20"/>
    </row>
    <row r="96" spans="1:14" ht="15.75" customHeight="1">
      <c r="A96" s="8"/>
      <c r="B96" s="163" t="s">
        <v>213</v>
      </c>
      <c r="C96" s="163"/>
      <c r="D96" s="163"/>
      <c r="E96" s="163"/>
      <c r="F96" s="163"/>
      <c r="G96" s="163"/>
      <c r="H96" s="95"/>
      <c r="I96" s="3"/>
      <c r="J96" s="22"/>
      <c r="L96" s="18"/>
      <c r="M96" s="19"/>
      <c r="N96" s="20"/>
    </row>
    <row r="97" spans="1:22" ht="15.75" customHeight="1">
      <c r="A97" s="97"/>
      <c r="B97" s="148" t="s">
        <v>5</v>
      </c>
      <c r="C97" s="148"/>
      <c r="D97" s="148"/>
      <c r="E97" s="148"/>
      <c r="F97" s="148"/>
      <c r="G97" s="148"/>
      <c r="H97" s="23"/>
      <c r="I97" s="5"/>
      <c r="J97" s="22"/>
      <c r="K97" s="22"/>
      <c r="L97" s="22"/>
      <c r="M97" s="19"/>
      <c r="N97" s="20"/>
    </row>
    <row r="98" spans="1:22" ht="15.75" customHeight="1">
      <c r="A98" s="9"/>
      <c r="B98" s="9"/>
      <c r="C98" s="9"/>
      <c r="D98" s="9"/>
      <c r="E98" s="9"/>
      <c r="F98" s="9"/>
      <c r="G98" s="9"/>
      <c r="H98" s="9"/>
      <c r="I98" s="9"/>
      <c r="J98" s="22"/>
      <c r="K98" s="22"/>
      <c r="L98" s="22"/>
      <c r="M98" s="19"/>
      <c r="N98" s="20"/>
    </row>
    <row r="99" spans="1:22" ht="15.75" customHeight="1">
      <c r="A99" s="161" t="s">
        <v>6</v>
      </c>
      <c r="B99" s="161"/>
      <c r="C99" s="161"/>
      <c r="D99" s="161"/>
      <c r="E99" s="161"/>
      <c r="F99" s="161"/>
      <c r="G99" s="161"/>
      <c r="H99" s="161"/>
      <c r="I99" s="161"/>
      <c r="J99" s="22"/>
      <c r="K99" s="22"/>
      <c r="L99" s="22"/>
    </row>
    <row r="100" spans="1:22" ht="15.75" customHeight="1">
      <c r="A100" s="161" t="s">
        <v>7</v>
      </c>
      <c r="B100" s="161"/>
      <c r="C100" s="161"/>
      <c r="D100" s="161"/>
      <c r="E100" s="161"/>
      <c r="F100" s="161"/>
      <c r="G100" s="161"/>
      <c r="H100" s="161"/>
      <c r="I100" s="161"/>
      <c r="J100" s="22"/>
      <c r="K100" s="22"/>
      <c r="L100" s="22"/>
    </row>
    <row r="101" spans="1:22" ht="15.75" customHeight="1">
      <c r="A101" s="149" t="s">
        <v>8</v>
      </c>
      <c r="B101" s="149"/>
      <c r="C101" s="149"/>
      <c r="D101" s="149"/>
      <c r="E101" s="149"/>
      <c r="F101" s="149"/>
      <c r="G101" s="149"/>
      <c r="H101" s="149"/>
      <c r="I101" s="149"/>
    </row>
    <row r="102" spans="1:22" ht="15.75" customHeight="1">
      <c r="A102" s="10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7"/>
    </row>
    <row r="103" spans="1:22" ht="15.75" customHeight="1">
      <c r="A103" s="162" t="s">
        <v>9</v>
      </c>
      <c r="B103" s="162"/>
      <c r="C103" s="162"/>
      <c r="D103" s="162"/>
      <c r="E103" s="162"/>
      <c r="F103" s="162"/>
      <c r="G103" s="162"/>
      <c r="H103" s="162"/>
      <c r="I103" s="162"/>
      <c r="J103" s="24"/>
      <c r="K103" s="24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2" ht="15.75" customHeight="1">
      <c r="A104" s="4"/>
      <c r="J104" s="3"/>
      <c r="K104" s="3"/>
      <c r="L104" s="3"/>
      <c r="M104" s="3"/>
      <c r="N104" s="3"/>
      <c r="O104" s="3"/>
      <c r="P104" s="3"/>
      <c r="Q104" s="3"/>
      <c r="S104" s="3"/>
      <c r="T104" s="3"/>
      <c r="U104" s="3"/>
    </row>
    <row r="105" spans="1:22" ht="15.75" customHeight="1">
      <c r="A105" s="149" t="s">
        <v>10</v>
      </c>
      <c r="B105" s="149"/>
      <c r="C105" s="151" t="s">
        <v>84</v>
      </c>
      <c r="D105" s="151"/>
      <c r="E105" s="151"/>
      <c r="F105" s="65"/>
      <c r="I105" s="100"/>
      <c r="J105" s="5"/>
      <c r="K105" s="5"/>
      <c r="L105" s="5"/>
      <c r="M105" s="5"/>
      <c r="N105" s="5"/>
      <c r="O105" s="5"/>
      <c r="P105" s="5"/>
      <c r="Q105" s="5"/>
      <c r="R105" s="147"/>
      <c r="S105" s="147"/>
      <c r="T105" s="147"/>
      <c r="U105" s="147"/>
    </row>
    <row r="106" spans="1:22" ht="15.75" customHeight="1">
      <c r="A106" s="97"/>
      <c r="C106" s="148" t="s">
        <v>11</v>
      </c>
      <c r="D106" s="148"/>
      <c r="E106" s="148"/>
      <c r="F106" s="23"/>
      <c r="I106" s="98" t="s">
        <v>12</v>
      </c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2" ht="15.75" customHeight="1">
      <c r="A107" s="24"/>
      <c r="C107" s="11"/>
      <c r="D107" s="11"/>
      <c r="G107" s="11"/>
      <c r="H107" s="11"/>
    </row>
    <row r="108" spans="1:22" ht="15.75" customHeight="1">
      <c r="A108" s="149" t="s">
        <v>13</v>
      </c>
      <c r="B108" s="149"/>
      <c r="C108" s="150"/>
      <c r="D108" s="150"/>
      <c r="E108" s="150"/>
      <c r="F108" s="66"/>
      <c r="I108" s="100"/>
    </row>
    <row r="109" spans="1:22" ht="15.75" customHeight="1">
      <c r="A109" s="97"/>
      <c r="C109" s="147" t="s">
        <v>11</v>
      </c>
      <c r="D109" s="147"/>
      <c r="E109" s="147"/>
      <c r="F109" s="97"/>
      <c r="I109" s="98" t="s">
        <v>12</v>
      </c>
    </row>
    <row r="110" spans="1:22" ht="15.75" customHeight="1">
      <c r="A110" s="4" t="s">
        <v>14</v>
      </c>
    </row>
    <row r="111" spans="1:22" ht="15" customHeight="1">
      <c r="A111" s="160" t="s">
        <v>15</v>
      </c>
      <c r="B111" s="160"/>
      <c r="C111" s="160"/>
      <c r="D111" s="160"/>
      <c r="E111" s="160"/>
      <c r="F111" s="160"/>
      <c r="G111" s="160"/>
      <c r="H111" s="160"/>
      <c r="I111" s="160"/>
    </row>
    <row r="112" spans="1:22" ht="45" customHeight="1">
      <c r="A112" s="152" t="s">
        <v>16</v>
      </c>
      <c r="B112" s="152"/>
      <c r="C112" s="152"/>
      <c r="D112" s="152"/>
      <c r="E112" s="152"/>
      <c r="F112" s="152"/>
      <c r="G112" s="152"/>
      <c r="H112" s="152"/>
      <c r="I112" s="152"/>
    </row>
    <row r="113" spans="1:9" ht="30" customHeight="1">
      <c r="A113" s="152" t="s">
        <v>17</v>
      </c>
      <c r="B113" s="152"/>
      <c r="C113" s="152"/>
      <c r="D113" s="152"/>
      <c r="E113" s="152"/>
      <c r="F113" s="152"/>
      <c r="G113" s="152"/>
      <c r="H113" s="152"/>
      <c r="I113" s="152"/>
    </row>
    <row r="114" spans="1:9" ht="30" customHeight="1">
      <c r="A114" s="152" t="s">
        <v>21</v>
      </c>
      <c r="B114" s="152"/>
      <c r="C114" s="152"/>
      <c r="D114" s="152"/>
      <c r="E114" s="152"/>
      <c r="F114" s="152"/>
      <c r="G114" s="152"/>
      <c r="H114" s="152"/>
      <c r="I114" s="152"/>
    </row>
    <row r="115" spans="1:9" ht="15" customHeight="1">
      <c r="A115" s="152" t="s">
        <v>20</v>
      </c>
      <c r="B115" s="152"/>
      <c r="C115" s="152"/>
      <c r="D115" s="152"/>
      <c r="E115" s="152"/>
      <c r="F115" s="152"/>
      <c r="G115" s="152"/>
      <c r="H115" s="152"/>
      <c r="I115" s="152"/>
    </row>
  </sheetData>
  <autoFilter ref="I12:I101"/>
  <mergeCells count="31">
    <mergeCell ref="A14:I14"/>
    <mergeCell ref="A3:I3"/>
    <mergeCell ref="A4:I4"/>
    <mergeCell ref="A5:I5"/>
    <mergeCell ref="A8:I8"/>
    <mergeCell ref="A10:I10"/>
    <mergeCell ref="A101:I101"/>
    <mergeCell ref="A15:I15"/>
    <mergeCell ref="A28:I28"/>
    <mergeCell ref="A44:I44"/>
    <mergeCell ref="A55:I55"/>
    <mergeCell ref="A83:I83"/>
    <mergeCell ref="A87:I87"/>
    <mergeCell ref="A95:I95"/>
    <mergeCell ref="B96:G96"/>
    <mergeCell ref="B97:G97"/>
    <mergeCell ref="A99:I99"/>
    <mergeCell ref="A100:I100"/>
    <mergeCell ref="A115:I115"/>
    <mergeCell ref="A103:I103"/>
    <mergeCell ref="A105:B105"/>
    <mergeCell ref="C105:E105"/>
    <mergeCell ref="R105:U105"/>
    <mergeCell ref="C106:E106"/>
    <mergeCell ref="A108:B108"/>
    <mergeCell ref="C108:E108"/>
    <mergeCell ref="C109:E109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25" customFormat="1" ht="15.75" customHeight="1">
      <c r="A1" s="29" t="s">
        <v>81</v>
      </c>
      <c r="I1" s="28"/>
    </row>
    <row r="2" spans="1:15" s="25" customFormat="1" ht="15.75" customHeight="1">
      <c r="A2" s="25" t="s">
        <v>59</v>
      </c>
      <c r="J2" s="1"/>
      <c r="K2" s="1"/>
      <c r="L2" s="1"/>
      <c r="M2" s="1"/>
    </row>
    <row r="3" spans="1:15" s="25" customFormat="1" ht="15.75">
      <c r="A3" s="142" t="s">
        <v>152</v>
      </c>
      <c r="B3" s="142"/>
      <c r="C3" s="142"/>
      <c r="D3" s="142"/>
      <c r="E3" s="142"/>
      <c r="F3" s="142"/>
      <c r="G3" s="142"/>
      <c r="H3" s="142"/>
      <c r="I3" s="142"/>
      <c r="J3" s="2"/>
      <c r="K3" s="2"/>
      <c r="L3" s="2"/>
      <c r="M3" s="2"/>
    </row>
    <row r="4" spans="1:15" s="25" customFormat="1" ht="31.5" customHeight="1">
      <c r="A4" s="143" t="s">
        <v>89</v>
      </c>
      <c r="B4" s="143"/>
      <c r="C4" s="143"/>
      <c r="D4" s="143"/>
      <c r="E4" s="143"/>
      <c r="F4" s="143"/>
      <c r="G4" s="143"/>
      <c r="H4" s="143"/>
      <c r="I4" s="143"/>
      <c r="J4" s="3"/>
      <c r="K4" s="3"/>
      <c r="L4" s="3"/>
    </row>
    <row r="5" spans="1:15" s="25" customFormat="1" ht="15.75" customHeight="1">
      <c r="A5" s="142" t="s">
        <v>214</v>
      </c>
      <c r="B5" s="144"/>
      <c r="C5" s="144"/>
      <c r="D5" s="144"/>
      <c r="E5" s="144"/>
      <c r="F5" s="144"/>
      <c r="G5" s="144"/>
      <c r="H5" s="144"/>
      <c r="I5" s="144"/>
    </row>
    <row r="6" spans="1:15" s="25" customFormat="1" ht="15.75">
      <c r="A6" s="2"/>
      <c r="B6" s="96"/>
      <c r="C6" s="96"/>
      <c r="D6" s="96"/>
      <c r="E6" s="96"/>
      <c r="F6" s="96"/>
      <c r="G6" s="96"/>
      <c r="H6" s="96"/>
      <c r="I6" s="30">
        <v>43008</v>
      </c>
      <c r="J6" s="2"/>
      <c r="K6" s="2"/>
      <c r="L6" s="2"/>
      <c r="M6" s="2"/>
    </row>
    <row r="7" spans="1:15" ht="15.75">
      <c r="B7" s="99"/>
      <c r="C7" s="99"/>
      <c r="D7" s="99"/>
      <c r="E7" s="3"/>
      <c r="F7" s="3"/>
      <c r="G7" s="3"/>
      <c r="H7" s="3"/>
      <c r="J7" s="3"/>
      <c r="K7" s="3"/>
      <c r="L7" s="3"/>
      <c r="M7" s="3"/>
    </row>
    <row r="8" spans="1:15" ht="78.75" customHeight="1">
      <c r="A8" s="145" t="s">
        <v>188</v>
      </c>
      <c r="B8" s="145"/>
      <c r="C8" s="145"/>
      <c r="D8" s="145"/>
      <c r="E8" s="145"/>
      <c r="F8" s="145"/>
      <c r="G8" s="145"/>
      <c r="H8" s="145"/>
      <c r="I8" s="145"/>
      <c r="J8" s="5"/>
      <c r="K8" s="5"/>
      <c r="L8" s="5"/>
      <c r="M8" s="5"/>
    </row>
    <row r="9" spans="1:15" ht="15.75" customHeight="1">
      <c r="A9" s="4"/>
      <c r="J9" s="2"/>
      <c r="K9" s="2"/>
      <c r="L9" s="2"/>
      <c r="M9" s="2"/>
    </row>
    <row r="10" spans="1:15" ht="47.25" customHeight="1">
      <c r="A10" s="146" t="s">
        <v>228</v>
      </c>
      <c r="B10" s="146"/>
      <c r="C10" s="146"/>
      <c r="D10" s="146"/>
      <c r="E10" s="146"/>
      <c r="F10" s="146"/>
      <c r="G10" s="146"/>
      <c r="H10" s="146"/>
      <c r="I10" s="146"/>
      <c r="J10" s="2"/>
      <c r="K10" s="2"/>
      <c r="L10" s="2"/>
      <c r="M10" s="2"/>
    </row>
    <row r="11" spans="1:15" ht="15.75">
      <c r="A11" s="4"/>
    </row>
    <row r="12" spans="1:15" s="49" customFormat="1" ht="47.25" customHeight="1">
      <c r="A12" s="108" t="s">
        <v>0</v>
      </c>
      <c r="B12" s="108" t="s">
        <v>156</v>
      </c>
      <c r="C12" s="108" t="s">
        <v>1</v>
      </c>
      <c r="D12" s="108" t="s">
        <v>18</v>
      </c>
      <c r="E12" s="108" t="s">
        <v>19</v>
      </c>
      <c r="F12" s="108"/>
      <c r="G12" s="108" t="s">
        <v>22</v>
      </c>
      <c r="H12" s="108"/>
      <c r="I12" s="108" t="s">
        <v>2</v>
      </c>
    </row>
    <row r="13" spans="1:15" s="49" customFormat="1" ht="12.75">
      <c r="A13" s="109">
        <v>1</v>
      </c>
      <c r="B13" s="109">
        <v>2</v>
      </c>
      <c r="C13" s="109">
        <v>3</v>
      </c>
      <c r="D13" s="110">
        <v>4</v>
      </c>
      <c r="E13" s="109">
        <v>5</v>
      </c>
      <c r="F13" s="109"/>
      <c r="G13" s="109">
        <v>5</v>
      </c>
      <c r="H13" s="109"/>
      <c r="I13" s="109">
        <v>6</v>
      </c>
      <c r="J13" s="111"/>
      <c r="K13" s="111"/>
      <c r="L13" s="111"/>
      <c r="M13" s="111"/>
    </row>
    <row r="14" spans="1:15" ht="15.75" customHeight="1">
      <c r="A14" s="137" t="s">
        <v>157</v>
      </c>
      <c r="B14" s="138"/>
      <c r="C14" s="138"/>
      <c r="D14" s="138"/>
      <c r="E14" s="138"/>
      <c r="F14" s="138"/>
      <c r="G14" s="138"/>
      <c r="H14" s="138"/>
      <c r="I14" s="138"/>
      <c r="J14" s="112"/>
      <c r="K14" s="112"/>
      <c r="L14" s="6"/>
      <c r="M14" s="6"/>
      <c r="N14" s="6"/>
      <c r="O14" s="6"/>
    </row>
    <row r="15" spans="1:15" ht="15.75" customHeight="1">
      <c r="A15" s="134" t="s">
        <v>3</v>
      </c>
      <c r="B15" s="135"/>
      <c r="C15" s="135"/>
      <c r="D15" s="135"/>
      <c r="E15" s="135"/>
      <c r="F15" s="135"/>
      <c r="G15" s="135"/>
      <c r="H15" s="135"/>
      <c r="I15" s="136"/>
      <c r="J15" s="6"/>
      <c r="K15" s="6"/>
      <c r="L15" s="6"/>
      <c r="M15" s="6"/>
    </row>
    <row r="16" spans="1:15" ht="15.75" customHeight="1">
      <c r="A16" s="26">
        <v>1</v>
      </c>
      <c r="B16" s="52" t="s">
        <v>82</v>
      </c>
      <c r="C16" s="68" t="s">
        <v>90</v>
      </c>
      <c r="D16" s="52" t="s">
        <v>113</v>
      </c>
      <c r="E16" s="69">
        <v>59.9</v>
      </c>
      <c r="F16" s="70">
        <f>SUM(E16*156/100)</f>
        <v>93.444000000000003</v>
      </c>
      <c r="G16" s="70">
        <v>230</v>
      </c>
      <c r="H16" s="71">
        <f t="shared" ref="H16:H25" si="0">SUM(F16*G16/1000)</f>
        <v>21.49212</v>
      </c>
      <c r="I16" s="12">
        <f>F16/12*G16</f>
        <v>1791.01</v>
      </c>
      <c r="J16" s="6"/>
      <c r="K16" s="6"/>
      <c r="L16" s="6"/>
      <c r="M16" s="6"/>
    </row>
    <row r="17" spans="1:13" ht="15.75" customHeight="1">
      <c r="A17" s="26">
        <v>2</v>
      </c>
      <c r="B17" s="52" t="s">
        <v>87</v>
      </c>
      <c r="C17" s="68" t="s">
        <v>90</v>
      </c>
      <c r="D17" s="52" t="s">
        <v>114</v>
      </c>
      <c r="E17" s="69">
        <v>239.4</v>
      </c>
      <c r="F17" s="70">
        <f>SUM(E17*104/100)</f>
        <v>248.97600000000003</v>
      </c>
      <c r="G17" s="70">
        <v>230</v>
      </c>
      <c r="H17" s="71">
        <f t="shared" si="0"/>
        <v>57.264480000000006</v>
      </c>
      <c r="I17" s="12">
        <f>F17/12*G17</f>
        <v>4772.04</v>
      </c>
      <c r="J17" s="6"/>
      <c r="K17" s="6"/>
      <c r="L17" s="6"/>
      <c r="M17" s="6"/>
    </row>
    <row r="18" spans="1:13" ht="15.75" customHeight="1">
      <c r="A18" s="26">
        <v>3</v>
      </c>
      <c r="B18" s="52" t="s">
        <v>88</v>
      </c>
      <c r="C18" s="68" t="s">
        <v>90</v>
      </c>
      <c r="D18" s="52" t="s">
        <v>115</v>
      </c>
      <c r="E18" s="69">
        <f>SUM(E16+E17)</f>
        <v>299.3</v>
      </c>
      <c r="F18" s="70">
        <f>SUM(E18*24/100)</f>
        <v>71.832000000000008</v>
      </c>
      <c r="G18" s="70">
        <v>661.67</v>
      </c>
      <c r="H18" s="71">
        <f t="shared" si="0"/>
        <v>47.529079440000004</v>
      </c>
      <c r="I18" s="12">
        <f>F18/12*G18</f>
        <v>3960.7566200000001</v>
      </c>
      <c r="J18" s="21"/>
      <c r="K18" s="6"/>
      <c r="L18" s="6"/>
      <c r="M18" s="6"/>
    </row>
    <row r="19" spans="1:13" ht="15.75" hidden="1" customHeight="1">
      <c r="A19" s="26">
        <v>4</v>
      </c>
      <c r="B19" s="52" t="s">
        <v>91</v>
      </c>
      <c r="C19" s="68" t="s">
        <v>92</v>
      </c>
      <c r="D19" s="52" t="s">
        <v>93</v>
      </c>
      <c r="E19" s="69">
        <v>25.6</v>
      </c>
      <c r="F19" s="70">
        <f>SUM(E19/10)</f>
        <v>2.56</v>
      </c>
      <c r="G19" s="70">
        <v>223.17</v>
      </c>
      <c r="H19" s="71">
        <f>SUM(F19*G19/1000)</f>
        <v>0.57131520000000002</v>
      </c>
      <c r="I19" s="12">
        <f>F19/2*G19</f>
        <v>285.6576</v>
      </c>
      <c r="J19" s="21"/>
      <c r="K19" s="6"/>
      <c r="L19" s="6"/>
      <c r="M19" s="6"/>
    </row>
    <row r="20" spans="1:13" ht="15.75" customHeight="1">
      <c r="A20" s="26">
        <v>4</v>
      </c>
      <c r="B20" s="52" t="s">
        <v>94</v>
      </c>
      <c r="C20" s="68" t="s">
        <v>90</v>
      </c>
      <c r="D20" s="52" t="s">
        <v>40</v>
      </c>
      <c r="E20" s="69">
        <v>10.5</v>
      </c>
      <c r="F20" s="70">
        <f>SUM(E20*2/100)</f>
        <v>0.21</v>
      </c>
      <c r="G20" s="70">
        <v>285.76</v>
      </c>
      <c r="H20" s="71">
        <f t="shared" si="0"/>
        <v>6.0009599999999996E-2</v>
      </c>
      <c r="I20" s="12">
        <f t="shared" ref="I20:I21" si="1">F20/2*G20</f>
        <v>30.004799999999999</v>
      </c>
      <c r="J20" s="21"/>
      <c r="K20" s="6"/>
      <c r="L20" s="6"/>
      <c r="M20" s="6"/>
    </row>
    <row r="21" spans="1:13" ht="15.75" customHeight="1">
      <c r="A21" s="26">
        <v>5</v>
      </c>
      <c r="B21" s="52" t="s">
        <v>95</v>
      </c>
      <c r="C21" s="68" t="s">
        <v>90</v>
      </c>
      <c r="D21" s="52" t="s">
        <v>40</v>
      </c>
      <c r="E21" s="69">
        <v>2.7</v>
      </c>
      <c r="F21" s="70">
        <f>SUM(E21*2/100)</f>
        <v>5.4000000000000006E-2</v>
      </c>
      <c r="G21" s="70">
        <v>283.44</v>
      </c>
      <c r="H21" s="71">
        <f t="shared" si="0"/>
        <v>1.5305760000000002E-2</v>
      </c>
      <c r="I21" s="12">
        <f t="shared" si="1"/>
        <v>7.6528800000000006</v>
      </c>
      <c r="J21" s="21"/>
      <c r="K21" s="6"/>
      <c r="L21" s="6"/>
      <c r="M21" s="6"/>
    </row>
    <row r="22" spans="1:13" ht="15.75" hidden="1" customHeight="1">
      <c r="A22" s="26">
        <v>7</v>
      </c>
      <c r="B22" s="52" t="s">
        <v>96</v>
      </c>
      <c r="C22" s="68" t="s">
        <v>51</v>
      </c>
      <c r="D22" s="52" t="s">
        <v>93</v>
      </c>
      <c r="E22" s="69">
        <v>357</v>
      </c>
      <c r="F22" s="70">
        <f t="shared" ref="F22:F25" si="2">SUM(E22/100)</f>
        <v>3.57</v>
      </c>
      <c r="G22" s="70">
        <v>353.14</v>
      </c>
      <c r="H22" s="71">
        <f t="shared" si="0"/>
        <v>1.2607097999999999</v>
      </c>
      <c r="I22" s="12">
        <f>F22*G22</f>
        <v>1260.7097999999999</v>
      </c>
      <c r="J22" s="21"/>
      <c r="K22" s="6"/>
      <c r="L22" s="6"/>
      <c r="M22" s="6"/>
    </row>
    <row r="23" spans="1:13" ht="15.75" hidden="1" customHeight="1">
      <c r="A23" s="26">
        <v>8</v>
      </c>
      <c r="B23" s="52" t="s">
        <v>97</v>
      </c>
      <c r="C23" s="68" t="s">
        <v>51</v>
      </c>
      <c r="D23" s="52" t="s">
        <v>93</v>
      </c>
      <c r="E23" s="72">
        <v>38.64</v>
      </c>
      <c r="F23" s="70">
        <f t="shared" si="2"/>
        <v>0.38640000000000002</v>
      </c>
      <c r="G23" s="70">
        <v>58.08</v>
      </c>
      <c r="H23" s="71">
        <f t="shared" si="0"/>
        <v>2.2442112E-2</v>
      </c>
      <c r="I23" s="12">
        <f t="shared" ref="I23:I25" si="3">F23*G23</f>
        <v>22.442112000000002</v>
      </c>
      <c r="J23" s="21"/>
      <c r="K23" s="6"/>
      <c r="L23" s="6"/>
      <c r="M23" s="6"/>
    </row>
    <row r="24" spans="1:13" ht="15.75" hidden="1" customHeight="1">
      <c r="A24" s="26">
        <v>9</v>
      </c>
      <c r="B24" s="52" t="s">
        <v>98</v>
      </c>
      <c r="C24" s="68" t="s">
        <v>51</v>
      </c>
      <c r="D24" s="53" t="s">
        <v>93</v>
      </c>
      <c r="E24" s="17">
        <v>15</v>
      </c>
      <c r="F24" s="73">
        <f t="shared" si="2"/>
        <v>0.15</v>
      </c>
      <c r="G24" s="70">
        <v>511.12</v>
      </c>
      <c r="H24" s="71">
        <f t="shared" ref="H24" si="4">SUM(F24*G24/1000)</f>
        <v>7.6667999999999986E-2</v>
      </c>
      <c r="I24" s="12">
        <f t="shared" si="3"/>
        <v>76.667999999999992</v>
      </c>
      <c r="J24" s="21"/>
      <c r="K24" s="6"/>
      <c r="L24" s="6"/>
      <c r="M24" s="6"/>
    </row>
    <row r="25" spans="1:13" ht="15.75" hidden="1" customHeight="1">
      <c r="A25" s="26">
        <v>10</v>
      </c>
      <c r="B25" s="52" t="s">
        <v>99</v>
      </c>
      <c r="C25" s="68" t="s">
        <v>51</v>
      </c>
      <c r="D25" s="52" t="s">
        <v>93</v>
      </c>
      <c r="E25" s="74">
        <v>6.38</v>
      </c>
      <c r="F25" s="70">
        <f t="shared" si="2"/>
        <v>6.3799999999999996E-2</v>
      </c>
      <c r="G25" s="70">
        <v>638.04999999999995</v>
      </c>
      <c r="H25" s="71">
        <f t="shared" si="0"/>
        <v>4.0707589999999995E-2</v>
      </c>
      <c r="I25" s="12">
        <f t="shared" si="3"/>
        <v>40.707589999999996</v>
      </c>
      <c r="J25" s="21"/>
      <c r="K25" s="6"/>
      <c r="L25" s="6"/>
      <c r="M25" s="6"/>
    </row>
    <row r="26" spans="1:13" ht="15.75" customHeight="1">
      <c r="A26" s="26">
        <v>6</v>
      </c>
      <c r="B26" s="52" t="s">
        <v>61</v>
      </c>
      <c r="C26" s="68" t="s">
        <v>30</v>
      </c>
      <c r="D26" s="52" t="s">
        <v>80</v>
      </c>
      <c r="E26" s="69">
        <v>0.1</v>
      </c>
      <c r="F26" s="70">
        <f>SUM(E26*365)</f>
        <v>36.5</v>
      </c>
      <c r="G26" s="70">
        <v>192.84</v>
      </c>
      <c r="H26" s="71">
        <f t="shared" ref="H26:H27" si="5">SUM(F26*G26/1000)</f>
        <v>7.0386600000000001</v>
      </c>
      <c r="I26" s="12">
        <f>F26/12*G26</f>
        <v>586.55499999999995</v>
      </c>
      <c r="J26" s="21"/>
      <c r="K26" s="6"/>
      <c r="L26" s="6"/>
      <c r="M26" s="6"/>
    </row>
    <row r="27" spans="1:13" ht="15.75" customHeight="1">
      <c r="A27" s="26">
        <v>7</v>
      </c>
      <c r="B27" s="77" t="s">
        <v>23</v>
      </c>
      <c r="C27" s="68" t="s">
        <v>24</v>
      </c>
      <c r="D27" s="52" t="s">
        <v>80</v>
      </c>
      <c r="E27" s="69">
        <v>3181</v>
      </c>
      <c r="F27" s="70">
        <f>SUM(E27*12)</f>
        <v>38172</v>
      </c>
      <c r="G27" s="70">
        <v>2.67</v>
      </c>
      <c r="H27" s="71">
        <f t="shared" si="5"/>
        <v>101.91923999999999</v>
      </c>
      <c r="I27" s="12">
        <f>F27/12*G27</f>
        <v>8493.27</v>
      </c>
      <c r="J27" s="21"/>
      <c r="K27" s="6"/>
      <c r="L27" s="6"/>
      <c r="M27" s="6"/>
    </row>
    <row r="28" spans="1:13" ht="15.75" customHeight="1">
      <c r="A28" s="134" t="s">
        <v>158</v>
      </c>
      <c r="B28" s="135"/>
      <c r="C28" s="135"/>
      <c r="D28" s="135"/>
      <c r="E28" s="135"/>
      <c r="F28" s="135"/>
      <c r="G28" s="135"/>
      <c r="H28" s="135"/>
      <c r="I28" s="136"/>
      <c r="J28" s="21"/>
      <c r="K28" s="6"/>
      <c r="L28" s="6"/>
      <c r="M28" s="6"/>
    </row>
    <row r="29" spans="1:13" ht="15.75" customHeight="1">
      <c r="A29" s="115"/>
      <c r="B29" s="63" t="s">
        <v>159</v>
      </c>
      <c r="C29" s="116"/>
      <c r="D29" s="116"/>
      <c r="E29" s="116"/>
      <c r="F29" s="116"/>
      <c r="G29" s="116"/>
      <c r="H29" s="116"/>
      <c r="I29" s="116"/>
      <c r="J29" s="21"/>
      <c r="K29" s="6"/>
      <c r="L29" s="6"/>
      <c r="M29" s="6"/>
    </row>
    <row r="30" spans="1:13" ht="15.75" customHeight="1">
      <c r="A30" s="113">
        <v>8</v>
      </c>
      <c r="B30" s="52" t="s">
        <v>160</v>
      </c>
      <c r="C30" s="68" t="s">
        <v>100</v>
      </c>
      <c r="D30" s="52" t="s">
        <v>163</v>
      </c>
      <c r="E30" s="70">
        <v>210.2</v>
      </c>
      <c r="F30" s="70">
        <f>SUM(E30*52/1000)</f>
        <v>10.930399999999999</v>
      </c>
      <c r="G30" s="70">
        <v>204.44</v>
      </c>
      <c r="H30" s="71">
        <f t="shared" ref="H30:H35" si="6">SUM(F30*G30/1000)</f>
        <v>2.2346109759999999</v>
      </c>
      <c r="I30" s="12">
        <f>F30/6*G30</f>
        <v>372.43516266666666</v>
      </c>
      <c r="J30" s="21"/>
      <c r="K30" s="6"/>
      <c r="L30" s="6"/>
      <c r="M30" s="6"/>
    </row>
    <row r="31" spans="1:13" ht="31.5" customHeight="1">
      <c r="A31" s="26">
        <v>9</v>
      </c>
      <c r="B31" s="52" t="s">
        <v>161</v>
      </c>
      <c r="C31" s="68" t="s">
        <v>100</v>
      </c>
      <c r="D31" s="52" t="s">
        <v>164</v>
      </c>
      <c r="E31" s="70">
        <v>92</v>
      </c>
      <c r="F31" s="70">
        <f>SUM(E31*78/1000)</f>
        <v>7.1760000000000002</v>
      </c>
      <c r="G31" s="70">
        <v>339.21</v>
      </c>
      <c r="H31" s="71">
        <f t="shared" si="6"/>
        <v>2.4341709599999999</v>
      </c>
      <c r="I31" s="12">
        <f t="shared" ref="I31:I33" si="7">F31/6*G31</f>
        <v>405.69515999999999</v>
      </c>
      <c r="J31" s="21"/>
      <c r="K31" s="6"/>
      <c r="L31" s="6"/>
      <c r="M31" s="6"/>
    </row>
    <row r="32" spans="1:13" ht="15.75" hidden="1" customHeight="1">
      <c r="A32" s="26">
        <v>15</v>
      </c>
      <c r="B32" s="52" t="s">
        <v>26</v>
      </c>
      <c r="C32" s="68" t="s">
        <v>100</v>
      </c>
      <c r="D32" s="52" t="s">
        <v>52</v>
      </c>
      <c r="E32" s="70">
        <f>E30</f>
        <v>210.2</v>
      </c>
      <c r="F32" s="70">
        <f>SUM(E32/1000)</f>
        <v>0.2102</v>
      </c>
      <c r="G32" s="70">
        <v>3961.23</v>
      </c>
      <c r="H32" s="71">
        <f t="shared" si="6"/>
        <v>0.83265054599999999</v>
      </c>
      <c r="I32" s="12">
        <f>F32*G32</f>
        <v>832.65054599999996</v>
      </c>
      <c r="J32" s="21"/>
      <c r="K32" s="6"/>
      <c r="L32" s="6"/>
      <c r="M32" s="6"/>
    </row>
    <row r="33" spans="1:14" ht="15.75" customHeight="1">
      <c r="A33" s="26">
        <v>10</v>
      </c>
      <c r="B33" s="52" t="s">
        <v>162</v>
      </c>
      <c r="C33" s="68" t="s">
        <v>28</v>
      </c>
      <c r="D33" s="52" t="s">
        <v>60</v>
      </c>
      <c r="E33" s="76">
        <f>1/3</f>
        <v>0.33333333333333331</v>
      </c>
      <c r="F33" s="70">
        <f>155/3</f>
        <v>51.666666666666664</v>
      </c>
      <c r="G33" s="70">
        <v>74.349999999999994</v>
      </c>
      <c r="H33" s="71">
        <f t="shared" si="6"/>
        <v>3.841416666666666</v>
      </c>
      <c r="I33" s="12">
        <f t="shared" si="7"/>
        <v>640.23611111111109</v>
      </c>
      <c r="J33" s="21"/>
      <c r="K33" s="6"/>
      <c r="L33" s="6"/>
      <c r="M33" s="6"/>
    </row>
    <row r="34" spans="1:14" ht="15.75" hidden="1" customHeight="1">
      <c r="A34" s="26"/>
      <c r="B34" s="52" t="s">
        <v>62</v>
      </c>
      <c r="C34" s="68" t="s">
        <v>30</v>
      </c>
      <c r="D34" s="52" t="s">
        <v>63</v>
      </c>
      <c r="E34" s="69"/>
      <c r="F34" s="70">
        <v>1</v>
      </c>
      <c r="G34" s="70">
        <v>250.92</v>
      </c>
      <c r="H34" s="71">
        <f t="shared" si="6"/>
        <v>0.25091999999999998</v>
      </c>
      <c r="I34" s="12">
        <v>0</v>
      </c>
      <c r="J34" s="21"/>
      <c r="K34" s="6"/>
      <c r="L34" s="6"/>
      <c r="M34" s="6"/>
    </row>
    <row r="35" spans="1:14" ht="15.75" hidden="1" customHeight="1">
      <c r="A35" s="118"/>
      <c r="B35" s="52" t="s">
        <v>119</v>
      </c>
      <c r="C35" s="68" t="s">
        <v>29</v>
      </c>
      <c r="D35" s="52" t="s">
        <v>63</v>
      </c>
      <c r="E35" s="69"/>
      <c r="F35" s="70">
        <v>1</v>
      </c>
      <c r="G35" s="70">
        <v>1490.31</v>
      </c>
      <c r="H35" s="71">
        <f t="shared" si="6"/>
        <v>1.49031</v>
      </c>
      <c r="I35" s="12">
        <v>0</v>
      </c>
      <c r="J35" s="21"/>
      <c r="K35" s="6"/>
      <c r="L35" s="6"/>
      <c r="M35" s="6"/>
    </row>
    <row r="36" spans="1:14" ht="15.75" hidden="1" customHeight="1">
      <c r="A36" s="115"/>
      <c r="B36" s="63" t="s">
        <v>4</v>
      </c>
      <c r="C36" s="117"/>
      <c r="D36" s="117"/>
      <c r="E36" s="117"/>
      <c r="F36" s="117"/>
      <c r="G36" s="117"/>
      <c r="H36" s="117"/>
      <c r="I36" s="117"/>
      <c r="J36" s="21"/>
      <c r="K36" s="6"/>
      <c r="L36" s="6"/>
      <c r="M36" s="6"/>
    </row>
    <row r="37" spans="1:14" ht="15.75" hidden="1" customHeight="1">
      <c r="A37" s="113">
        <v>6</v>
      </c>
      <c r="B37" s="52" t="s">
        <v>25</v>
      </c>
      <c r="C37" s="68" t="s">
        <v>29</v>
      </c>
      <c r="D37" s="52"/>
      <c r="E37" s="69"/>
      <c r="F37" s="70">
        <v>3</v>
      </c>
      <c r="G37" s="70">
        <v>2003</v>
      </c>
      <c r="H37" s="71">
        <f t="shared" ref="H37:H43" si="8">SUM(F37*G37/1000)</f>
        <v>6.0090000000000003</v>
      </c>
      <c r="I37" s="12">
        <f>F37/6*G37</f>
        <v>1001.5</v>
      </c>
      <c r="J37" s="21"/>
      <c r="K37" s="6"/>
      <c r="L37" s="6"/>
      <c r="M37" s="6"/>
    </row>
    <row r="38" spans="1:14" ht="15.75" hidden="1" customHeight="1">
      <c r="A38" s="26">
        <v>7</v>
      </c>
      <c r="B38" s="52" t="s">
        <v>189</v>
      </c>
      <c r="C38" s="68" t="s">
        <v>27</v>
      </c>
      <c r="D38" s="52" t="s">
        <v>122</v>
      </c>
      <c r="E38" s="69">
        <v>92</v>
      </c>
      <c r="F38" s="70">
        <f>E38*30/1000</f>
        <v>2.76</v>
      </c>
      <c r="G38" s="70">
        <v>2757.78</v>
      </c>
      <c r="H38" s="71">
        <f>G38*F38/1000</f>
        <v>7.6114727999999996</v>
      </c>
      <c r="I38" s="12">
        <f>F38/6*G38</f>
        <v>1268.5788</v>
      </c>
      <c r="J38" s="21"/>
      <c r="K38" s="6"/>
      <c r="L38" s="6"/>
      <c r="M38" s="6"/>
    </row>
    <row r="39" spans="1:14" ht="15.75" hidden="1" customHeight="1">
      <c r="A39" s="26">
        <v>8</v>
      </c>
      <c r="B39" s="52" t="s">
        <v>123</v>
      </c>
      <c r="C39" s="68" t="s">
        <v>124</v>
      </c>
      <c r="D39" s="52" t="s">
        <v>63</v>
      </c>
      <c r="E39" s="69"/>
      <c r="F39" s="70">
        <v>52</v>
      </c>
      <c r="G39" s="70">
        <v>239.09</v>
      </c>
      <c r="H39" s="71">
        <f>G39*F39/1000</f>
        <v>12.43268</v>
      </c>
      <c r="I39" s="12">
        <f t="shared" ref="I39:I41" si="9">F39/6*G39</f>
        <v>2072.1133333333332</v>
      </c>
      <c r="J39" s="21"/>
      <c r="K39" s="6"/>
    </row>
    <row r="40" spans="1:14" ht="15.75" hidden="1" customHeight="1">
      <c r="A40" s="26"/>
      <c r="B40" s="52" t="s">
        <v>64</v>
      </c>
      <c r="C40" s="68" t="s">
        <v>27</v>
      </c>
      <c r="D40" s="52" t="s">
        <v>125</v>
      </c>
      <c r="E40" s="70">
        <f>E38</f>
        <v>92</v>
      </c>
      <c r="F40" s="70">
        <f>SUM(E40*155/1000)</f>
        <v>14.26</v>
      </c>
      <c r="G40" s="70">
        <v>460.02</v>
      </c>
      <c r="H40" s="71">
        <f t="shared" si="8"/>
        <v>6.5598852000000001</v>
      </c>
      <c r="I40" s="12">
        <f t="shared" si="9"/>
        <v>1093.3141999999998</v>
      </c>
      <c r="J40" s="22"/>
    </row>
    <row r="41" spans="1:14" ht="48" hidden="1" customHeight="1">
      <c r="A41" s="26">
        <v>9</v>
      </c>
      <c r="B41" s="52" t="s">
        <v>79</v>
      </c>
      <c r="C41" s="68" t="s">
        <v>100</v>
      </c>
      <c r="D41" s="52" t="s">
        <v>190</v>
      </c>
      <c r="E41" s="70">
        <v>92</v>
      </c>
      <c r="F41" s="70">
        <f>SUM(E41*35/1000)</f>
        <v>3.22</v>
      </c>
      <c r="G41" s="70">
        <v>7611.16</v>
      </c>
      <c r="H41" s="71">
        <f t="shared" si="8"/>
        <v>24.507935199999999</v>
      </c>
      <c r="I41" s="12">
        <f t="shared" si="9"/>
        <v>4084.655866666667</v>
      </c>
      <c r="J41" s="22"/>
    </row>
    <row r="42" spans="1:14" ht="15.75" hidden="1" customHeight="1">
      <c r="A42" s="26">
        <v>10</v>
      </c>
      <c r="B42" s="52" t="s">
        <v>127</v>
      </c>
      <c r="C42" s="68" t="s">
        <v>100</v>
      </c>
      <c r="D42" s="52" t="s">
        <v>191</v>
      </c>
      <c r="E42" s="70">
        <f>E38</f>
        <v>92</v>
      </c>
      <c r="F42" s="70">
        <f>SUM(E42*20/1000)</f>
        <v>1.84</v>
      </c>
      <c r="G42" s="70">
        <v>562.25</v>
      </c>
      <c r="H42" s="71">
        <f t="shared" si="8"/>
        <v>1.03454</v>
      </c>
      <c r="I42" s="12">
        <f>F42/6*G42</f>
        <v>172.42333333333335</v>
      </c>
      <c r="J42" s="22"/>
    </row>
    <row r="43" spans="1:14" ht="15.75" hidden="1" customHeight="1">
      <c r="A43" s="26">
        <v>11</v>
      </c>
      <c r="B43" s="52" t="s">
        <v>66</v>
      </c>
      <c r="C43" s="68" t="s">
        <v>30</v>
      </c>
      <c r="D43" s="52"/>
      <c r="E43" s="69"/>
      <c r="F43" s="70">
        <v>0.8</v>
      </c>
      <c r="G43" s="70">
        <v>992.97</v>
      </c>
      <c r="H43" s="71">
        <f t="shared" si="8"/>
        <v>0.79437600000000008</v>
      </c>
      <c r="I43" s="12">
        <f>F43/6*G43</f>
        <v>132.39600000000002</v>
      </c>
      <c r="J43" s="22"/>
    </row>
    <row r="44" spans="1:14" ht="15.75" customHeight="1">
      <c r="A44" s="153" t="s">
        <v>141</v>
      </c>
      <c r="B44" s="154"/>
      <c r="C44" s="154"/>
      <c r="D44" s="154"/>
      <c r="E44" s="154"/>
      <c r="F44" s="154"/>
      <c r="G44" s="154"/>
      <c r="H44" s="154"/>
      <c r="I44" s="155"/>
      <c r="J44" s="22"/>
      <c r="L44" s="18"/>
      <c r="M44" s="19"/>
      <c r="N44" s="20"/>
    </row>
    <row r="45" spans="1:14" ht="15.75" customHeight="1">
      <c r="A45" s="26">
        <v>11</v>
      </c>
      <c r="B45" s="33" t="s">
        <v>128</v>
      </c>
      <c r="C45" s="40" t="s">
        <v>100</v>
      </c>
      <c r="D45" s="33" t="s">
        <v>40</v>
      </c>
      <c r="E45" s="123">
        <v>1114.25</v>
      </c>
      <c r="F45" s="32">
        <f>SUM(E45*2/1000)</f>
        <v>2.2284999999999999</v>
      </c>
      <c r="G45" s="35">
        <v>1193.71</v>
      </c>
      <c r="H45" s="124">
        <f t="shared" ref="H45:H54" si="10">SUM(F45*G45/1000)</f>
        <v>2.6601827349999998</v>
      </c>
      <c r="I45" s="12">
        <f t="shared" ref="I45:I47" si="11">F45/2*G45</f>
        <v>1330.0913674999999</v>
      </c>
      <c r="J45" s="22"/>
      <c r="L45" s="18"/>
      <c r="M45" s="19"/>
      <c r="N45" s="20"/>
    </row>
    <row r="46" spans="1:14" ht="15.75" customHeight="1">
      <c r="A46" s="26">
        <v>12</v>
      </c>
      <c r="B46" s="33" t="s">
        <v>34</v>
      </c>
      <c r="C46" s="40" t="s">
        <v>100</v>
      </c>
      <c r="D46" s="33" t="s">
        <v>40</v>
      </c>
      <c r="E46" s="123">
        <v>2631</v>
      </c>
      <c r="F46" s="32">
        <f>SUM(E46*2/1000)</f>
        <v>5.2619999999999996</v>
      </c>
      <c r="G46" s="35">
        <v>1803.69</v>
      </c>
      <c r="H46" s="124">
        <f t="shared" si="10"/>
        <v>9.4910167800000007</v>
      </c>
      <c r="I46" s="12">
        <f t="shared" si="11"/>
        <v>4745.50839</v>
      </c>
      <c r="J46" s="22"/>
      <c r="L46" s="18"/>
      <c r="M46" s="19"/>
      <c r="N46" s="20"/>
    </row>
    <row r="47" spans="1:14" ht="15.75" customHeight="1">
      <c r="A47" s="26">
        <v>13</v>
      </c>
      <c r="B47" s="33" t="s">
        <v>35</v>
      </c>
      <c r="C47" s="40" t="s">
        <v>100</v>
      </c>
      <c r="D47" s="33" t="s">
        <v>40</v>
      </c>
      <c r="E47" s="123">
        <v>1953.8</v>
      </c>
      <c r="F47" s="32">
        <f>SUM(E47*2/1000)</f>
        <v>3.9076</v>
      </c>
      <c r="G47" s="35">
        <v>1243.43</v>
      </c>
      <c r="H47" s="124">
        <f t="shared" si="10"/>
        <v>4.8588270680000001</v>
      </c>
      <c r="I47" s="12">
        <f t="shared" si="11"/>
        <v>2429.4135340000003</v>
      </c>
      <c r="J47" s="22"/>
      <c r="L47" s="18"/>
      <c r="M47" s="19"/>
      <c r="N47" s="20"/>
    </row>
    <row r="48" spans="1:14" ht="15.75" customHeight="1">
      <c r="A48" s="26">
        <v>14</v>
      </c>
      <c r="B48" s="33" t="s">
        <v>31</v>
      </c>
      <c r="C48" s="40" t="s">
        <v>32</v>
      </c>
      <c r="D48" s="33" t="s">
        <v>40</v>
      </c>
      <c r="E48" s="123">
        <v>91.84</v>
      </c>
      <c r="F48" s="32">
        <f>SUM(E48*2/100)</f>
        <v>1.8368</v>
      </c>
      <c r="G48" s="125">
        <v>1172.4100000000001</v>
      </c>
      <c r="H48" s="124">
        <f t="shared" si="10"/>
        <v>2.153482688</v>
      </c>
      <c r="I48" s="12">
        <f>F48/2*G48</f>
        <v>1076.741344</v>
      </c>
      <c r="J48" s="22"/>
      <c r="L48" s="18"/>
      <c r="M48" s="19"/>
      <c r="N48" s="20"/>
    </row>
    <row r="49" spans="1:14" ht="15.75" customHeight="1">
      <c r="A49" s="26">
        <v>15</v>
      </c>
      <c r="B49" s="33" t="s">
        <v>55</v>
      </c>
      <c r="C49" s="40" t="s">
        <v>100</v>
      </c>
      <c r="D49" s="33" t="s">
        <v>165</v>
      </c>
      <c r="E49" s="123">
        <v>3181</v>
      </c>
      <c r="F49" s="32">
        <f>SUM(E49*5/1000)</f>
        <v>15.904999999999999</v>
      </c>
      <c r="G49" s="35">
        <v>1083.69</v>
      </c>
      <c r="H49" s="124">
        <f t="shared" si="10"/>
        <v>17.236089449999998</v>
      </c>
      <c r="I49" s="12">
        <f>F49/5*G49</f>
        <v>3447.2178900000004</v>
      </c>
      <c r="J49" s="22"/>
      <c r="L49" s="18"/>
      <c r="M49" s="19"/>
      <c r="N49" s="20"/>
    </row>
    <row r="50" spans="1:14" ht="31.5" customHeight="1">
      <c r="A50" s="26">
        <v>16</v>
      </c>
      <c r="B50" s="33" t="s">
        <v>129</v>
      </c>
      <c r="C50" s="40" t="s">
        <v>100</v>
      </c>
      <c r="D50" s="33" t="s">
        <v>40</v>
      </c>
      <c r="E50" s="123">
        <v>3181</v>
      </c>
      <c r="F50" s="32">
        <f>SUM(E50*2/1000)</f>
        <v>6.3620000000000001</v>
      </c>
      <c r="G50" s="35">
        <v>1591.6</v>
      </c>
      <c r="H50" s="124">
        <f t="shared" si="10"/>
        <v>10.125759200000001</v>
      </c>
      <c r="I50" s="12">
        <f>F50/2*G50</f>
        <v>5062.8796000000002</v>
      </c>
      <c r="J50" s="22"/>
      <c r="L50" s="18"/>
      <c r="M50" s="19"/>
      <c r="N50" s="20"/>
    </row>
    <row r="51" spans="1:14" ht="31.5" customHeight="1">
      <c r="A51" s="26">
        <v>17</v>
      </c>
      <c r="B51" s="33" t="s">
        <v>130</v>
      </c>
      <c r="C51" s="40" t="s">
        <v>36</v>
      </c>
      <c r="D51" s="33" t="s">
        <v>40</v>
      </c>
      <c r="E51" s="123">
        <v>20</v>
      </c>
      <c r="F51" s="32">
        <f>SUM(E51*2/100)</f>
        <v>0.4</v>
      </c>
      <c r="G51" s="35">
        <v>4058.32</v>
      </c>
      <c r="H51" s="124">
        <f t="shared" si="10"/>
        <v>1.6233280000000001</v>
      </c>
      <c r="I51" s="12">
        <f t="shared" ref="I51:I52" si="12">F51/2*G51</f>
        <v>811.6640000000001</v>
      </c>
      <c r="J51" s="22"/>
      <c r="L51" s="18"/>
      <c r="M51" s="19"/>
      <c r="N51" s="20"/>
    </row>
    <row r="52" spans="1:14" ht="15.75" customHeight="1">
      <c r="A52" s="26">
        <v>18</v>
      </c>
      <c r="B52" s="33" t="s">
        <v>37</v>
      </c>
      <c r="C52" s="40" t="s">
        <v>38</v>
      </c>
      <c r="D52" s="33" t="s">
        <v>40</v>
      </c>
      <c r="E52" s="123">
        <v>1</v>
      </c>
      <c r="F52" s="32">
        <v>0.02</v>
      </c>
      <c r="G52" s="35">
        <v>7412.92</v>
      </c>
      <c r="H52" s="124">
        <f t="shared" si="10"/>
        <v>0.14825839999999998</v>
      </c>
      <c r="I52" s="12">
        <f t="shared" si="12"/>
        <v>74.129199999999997</v>
      </c>
      <c r="J52" s="22"/>
      <c r="L52" s="18"/>
      <c r="M52" s="19"/>
      <c r="N52" s="20"/>
    </row>
    <row r="53" spans="1:14" ht="15.75" customHeight="1">
      <c r="A53" s="26">
        <v>19</v>
      </c>
      <c r="B53" s="33" t="s">
        <v>131</v>
      </c>
      <c r="C53" s="40" t="s">
        <v>101</v>
      </c>
      <c r="D53" s="33" t="s">
        <v>67</v>
      </c>
      <c r="E53" s="123">
        <v>70</v>
      </c>
      <c r="F53" s="32">
        <f>E53*3</f>
        <v>210</v>
      </c>
      <c r="G53" s="35">
        <v>185.08</v>
      </c>
      <c r="H53" s="124">
        <f t="shared" si="10"/>
        <v>38.866800000000005</v>
      </c>
      <c r="I53" s="12">
        <f>E53*G53</f>
        <v>12955.6</v>
      </c>
      <c r="J53" s="22"/>
      <c r="L53" s="18"/>
      <c r="M53" s="19"/>
      <c r="N53" s="20"/>
    </row>
    <row r="54" spans="1:14" ht="15.75" customHeight="1">
      <c r="A54" s="26">
        <v>20</v>
      </c>
      <c r="B54" s="33" t="s">
        <v>39</v>
      </c>
      <c r="C54" s="40" t="s">
        <v>101</v>
      </c>
      <c r="D54" s="33" t="s">
        <v>67</v>
      </c>
      <c r="E54" s="123">
        <v>140</v>
      </c>
      <c r="F54" s="32">
        <f>E54*3</f>
        <v>420</v>
      </c>
      <c r="G54" s="36">
        <v>86.15</v>
      </c>
      <c r="H54" s="124">
        <f t="shared" si="10"/>
        <v>36.183</v>
      </c>
      <c r="I54" s="12">
        <f>E54*G54</f>
        <v>12061</v>
      </c>
      <c r="J54" s="22"/>
      <c r="L54" s="18"/>
      <c r="M54" s="19"/>
      <c r="N54" s="20"/>
    </row>
    <row r="55" spans="1:14" ht="15.75" customHeight="1">
      <c r="A55" s="153" t="s">
        <v>142</v>
      </c>
      <c r="B55" s="156"/>
      <c r="C55" s="156"/>
      <c r="D55" s="156"/>
      <c r="E55" s="156"/>
      <c r="F55" s="156"/>
      <c r="G55" s="156"/>
      <c r="H55" s="156"/>
      <c r="I55" s="157"/>
      <c r="J55" s="22"/>
      <c r="L55" s="18"/>
      <c r="M55" s="19"/>
      <c r="N55" s="20"/>
    </row>
    <row r="56" spans="1:14" ht="15.75" hidden="1" customHeight="1">
      <c r="A56" s="26"/>
      <c r="B56" s="93" t="s">
        <v>41</v>
      </c>
      <c r="C56" s="68"/>
      <c r="D56" s="52"/>
      <c r="E56" s="69"/>
      <c r="F56" s="70"/>
      <c r="G56" s="70"/>
      <c r="H56" s="71"/>
      <c r="I56" s="12"/>
      <c r="J56" s="22"/>
      <c r="L56" s="18"/>
      <c r="M56" s="19"/>
      <c r="N56" s="20"/>
    </row>
    <row r="57" spans="1:14" ht="31.5" hidden="1" customHeight="1">
      <c r="A57" s="26">
        <v>24</v>
      </c>
      <c r="B57" s="52" t="s">
        <v>132</v>
      </c>
      <c r="C57" s="68" t="s">
        <v>90</v>
      </c>
      <c r="D57" s="52" t="s">
        <v>133</v>
      </c>
      <c r="E57" s="69">
        <v>111.2</v>
      </c>
      <c r="F57" s="70">
        <f>SUM(E57*6/100)</f>
        <v>6.6720000000000006</v>
      </c>
      <c r="G57" s="12">
        <v>2431.1799999999998</v>
      </c>
      <c r="H57" s="71">
        <f>SUM(F57*G57/1000)</f>
        <v>16.220832959999999</v>
      </c>
      <c r="I57" s="12">
        <f>F57/6*G57</f>
        <v>2703.4721600000003</v>
      </c>
      <c r="J57" s="22"/>
      <c r="L57" s="18"/>
      <c r="M57" s="19"/>
      <c r="N57" s="20"/>
    </row>
    <row r="58" spans="1:14" ht="15.75" hidden="1" customHeight="1">
      <c r="A58" s="26"/>
      <c r="B58" s="79" t="s">
        <v>135</v>
      </c>
      <c r="C58" s="78" t="s">
        <v>136</v>
      </c>
      <c r="D58" s="13" t="s">
        <v>63</v>
      </c>
      <c r="E58" s="80"/>
      <c r="F58" s="81">
        <v>3</v>
      </c>
      <c r="G58" s="12">
        <v>1582.05</v>
      </c>
      <c r="H58" s="71">
        <f>SUM(F58*G58/1000)</f>
        <v>4.7461499999999992</v>
      </c>
      <c r="I58" s="12">
        <v>0</v>
      </c>
      <c r="J58" s="22"/>
      <c r="L58" s="18"/>
      <c r="M58" s="19"/>
      <c r="N58" s="20"/>
    </row>
    <row r="59" spans="1:14" ht="15.75" hidden="1" customHeight="1">
      <c r="A59" s="26"/>
      <c r="B59" s="94" t="s">
        <v>42</v>
      </c>
      <c r="C59" s="78"/>
      <c r="D59" s="79"/>
      <c r="E59" s="80"/>
      <c r="F59" s="81"/>
      <c r="G59" s="12"/>
      <c r="H59" s="82"/>
      <c r="I59" s="12"/>
      <c r="J59" s="22"/>
      <c r="L59" s="18"/>
      <c r="M59" s="19"/>
      <c r="N59" s="20"/>
    </row>
    <row r="60" spans="1:14" ht="15.75" hidden="1" customHeight="1">
      <c r="A60" s="26"/>
      <c r="B60" s="79" t="s">
        <v>43</v>
      </c>
      <c r="C60" s="78" t="s">
        <v>51</v>
      </c>
      <c r="D60" s="79" t="s">
        <v>52</v>
      </c>
      <c r="E60" s="80">
        <v>222.85</v>
      </c>
      <c r="F60" s="81">
        <v>8.9</v>
      </c>
      <c r="G60" s="12">
        <v>1040.8399999999999</v>
      </c>
      <c r="H60" s="82">
        <f>F60*G60/1000</f>
        <v>9.2634759999999989</v>
      </c>
      <c r="I60" s="12">
        <v>0</v>
      </c>
      <c r="J60" s="22"/>
      <c r="L60" s="18"/>
      <c r="M60" s="19"/>
      <c r="N60" s="20"/>
    </row>
    <row r="61" spans="1:14" ht="15.75" customHeight="1">
      <c r="A61" s="26"/>
      <c r="B61" s="94" t="s">
        <v>44</v>
      </c>
      <c r="C61" s="78"/>
      <c r="D61" s="79"/>
      <c r="E61" s="80"/>
      <c r="F61" s="83"/>
      <c r="G61" s="83"/>
      <c r="H61" s="81" t="s">
        <v>110</v>
      </c>
      <c r="I61" s="12"/>
      <c r="J61" s="22"/>
      <c r="L61" s="18"/>
      <c r="M61" s="19"/>
      <c r="N61" s="20"/>
    </row>
    <row r="62" spans="1:14" ht="15.75" customHeight="1">
      <c r="A62" s="26">
        <v>21</v>
      </c>
      <c r="B62" s="13" t="s">
        <v>45</v>
      </c>
      <c r="C62" s="15" t="s">
        <v>101</v>
      </c>
      <c r="D62" s="13" t="s">
        <v>63</v>
      </c>
      <c r="E62" s="17">
        <v>4</v>
      </c>
      <c r="F62" s="70">
        <f>E62</f>
        <v>4</v>
      </c>
      <c r="G62" s="12">
        <v>291.68</v>
      </c>
      <c r="H62" s="84">
        <f t="shared" ref="H62:H70" si="13">SUM(F62*G62/1000)</f>
        <v>1.16672</v>
      </c>
      <c r="I62" s="12">
        <f>G62*2</f>
        <v>583.36</v>
      </c>
      <c r="J62" s="22"/>
      <c r="L62" s="18"/>
      <c r="M62" s="19"/>
      <c r="N62" s="20"/>
    </row>
    <row r="63" spans="1:14" ht="15.75" hidden="1" customHeight="1">
      <c r="A63" s="26">
        <v>17</v>
      </c>
      <c r="B63" s="13" t="s">
        <v>46</v>
      </c>
      <c r="C63" s="15" t="s">
        <v>101</v>
      </c>
      <c r="D63" s="13" t="s">
        <v>63</v>
      </c>
      <c r="E63" s="17">
        <v>4</v>
      </c>
      <c r="F63" s="70">
        <f>E63</f>
        <v>4</v>
      </c>
      <c r="G63" s="12">
        <v>100.01</v>
      </c>
      <c r="H63" s="84">
        <f t="shared" si="13"/>
        <v>0.40004000000000001</v>
      </c>
      <c r="I63" s="12">
        <f t="shared" ref="I63:I68" si="14">G63*2</f>
        <v>200.02</v>
      </c>
      <c r="J63" s="22"/>
      <c r="L63" s="18"/>
      <c r="M63" s="19"/>
      <c r="N63" s="20"/>
    </row>
    <row r="64" spans="1:14" ht="15.75" hidden="1" customHeight="1">
      <c r="A64" s="26">
        <v>24</v>
      </c>
      <c r="B64" s="13" t="s">
        <v>47</v>
      </c>
      <c r="C64" s="15" t="s">
        <v>102</v>
      </c>
      <c r="D64" s="13" t="s">
        <v>52</v>
      </c>
      <c r="E64" s="69">
        <v>12702</v>
      </c>
      <c r="F64" s="12">
        <f>SUM(E64/100)</f>
        <v>127.02</v>
      </c>
      <c r="G64" s="12">
        <v>278.24</v>
      </c>
      <c r="H64" s="84">
        <f t="shared" si="13"/>
        <v>35.342044800000004</v>
      </c>
      <c r="I64" s="12">
        <f t="shared" si="14"/>
        <v>556.48</v>
      </c>
      <c r="J64" s="22"/>
      <c r="L64" s="18"/>
      <c r="M64" s="19"/>
      <c r="N64" s="20"/>
    </row>
    <row r="65" spans="1:14" ht="15.75" hidden="1" customHeight="1">
      <c r="A65" s="26">
        <v>25</v>
      </c>
      <c r="B65" s="13" t="s">
        <v>48</v>
      </c>
      <c r="C65" s="15" t="s">
        <v>103</v>
      </c>
      <c r="D65" s="13"/>
      <c r="E65" s="69">
        <v>12702</v>
      </c>
      <c r="F65" s="12">
        <f>SUM(E65/1000)</f>
        <v>12.702</v>
      </c>
      <c r="G65" s="12">
        <v>216.68</v>
      </c>
      <c r="H65" s="84">
        <f t="shared" si="13"/>
        <v>2.7522693600000001</v>
      </c>
      <c r="I65" s="12">
        <f t="shared" si="14"/>
        <v>433.36</v>
      </c>
      <c r="J65" s="22"/>
      <c r="L65" s="18"/>
      <c r="M65" s="19"/>
      <c r="N65" s="20"/>
    </row>
    <row r="66" spans="1:14" ht="15.75" hidden="1" customHeight="1">
      <c r="A66" s="26">
        <v>26</v>
      </c>
      <c r="B66" s="13" t="s">
        <v>49</v>
      </c>
      <c r="C66" s="15" t="s">
        <v>73</v>
      </c>
      <c r="D66" s="13" t="s">
        <v>52</v>
      </c>
      <c r="E66" s="69">
        <v>2200</v>
      </c>
      <c r="F66" s="12">
        <f>SUM(E66/100)</f>
        <v>22</v>
      </c>
      <c r="G66" s="12">
        <v>2720.94</v>
      </c>
      <c r="H66" s="84">
        <f t="shared" si="13"/>
        <v>59.860680000000002</v>
      </c>
      <c r="I66" s="12">
        <f t="shared" si="14"/>
        <v>5441.88</v>
      </c>
      <c r="J66" s="22"/>
      <c r="L66" s="18"/>
      <c r="M66" s="19"/>
      <c r="N66" s="20"/>
    </row>
    <row r="67" spans="1:14" ht="15.75" hidden="1" customHeight="1">
      <c r="A67" s="26">
        <v>27</v>
      </c>
      <c r="B67" s="85" t="s">
        <v>104</v>
      </c>
      <c r="C67" s="15" t="s">
        <v>30</v>
      </c>
      <c r="D67" s="13"/>
      <c r="E67" s="69">
        <v>9.6</v>
      </c>
      <c r="F67" s="12">
        <f>SUM(E67)</f>
        <v>9.6</v>
      </c>
      <c r="G67" s="12">
        <v>42.61</v>
      </c>
      <c r="H67" s="84">
        <f t="shared" si="13"/>
        <v>0.40905599999999998</v>
      </c>
      <c r="I67" s="12">
        <f t="shared" si="14"/>
        <v>85.22</v>
      </c>
      <c r="J67" s="22"/>
      <c r="L67" s="18"/>
      <c r="M67" s="19"/>
      <c r="N67" s="20"/>
    </row>
    <row r="68" spans="1:14" ht="15.75" hidden="1" customHeight="1">
      <c r="A68" s="26">
        <v>28</v>
      </c>
      <c r="B68" s="85" t="s">
        <v>105</v>
      </c>
      <c r="C68" s="15" t="s">
        <v>30</v>
      </c>
      <c r="D68" s="13"/>
      <c r="E68" s="69">
        <v>9.6</v>
      </c>
      <c r="F68" s="12">
        <f>SUM(E68)</f>
        <v>9.6</v>
      </c>
      <c r="G68" s="12">
        <v>46.04</v>
      </c>
      <c r="H68" s="84">
        <f t="shared" si="13"/>
        <v>0.44198399999999999</v>
      </c>
      <c r="I68" s="12">
        <f t="shared" si="14"/>
        <v>92.08</v>
      </c>
      <c r="J68" s="22"/>
      <c r="L68" s="18"/>
      <c r="M68" s="19"/>
      <c r="N68" s="20"/>
    </row>
    <row r="69" spans="1:14" ht="15.75" customHeight="1">
      <c r="A69" s="26">
        <v>22</v>
      </c>
      <c r="B69" s="13" t="s">
        <v>56</v>
      </c>
      <c r="C69" s="15" t="s">
        <v>57</v>
      </c>
      <c r="D69" s="13" t="s">
        <v>52</v>
      </c>
      <c r="E69" s="17">
        <v>4</v>
      </c>
      <c r="F69" s="12">
        <f>SUM(E69)</f>
        <v>4</v>
      </c>
      <c r="G69" s="12">
        <v>65.42</v>
      </c>
      <c r="H69" s="84">
        <f t="shared" si="13"/>
        <v>0.26168000000000002</v>
      </c>
      <c r="I69" s="12">
        <f>G69*4</f>
        <v>261.68</v>
      </c>
      <c r="J69" s="22"/>
      <c r="L69" s="18"/>
      <c r="M69" s="19"/>
      <c r="N69" s="20"/>
    </row>
    <row r="70" spans="1:14" ht="15.75" customHeight="1">
      <c r="A70" s="26">
        <v>23</v>
      </c>
      <c r="B70" s="13" t="s">
        <v>192</v>
      </c>
      <c r="C70" s="26" t="s">
        <v>193</v>
      </c>
      <c r="D70" s="13" t="s">
        <v>63</v>
      </c>
      <c r="E70" s="17">
        <v>3181</v>
      </c>
      <c r="F70" s="70">
        <f>SUM(E70)*12</f>
        <v>38172</v>
      </c>
      <c r="G70" s="12">
        <v>2.2799999999999998</v>
      </c>
      <c r="H70" s="84">
        <f t="shared" si="13"/>
        <v>87.03215999999999</v>
      </c>
      <c r="I70" s="12">
        <f>F70/12*G70</f>
        <v>7252.6799999999994</v>
      </c>
      <c r="J70" s="22"/>
      <c r="L70" s="18"/>
      <c r="M70" s="19"/>
      <c r="N70" s="20"/>
    </row>
    <row r="71" spans="1:14" ht="15.75" hidden="1" customHeight="1">
      <c r="A71" s="26"/>
      <c r="B71" s="63" t="s">
        <v>68</v>
      </c>
      <c r="C71" s="15"/>
      <c r="D71" s="13"/>
      <c r="E71" s="17"/>
      <c r="F71" s="12"/>
      <c r="G71" s="12"/>
      <c r="H71" s="84" t="s">
        <v>110</v>
      </c>
      <c r="I71" s="12"/>
      <c r="J71" s="22"/>
      <c r="L71" s="18"/>
      <c r="M71" s="19"/>
      <c r="N71" s="20"/>
    </row>
    <row r="72" spans="1:14" ht="31.5" hidden="1" customHeight="1">
      <c r="A72" s="26">
        <v>18</v>
      </c>
      <c r="B72" s="13" t="s">
        <v>194</v>
      </c>
      <c r="C72" s="15" t="s">
        <v>28</v>
      </c>
      <c r="D72" s="13" t="s">
        <v>63</v>
      </c>
      <c r="E72" s="17">
        <v>1</v>
      </c>
      <c r="F72" s="70">
        <f t="shared" ref="F72" si="15">E72</f>
        <v>1</v>
      </c>
      <c r="G72" s="12">
        <v>1543.4</v>
      </c>
      <c r="H72" s="84">
        <f>G72*F72/1000</f>
        <v>1.5434000000000001</v>
      </c>
      <c r="I72" s="12">
        <v>0</v>
      </c>
      <c r="J72" s="22"/>
      <c r="L72" s="18"/>
      <c r="M72" s="19"/>
      <c r="N72" s="20"/>
    </row>
    <row r="73" spans="1:14" ht="15.75" hidden="1" customHeight="1">
      <c r="A73" s="26"/>
      <c r="B73" s="51" t="s">
        <v>195</v>
      </c>
      <c r="C73" s="57" t="s">
        <v>101</v>
      </c>
      <c r="D73" s="13" t="s">
        <v>63</v>
      </c>
      <c r="E73" s="17">
        <v>1</v>
      </c>
      <c r="F73" s="70">
        <f>E73</f>
        <v>1</v>
      </c>
      <c r="G73" s="12">
        <v>130.96</v>
      </c>
      <c r="H73" s="84">
        <f>G73*F73/1000</f>
        <v>0.13096000000000002</v>
      </c>
      <c r="I73" s="12">
        <v>0</v>
      </c>
      <c r="J73" s="22"/>
      <c r="L73" s="18"/>
      <c r="M73" s="19"/>
      <c r="N73" s="20"/>
    </row>
    <row r="74" spans="1:14" ht="15.75" hidden="1" customHeight="1">
      <c r="A74" s="26"/>
      <c r="B74" s="13" t="s">
        <v>69</v>
      </c>
      <c r="C74" s="15" t="s">
        <v>71</v>
      </c>
      <c r="D74" s="13" t="s">
        <v>63</v>
      </c>
      <c r="E74" s="17">
        <v>3</v>
      </c>
      <c r="F74" s="70">
        <f>E74/10</f>
        <v>0.3</v>
      </c>
      <c r="G74" s="12">
        <v>657.87</v>
      </c>
      <c r="H74" s="84">
        <f t="shared" ref="H74:H77" si="16">SUM(F74*G74/1000)</f>
        <v>0.19736099999999998</v>
      </c>
      <c r="I74" s="12">
        <v>0</v>
      </c>
      <c r="J74" s="22"/>
      <c r="L74" s="18"/>
      <c r="M74" s="19"/>
      <c r="N74" s="20"/>
    </row>
    <row r="75" spans="1:14" ht="15.75" hidden="1" customHeight="1">
      <c r="A75" s="26"/>
      <c r="B75" s="13" t="s">
        <v>70</v>
      </c>
      <c r="C75" s="15" t="s">
        <v>28</v>
      </c>
      <c r="D75" s="13" t="s">
        <v>63</v>
      </c>
      <c r="E75" s="17">
        <v>1</v>
      </c>
      <c r="F75" s="70">
        <f>E75</f>
        <v>1</v>
      </c>
      <c r="G75" s="12">
        <v>1118.72</v>
      </c>
      <c r="H75" s="84">
        <f t="shared" si="16"/>
        <v>1.1187199999999999</v>
      </c>
      <c r="I75" s="12">
        <v>0</v>
      </c>
      <c r="J75" s="22"/>
      <c r="L75" s="18"/>
      <c r="M75" s="19"/>
      <c r="N75" s="20"/>
    </row>
    <row r="76" spans="1:14" ht="15.75" hidden="1" customHeight="1">
      <c r="A76" s="26"/>
      <c r="B76" s="51" t="s">
        <v>196</v>
      </c>
      <c r="C76" s="57" t="s">
        <v>101</v>
      </c>
      <c r="D76" s="13" t="s">
        <v>63</v>
      </c>
      <c r="E76" s="17">
        <v>1</v>
      </c>
      <c r="F76" s="70">
        <f>E76</f>
        <v>1</v>
      </c>
      <c r="G76" s="12">
        <v>1605.83</v>
      </c>
      <c r="H76" s="84">
        <f t="shared" si="16"/>
        <v>1.6058299999999999</v>
      </c>
      <c r="I76" s="12">
        <v>0</v>
      </c>
      <c r="J76" s="22"/>
      <c r="L76" s="18"/>
      <c r="M76" s="19"/>
      <c r="N76" s="20"/>
    </row>
    <row r="77" spans="1:14" ht="15.75" hidden="1" customHeight="1">
      <c r="A77" s="26"/>
      <c r="B77" s="51" t="s">
        <v>197</v>
      </c>
      <c r="C77" s="57" t="s">
        <v>101</v>
      </c>
      <c r="D77" s="13" t="s">
        <v>63</v>
      </c>
      <c r="E77" s="17">
        <v>2</v>
      </c>
      <c r="F77" s="70">
        <f>E77*12</f>
        <v>24</v>
      </c>
      <c r="G77" s="12">
        <v>53.42</v>
      </c>
      <c r="H77" s="84">
        <f t="shared" si="16"/>
        <v>1.2820799999999999</v>
      </c>
      <c r="I77" s="12">
        <v>0</v>
      </c>
      <c r="J77" s="22"/>
      <c r="L77" s="18"/>
      <c r="M77" s="19"/>
      <c r="N77" s="20"/>
    </row>
    <row r="78" spans="1:14" ht="15.75" hidden="1" customHeight="1">
      <c r="A78" s="26"/>
      <c r="B78" s="86" t="s">
        <v>72</v>
      </c>
      <c r="C78" s="15"/>
      <c r="D78" s="13"/>
      <c r="E78" s="17"/>
      <c r="F78" s="12"/>
      <c r="G78" s="12" t="s">
        <v>110</v>
      </c>
      <c r="H78" s="84" t="s">
        <v>110</v>
      </c>
      <c r="I78" s="12"/>
      <c r="J78" s="22"/>
      <c r="L78" s="18"/>
      <c r="M78" s="19"/>
      <c r="N78" s="20"/>
    </row>
    <row r="79" spans="1:14" ht="15.75" hidden="1" customHeight="1">
      <c r="A79" s="26"/>
      <c r="B79" s="46" t="s">
        <v>109</v>
      </c>
      <c r="C79" s="15" t="s">
        <v>73</v>
      </c>
      <c r="D79" s="13"/>
      <c r="E79" s="17"/>
      <c r="F79" s="12">
        <v>1</v>
      </c>
      <c r="G79" s="12">
        <v>3370.89</v>
      </c>
      <c r="H79" s="84">
        <f t="shared" ref="H79" si="17">SUM(F79*G79/1000)</f>
        <v>3.3708899999999997</v>
      </c>
      <c r="I79" s="12">
        <v>0</v>
      </c>
      <c r="J79" s="22"/>
      <c r="L79" s="18"/>
      <c r="M79" s="19"/>
      <c r="N79" s="20"/>
    </row>
    <row r="80" spans="1:14" ht="15.75" hidden="1" customHeight="1">
      <c r="A80" s="26"/>
      <c r="B80" s="63" t="s">
        <v>106</v>
      </c>
      <c r="C80" s="86"/>
      <c r="D80" s="27"/>
      <c r="E80" s="31"/>
      <c r="F80" s="75"/>
      <c r="G80" s="75"/>
      <c r="H80" s="87">
        <f>SUM(H57:H79)</f>
        <v>227.14633412000001</v>
      </c>
      <c r="I80" s="75"/>
      <c r="J80" s="22"/>
      <c r="L80" s="18"/>
      <c r="M80" s="19"/>
      <c r="N80" s="20"/>
    </row>
    <row r="81" spans="1:14" ht="15.75" hidden="1" customHeight="1">
      <c r="A81" s="118">
        <v>15</v>
      </c>
      <c r="B81" s="54" t="s">
        <v>107</v>
      </c>
      <c r="C81" s="126"/>
      <c r="D81" s="127"/>
      <c r="E81" s="127"/>
      <c r="F81" s="128">
        <v>1</v>
      </c>
      <c r="G81" s="128">
        <v>23195</v>
      </c>
      <c r="H81" s="129">
        <f>G81*F81/1000</f>
        <v>23.195</v>
      </c>
      <c r="I81" s="90">
        <f>G81</f>
        <v>23195</v>
      </c>
      <c r="J81" s="22"/>
      <c r="L81" s="18"/>
      <c r="M81" s="19"/>
      <c r="N81" s="20"/>
    </row>
    <row r="82" spans="1:14" ht="15.75" hidden="1" customHeight="1">
      <c r="A82" s="50"/>
      <c r="B82" s="130" t="s">
        <v>198</v>
      </c>
      <c r="C82" s="15"/>
      <c r="D82" s="13"/>
      <c r="E82" s="13"/>
      <c r="F82" s="12">
        <v>69</v>
      </c>
      <c r="G82" s="12">
        <v>700</v>
      </c>
      <c r="H82" s="84">
        <f>G82*F82/1000</f>
        <v>48.3</v>
      </c>
      <c r="I82" s="131">
        <v>0</v>
      </c>
      <c r="J82" s="22"/>
      <c r="L82" s="18"/>
      <c r="M82" s="19"/>
      <c r="N82" s="20"/>
    </row>
    <row r="83" spans="1:14" ht="15.75" customHeight="1">
      <c r="A83" s="134" t="s">
        <v>143</v>
      </c>
      <c r="B83" s="164"/>
      <c r="C83" s="164"/>
      <c r="D83" s="164"/>
      <c r="E83" s="164"/>
      <c r="F83" s="164"/>
      <c r="G83" s="164"/>
      <c r="H83" s="164"/>
      <c r="I83" s="165"/>
      <c r="J83" s="22"/>
      <c r="L83" s="18"/>
      <c r="M83" s="19"/>
      <c r="N83" s="20"/>
    </row>
    <row r="84" spans="1:14" ht="15.75" customHeight="1">
      <c r="A84" s="113">
        <v>24</v>
      </c>
      <c r="B84" s="33" t="s">
        <v>134</v>
      </c>
      <c r="C84" s="38" t="s">
        <v>53</v>
      </c>
      <c r="D84" s="89" t="s">
        <v>54</v>
      </c>
      <c r="E84" s="35">
        <v>3181</v>
      </c>
      <c r="F84" s="35">
        <f>SUM(E84*12)</f>
        <v>38172</v>
      </c>
      <c r="G84" s="35">
        <v>3.1</v>
      </c>
      <c r="H84" s="120">
        <f>SUM(F84*G84/1000)</f>
        <v>118.33319999999999</v>
      </c>
      <c r="I84" s="114">
        <f>F84/12*G84</f>
        <v>9861.1</v>
      </c>
      <c r="J84" s="22"/>
      <c r="L84" s="18"/>
      <c r="M84" s="19"/>
      <c r="N84" s="20"/>
    </row>
    <row r="85" spans="1:14" ht="31.5" customHeight="1">
      <c r="A85" s="26">
        <v>25</v>
      </c>
      <c r="B85" s="13" t="s">
        <v>74</v>
      </c>
      <c r="C85" s="15"/>
      <c r="D85" s="89" t="s">
        <v>54</v>
      </c>
      <c r="E85" s="69">
        <v>3181</v>
      </c>
      <c r="F85" s="12">
        <f>E85*12</f>
        <v>38172</v>
      </c>
      <c r="G85" s="12">
        <v>3.5</v>
      </c>
      <c r="H85" s="84">
        <f>F85*G85/1000</f>
        <v>133.602</v>
      </c>
      <c r="I85" s="12">
        <f>F85/12*G85</f>
        <v>11133.5</v>
      </c>
      <c r="J85" s="22"/>
      <c r="L85" s="18"/>
      <c r="M85" s="19"/>
      <c r="N85" s="20"/>
    </row>
    <row r="86" spans="1:14" ht="15.75" customHeight="1">
      <c r="A86" s="50"/>
      <c r="B86" s="39" t="s">
        <v>77</v>
      </c>
      <c r="C86" s="15"/>
      <c r="D86" s="46"/>
      <c r="E86" s="12"/>
      <c r="F86" s="12"/>
      <c r="G86" s="12"/>
      <c r="H86" s="84">
        <f>H85</f>
        <v>133.602</v>
      </c>
      <c r="I86" s="75">
        <f>I16+I17+I18+I20+I21+I26+I27+I30+I31+I33+I45+I46+I47+I48+I49+I50+I51+I52+I53+I54+I62+I69+I70+I84+I85</f>
        <v>94146.221059277756</v>
      </c>
      <c r="J86" s="22"/>
      <c r="L86" s="18"/>
      <c r="M86" s="19"/>
      <c r="N86" s="20"/>
    </row>
    <row r="87" spans="1:14" ht="15.75" customHeight="1">
      <c r="A87" s="139" t="s">
        <v>58</v>
      </c>
      <c r="B87" s="140"/>
      <c r="C87" s="140"/>
      <c r="D87" s="140"/>
      <c r="E87" s="140"/>
      <c r="F87" s="140"/>
      <c r="G87" s="140"/>
      <c r="H87" s="140"/>
      <c r="I87" s="141"/>
      <c r="J87" s="22"/>
      <c r="L87" s="18"/>
      <c r="M87" s="19"/>
      <c r="N87" s="20"/>
    </row>
    <row r="88" spans="1:14" ht="31.5" customHeight="1">
      <c r="A88" s="26">
        <v>26</v>
      </c>
      <c r="B88" s="51" t="s">
        <v>215</v>
      </c>
      <c r="C88" s="57" t="s">
        <v>140</v>
      </c>
      <c r="D88" s="13"/>
      <c r="E88" s="17"/>
      <c r="F88" s="12">
        <v>1</v>
      </c>
      <c r="G88" s="12">
        <v>506.98</v>
      </c>
      <c r="H88" s="84">
        <f>G88*F88/1000</f>
        <v>0.50697999999999999</v>
      </c>
      <c r="I88" s="90">
        <f>G88</f>
        <v>506.98</v>
      </c>
      <c r="J88" s="22"/>
      <c r="L88" s="18"/>
      <c r="M88" s="19"/>
      <c r="N88" s="20"/>
    </row>
    <row r="89" spans="1:14" ht="31.5" customHeight="1">
      <c r="A89" s="26">
        <v>27</v>
      </c>
      <c r="B89" s="51" t="s">
        <v>216</v>
      </c>
      <c r="C89" s="57" t="s">
        <v>217</v>
      </c>
      <c r="D89" s="13"/>
      <c r="E89" s="17"/>
      <c r="F89" s="12">
        <v>1</v>
      </c>
      <c r="G89" s="12">
        <v>663.38</v>
      </c>
      <c r="H89" s="84">
        <f>G89*F89/1000</f>
        <v>0.66337999999999997</v>
      </c>
      <c r="I89" s="90">
        <f>G89</f>
        <v>663.38</v>
      </c>
      <c r="J89" s="22"/>
      <c r="L89" s="18"/>
      <c r="M89" s="19"/>
      <c r="N89" s="20"/>
    </row>
    <row r="90" spans="1:14" ht="15.75" customHeight="1">
      <c r="A90" s="26"/>
      <c r="B90" s="27" t="s">
        <v>50</v>
      </c>
      <c r="C90" s="41"/>
      <c r="D90" s="47"/>
      <c r="E90" s="41">
        <v>1</v>
      </c>
      <c r="F90" s="41"/>
      <c r="G90" s="41"/>
      <c r="H90" s="41"/>
      <c r="I90" s="31">
        <f>SUM(I88:I89)</f>
        <v>1170.3600000000001</v>
      </c>
      <c r="J90" s="22"/>
      <c r="L90" s="18"/>
      <c r="M90" s="19"/>
      <c r="N90" s="20"/>
    </row>
    <row r="91" spans="1:14" ht="15.75" customHeight="1">
      <c r="A91" s="26"/>
      <c r="B91" s="46" t="s">
        <v>75</v>
      </c>
      <c r="C91" s="14"/>
      <c r="D91" s="14"/>
      <c r="E91" s="42"/>
      <c r="F91" s="42"/>
      <c r="G91" s="43"/>
      <c r="H91" s="43"/>
      <c r="I91" s="16">
        <v>0</v>
      </c>
      <c r="J91" s="22"/>
      <c r="L91" s="18"/>
      <c r="M91" s="19"/>
      <c r="N91" s="20"/>
    </row>
    <row r="92" spans="1:14" ht="15.75" customHeight="1">
      <c r="A92" s="48"/>
      <c r="B92" s="45" t="s">
        <v>174</v>
      </c>
      <c r="C92" s="34"/>
      <c r="D92" s="34"/>
      <c r="E92" s="34"/>
      <c r="F92" s="34"/>
      <c r="G92" s="34"/>
      <c r="H92" s="34"/>
      <c r="I92" s="44">
        <f>I86+I90</f>
        <v>95316.581059277756</v>
      </c>
      <c r="J92" s="22"/>
      <c r="L92" s="18"/>
      <c r="M92" s="19"/>
      <c r="N92" s="20"/>
    </row>
    <row r="93" spans="1:14" ht="15.75" customHeight="1">
      <c r="A93" s="149" t="s">
        <v>218</v>
      </c>
      <c r="B93" s="149"/>
      <c r="C93" s="149"/>
      <c r="D93" s="149"/>
      <c r="E93" s="149"/>
      <c r="F93" s="149"/>
      <c r="G93" s="149"/>
      <c r="H93" s="149"/>
      <c r="I93" s="149"/>
      <c r="J93" s="22"/>
      <c r="L93" s="18"/>
      <c r="M93" s="19"/>
      <c r="N93" s="20"/>
    </row>
    <row r="94" spans="1:14" ht="15.75" customHeight="1">
      <c r="A94" s="8"/>
      <c r="B94" s="163" t="s">
        <v>219</v>
      </c>
      <c r="C94" s="163"/>
      <c r="D94" s="163"/>
      <c r="E94" s="163"/>
      <c r="F94" s="163"/>
      <c r="G94" s="163"/>
      <c r="H94" s="95"/>
      <c r="I94" s="3"/>
      <c r="J94" s="22"/>
      <c r="L94" s="18"/>
      <c r="M94" s="19"/>
      <c r="N94" s="20"/>
    </row>
    <row r="95" spans="1:14" ht="15.75" customHeight="1">
      <c r="A95" s="97"/>
      <c r="B95" s="148" t="s">
        <v>5</v>
      </c>
      <c r="C95" s="148"/>
      <c r="D95" s="148"/>
      <c r="E95" s="148"/>
      <c r="F95" s="148"/>
      <c r="G95" s="148"/>
      <c r="H95" s="23"/>
      <c r="I95" s="5"/>
      <c r="J95" s="22"/>
      <c r="K95" s="22"/>
      <c r="L95" s="22"/>
      <c r="M95" s="19"/>
      <c r="N95" s="20"/>
    </row>
    <row r="96" spans="1:14" ht="15.75" customHeight="1">
      <c r="A96" s="9"/>
      <c r="B96" s="9"/>
      <c r="C96" s="9"/>
      <c r="D96" s="9"/>
      <c r="E96" s="9"/>
      <c r="F96" s="9"/>
      <c r="G96" s="9"/>
      <c r="H96" s="9"/>
      <c r="I96" s="9"/>
      <c r="J96" s="22"/>
      <c r="K96" s="22"/>
      <c r="L96" s="22"/>
      <c r="M96" s="19"/>
      <c r="N96" s="20"/>
    </row>
    <row r="97" spans="1:22" ht="15.75" customHeight="1">
      <c r="A97" s="161" t="s">
        <v>6</v>
      </c>
      <c r="B97" s="161"/>
      <c r="C97" s="161"/>
      <c r="D97" s="161"/>
      <c r="E97" s="161"/>
      <c r="F97" s="161"/>
      <c r="G97" s="161"/>
      <c r="H97" s="161"/>
      <c r="I97" s="161"/>
      <c r="J97" s="22"/>
      <c r="K97" s="22"/>
      <c r="L97" s="22"/>
    </row>
    <row r="98" spans="1:22" ht="15.75" customHeight="1">
      <c r="A98" s="161" t="s">
        <v>7</v>
      </c>
      <c r="B98" s="161"/>
      <c r="C98" s="161"/>
      <c r="D98" s="161"/>
      <c r="E98" s="161"/>
      <c r="F98" s="161"/>
      <c r="G98" s="161"/>
      <c r="H98" s="161"/>
      <c r="I98" s="161"/>
      <c r="J98" s="22"/>
      <c r="K98" s="22"/>
      <c r="L98" s="22"/>
    </row>
    <row r="99" spans="1:22" ht="15.75" customHeight="1">
      <c r="A99" s="149" t="s">
        <v>8</v>
      </c>
      <c r="B99" s="149"/>
      <c r="C99" s="149"/>
      <c r="D99" s="149"/>
      <c r="E99" s="149"/>
      <c r="F99" s="149"/>
      <c r="G99" s="149"/>
      <c r="H99" s="149"/>
      <c r="I99" s="149"/>
    </row>
    <row r="100" spans="1:22" ht="15.75" customHeight="1">
      <c r="A100" s="10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7"/>
    </row>
    <row r="101" spans="1:22" ht="15.75" customHeight="1">
      <c r="A101" s="162" t="s">
        <v>9</v>
      </c>
      <c r="B101" s="162"/>
      <c r="C101" s="162"/>
      <c r="D101" s="162"/>
      <c r="E101" s="162"/>
      <c r="F101" s="162"/>
      <c r="G101" s="162"/>
      <c r="H101" s="162"/>
      <c r="I101" s="162"/>
      <c r="J101" s="24"/>
      <c r="K101" s="24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2" ht="15.75" customHeight="1">
      <c r="A102" s="4"/>
      <c r="J102" s="3"/>
      <c r="K102" s="3"/>
      <c r="L102" s="3"/>
      <c r="M102" s="3"/>
      <c r="N102" s="3"/>
      <c r="O102" s="3"/>
      <c r="P102" s="3"/>
      <c r="Q102" s="3"/>
      <c r="S102" s="3"/>
      <c r="T102" s="3"/>
      <c r="U102" s="3"/>
    </row>
    <row r="103" spans="1:22" ht="15.75" customHeight="1">
      <c r="A103" s="149" t="s">
        <v>10</v>
      </c>
      <c r="B103" s="149"/>
      <c r="C103" s="151" t="s">
        <v>84</v>
      </c>
      <c r="D103" s="151"/>
      <c r="E103" s="151"/>
      <c r="F103" s="65"/>
      <c r="I103" s="100"/>
      <c r="J103" s="5"/>
      <c r="K103" s="5"/>
      <c r="L103" s="5"/>
      <c r="M103" s="5"/>
      <c r="N103" s="5"/>
      <c r="O103" s="5"/>
      <c r="P103" s="5"/>
      <c r="Q103" s="5"/>
      <c r="R103" s="147"/>
      <c r="S103" s="147"/>
      <c r="T103" s="147"/>
      <c r="U103" s="147"/>
    </row>
    <row r="104" spans="1:22" ht="15.75" customHeight="1">
      <c r="A104" s="97"/>
      <c r="C104" s="148" t="s">
        <v>11</v>
      </c>
      <c r="D104" s="148"/>
      <c r="E104" s="148"/>
      <c r="F104" s="23"/>
      <c r="I104" s="98" t="s">
        <v>12</v>
      </c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2" ht="15.75" customHeight="1">
      <c r="A105" s="24"/>
      <c r="C105" s="11"/>
      <c r="D105" s="11"/>
      <c r="G105" s="11"/>
      <c r="H105" s="11"/>
    </row>
    <row r="106" spans="1:22" ht="15.75" customHeight="1">
      <c r="A106" s="149" t="s">
        <v>13</v>
      </c>
      <c r="B106" s="149"/>
      <c r="C106" s="150"/>
      <c r="D106" s="150"/>
      <c r="E106" s="150"/>
      <c r="F106" s="66"/>
      <c r="I106" s="100"/>
    </row>
    <row r="107" spans="1:22" ht="15.75" customHeight="1">
      <c r="A107" s="97"/>
      <c r="C107" s="147" t="s">
        <v>11</v>
      </c>
      <c r="D107" s="147"/>
      <c r="E107" s="147"/>
      <c r="F107" s="97"/>
      <c r="I107" s="98" t="s">
        <v>12</v>
      </c>
    </row>
    <row r="108" spans="1:22" ht="15.75" customHeight="1">
      <c r="A108" s="4" t="s">
        <v>14</v>
      </c>
    </row>
    <row r="109" spans="1:22" ht="15" customHeight="1">
      <c r="A109" s="160" t="s">
        <v>15</v>
      </c>
      <c r="B109" s="160"/>
      <c r="C109" s="160"/>
      <c r="D109" s="160"/>
      <c r="E109" s="160"/>
      <c r="F109" s="160"/>
      <c r="G109" s="160"/>
      <c r="H109" s="160"/>
      <c r="I109" s="160"/>
    </row>
    <row r="110" spans="1:22" ht="45" customHeight="1">
      <c r="A110" s="152" t="s">
        <v>16</v>
      </c>
      <c r="B110" s="152"/>
      <c r="C110" s="152"/>
      <c r="D110" s="152"/>
      <c r="E110" s="152"/>
      <c r="F110" s="152"/>
      <c r="G110" s="152"/>
      <c r="H110" s="152"/>
      <c r="I110" s="152"/>
    </row>
    <row r="111" spans="1:22" ht="30" customHeight="1">
      <c r="A111" s="152" t="s">
        <v>17</v>
      </c>
      <c r="B111" s="152"/>
      <c r="C111" s="152"/>
      <c r="D111" s="152"/>
      <c r="E111" s="152"/>
      <c r="F111" s="152"/>
      <c r="G111" s="152"/>
      <c r="H111" s="152"/>
      <c r="I111" s="152"/>
    </row>
    <row r="112" spans="1:22" ht="30" customHeight="1">
      <c r="A112" s="152" t="s">
        <v>21</v>
      </c>
      <c r="B112" s="152"/>
      <c r="C112" s="152"/>
      <c r="D112" s="152"/>
      <c r="E112" s="152"/>
      <c r="F112" s="152"/>
      <c r="G112" s="152"/>
      <c r="H112" s="152"/>
      <c r="I112" s="152"/>
    </row>
    <row r="113" spans="1:9" ht="15" customHeight="1">
      <c r="A113" s="152" t="s">
        <v>20</v>
      </c>
      <c r="B113" s="152"/>
      <c r="C113" s="152"/>
      <c r="D113" s="152"/>
      <c r="E113" s="152"/>
      <c r="F113" s="152"/>
      <c r="G113" s="152"/>
      <c r="H113" s="152"/>
      <c r="I113" s="152"/>
    </row>
  </sheetData>
  <autoFilter ref="I12:I99"/>
  <mergeCells count="31">
    <mergeCell ref="A14:I14"/>
    <mergeCell ref="A3:I3"/>
    <mergeCell ref="A4:I4"/>
    <mergeCell ref="A5:I5"/>
    <mergeCell ref="A8:I8"/>
    <mergeCell ref="A10:I10"/>
    <mergeCell ref="A99:I99"/>
    <mergeCell ref="A15:I15"/>
    <mergeCell ref="A28:I28"/>
    <mergeCell ref="A44:I44"/>
    <mergeCell ref="A55:I55"/>
    <mergeCell ref="A83:I83"/>
    <mergeCell ref="A87:I87"/>
    <mergeCell ref="A93:I93"/>
    <mergeCell ref="B94:G94"/>
    <mergeCell ref="B95:G95"/>
    <mergeCell ref="A97:I97"/>
    <mergeCell ref="A98:I98"/>
    <mergeCell ref="A113:I113"/>
    <mergeCell ref="A101:I101"/>
    <mergeCell ref="A103:B103"/>
    <mergeCell ref="C103:E103"/>
    <mergeCell ref="R103:U103"/>
    <mergeCell ref="C104:E104"/>
    <mergeCell ref="A106:B106"/>
    <mergeCell ref="C106:E106"/>
    <mergeCell ref="C107:E107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2017-11-29T08:12:53Z</cp:lastPrinted>
  <dcterms:created xsi:type="dcterms:W3CDTF">2016-03-25T08:33:47Z</dcterms:created>
  <dcterms:modified xsi:type="dcterms:W3CDTF">2018-03-29T05:59:23Z</dcterms:modified>
</cp:coreProperties>
</file>