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8" sheetId="18" r:id="rId1"/>
    <sheet name="02.18" sheetId="19" r:id="rId2"/>
    <sheet name="03.18" sheetId="20" r:id="rId3"/>
    <sheet name="04.18" sheetId="21" r:id="rId4"/>
    <sheet name="05.18" sheetId="22" r:id="rId5"/>
    <sheet name="06.18" sheetId="23" r:id="rId6"/>
    <sheet name="07.18" sheetId="24" r:id="rId7"/>
    <sheet name="08.18" sheetId="25" r:id="rId8"/>
    <sheet name="09.18" sheetId="26" r:id="rId9"/>
    <sheet name="10.18" sheetId="27" r:id="rId10"/>
    <sheet name="11.18" sheetId="28" r:id="rId11"/>
    <sheet name="12.18" sheetId="29" r:id="rId12"/>
  </sheets>
  <definedNames>
    <definedName name="_xlnm._FilterDatabase" localSheetId="0" hidden="1">'01.18'!$I$12:$I$71</definedName>
    <definedName name="_xlnm._FilterDatabase" localSheetId="1" hidden="1">'02.18'!$I$12:$I$71</definedName>
    <definedName name="_xlnm._FilterDatabase" localSheetId="2" hidden="1">'03.18'!$I$12:$I$71</definedName>
    <definedName name="_xlnm._FilterDatabase" localSheetId="3" hidden="1">'04.18'!$I$12:$I$64</definedName>
    <definedName name="_xlnm._FilterDatabase" localSheetId="4" hidden="1">'05.18'!$I$12:$I$71</definedName>
    <definedName name="_xlnm._FilterDatabase" localSheetId="5" hidden="1">'06.18'!$I$12:$I$71</definedName>
    <definedName name="_xlnm._FilterDatabase" localSheetId="6" hidden="1">'07.18'!$I$12:$I$71</definedName>
    <definedName name="_xlnm._FilterDatabase" localSheetId="7" hidden="1">'08.18'!$I$12:$I$71</definedName>
    <definedName name="_xlnm._FilterDatabase" localSheetId="8" hidden="1">'09.18'!$I$12:$I$71</definedName>
    <definedName name="_xlnm._FilterDatabase" localSheetId="9" hidden="1">'10.18'!$I$12:$I$71</definedName>
    <definedName name="_xlnm._FilterDatabase" localSheetId="10" hidden="1">'11.18'!$I$12:$I$72</definedName>
    <definedName name="_xlnm._FilterDatabase" localSheetId="11" hidden="1">'12.18'!$I$12:$I$71</definedName>
    <definedName name="_xlnm.Print_Titles" localSheetId="2">'03.18'!$12:$13</definedName>
    <definedName name="_xlnm.Print_Area" localSheetId="0">'01.18'!$A$1:$I$113</definedName>
    <definedName name="_xlnm.Print_Area" localSheetId="1">'02.18'!$A$1:$I$119</definedName>
    <definedName name="_xlnm.Print_Area" localSheetId="2">'03.18'!$A$1:$I$115</definedName>
    <definedName name="_xlnm.Print_Area" localSheetId="3">'04.18'!$A$1:$I$114</definedName>
    <definedName name="_xlnm.Print_Area" localSheetId="4">'05.18'!$A$1:$I$115</definedName>
    <definedName name="_xlnm.Print_Area" localSheetId="5">'06.18'!$A$1:$I$114</definedName>
    <definedName name="_xlnm.Print_Area" localSheetId="6">'07.18'!$A$1:$I$113</definedName>
    <definedName name="_xlnm.Print_Area" localSheetId="7">'08.18'!$A$1:$I$134</definedName>
    <definedName name="_xlnm.Print_Area" localSheetId="8">'09.18'!$A$1:$I$122</definedName>
    <definedName name="_xlnm.Print_Area" localSheetId="9">'10.18'!$A$1:$I$115</definedName>
    <definedName name="_xlnm.Print_Area" localSheetId="10">'11.18'!$A$1:$I$129</definedName>
    <definedName name="_xlnm.Print_Area" localSheetId="11">'12.18'!$A$1:$I$117</definedName>
  </definedNames>
  <calcPr calcId="124519"/>
</workbook>
</file>

<file path=xl/calcChain.xml><?xml version="1.0" encoding="utf-8"?>
<calcChain xmlns="http://schemas.openxmlformats.org/spreadsheetml/2006/main">
  <c r="I91" i="27"/>
  <c r="I90"/>
  <c r="I84" i="25" l="1"/>
  <c r="I110"/>
  <c r="I84" i="24"/>
  <c r="I84" i="23"/>
  <c r="I84" i="22"/>
  <c r="I77" i="21"/>
  <c r="I91"/>
  <c r="I92" i="20"/>
  <c r="I84"/>
  <c r="I96" i="19"/>
  <c r="I84"/>
  <c r="I84" i="18"/>
  <c r="I89" i="26"/>
  <c r="I85"/>
  <c r="I94" i="29" l="1"/>
  <c r="I93"/>
  <c r="I92" l="1"/>
  <c r="I87"/>
  <c r="I44"/>
  <c r="I43"/>
  <c r="I91"/>
  <c r="I90"/>
  <c r="I89"/>
  <c r="E86"/>
  <c r="F86" s="1"/>
  <c r="H86" s="1"/>
  <c r="F85"/>
  <c r="H85" s="1"/>
  <c r="I81"/>
  <c r="F81"/>
  <c r="F74"/>
  <c r="I74" s="1"/>
  <c r="I65"/>
  <c r="F65"/>
  <c r="F62"/>
  <c r="F59"/>
  <c r="F51"/>
  <c r="I45"/>
  <c r="F43"/>
  <c r="F42"/>
  <c r="F41"/>
  <c r="F40"/>
  <c r="F27"/>
  <c r="E18"/>
  <c r="F18" s="1"/>
  <c r="F17"/>
  <c r="F16"/>
  <c r="I100" i="28"/>
  <c r="F66"/>
  <c r="I103"/>
  <c r="I104"/>
  <c r="I105"/>
  <c r="I66"/>
  <c r="I88" s="1"/>
  <c r="I102" l="1"/>
  <c r="I101"/>
  <c r="I99"/>
  <c r="I106" s="1"/>
  <c r="I98"/>
  <c r="I97"/>
  <c r="I96"/>
  <c r="I95"/>
  <c r="I94"/>
  <c r="I93"/>
  <c r="I92"/>
  <c r="I91"/>
  <c r="I90"/>
  <c r="E87"/>
  <c r="F87" s="1"/>
  <c r="F86"/>
  <c r="I82"/>
  <c r="F82"/>
  <c r="F75"/>
  <c r="I75" s="1"/>
  <c r="F60"/>
  <c r="I45"/>
  <c r="F44"/>
  <c r="I44" s="1"/>
  <c r="I56"/>
  <c r="F43"/>
  <c r="F41"/>
  <c r="F40"/>
  <c r="F27"/>
  <c r="E18"/>
  <c r="F18" s="1"/>
  <c r="F17"/>
  <c r="F16"/>
  <c r="I87" i="27"/>
  <c r="I89"/>
  <c r="F55"/>
  <c r="F53"/>
  <c r="F52"/>
  <c r="H53"/>
  <c r="I52"/>
  <c r="F33"/>
  <c r="F32"/>
  <c r="F31"/>
  <c r="F28"/>
  <c r="F27"/>
  <c r="E18"/>
  <c r="F18" s="1"/>
  <c r="F17"/>
  <c r="F16"/>
  <c r="H89"/>
  <c r="F86"/>
  <c r="H86" s="1"/>
  <c r="F85"/>
  <c r="I85" s="1"/>
  <c r="H83"/>
  <c r="I81"/>
  <c r="I80"/>
  <c r="H80"/>
  <c r="I79"/>
  <c r="H79"/>
  <c r="I78"/>
  <c r="H78"/>
  <c r="I76"/>
  <c r="I74"/>
  <c r="H74"/>
  <c r="F72"/>
  <c r="I72" s="1"/>
  <c r="F71"/>
  <c r="H71" s="1"/>
  <c r="F70"/>
  <c r="I70" s="1"/>
  <c r="F69"/>
  <c r="H69" s="1"/>
  <c r="F68"/>
  <c r="I68" s="1"/>
  <c r="F67"/>
  <c r="H67" s="1"/>
  <c r="H66"/>
  <c r="I65"/>
  <c r="H65"/>
  <c r="F63"/>
  <c r="H63" s="1"/>
  <c r="I62"/>
  <c r="H62"/>
  <c r="H60"/>
  <c r="F59"/>
  <c r="I59" s="1"/>
  <c r="F58"/>
  <c r="H58" s="1"/>
  <c r="I54"/>
  <c r="H54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F42"/>
  <c r="I42" s="1"/>
  <c r="F41"/>
  <c r="H41" s="1"/>
  <c r="F40"/>
  <c r="I40" s="1"/>
  <c r="I39"/>
  <c r="H39"/>
  <c r="H37"/>
  <c r="H36"/>
  <c r="I35"/>
  <c r="H35"/>
  <c r="I34"/>
  <c r="H33"/>
  <c r="I33"/>
  <c r="H32"/>
  <c r="I31"/>
  <c r="H28"/>
  <c r="I27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H17"/>
  <c r="I16"/>
  <c r="I81" i="26"/>
  <c r="F31"/>
  <c r="I99"/>
  <c r="I98"/>
  <c r="I97"/>
  <c r="I96"/>
  <c r="I95"/>
  <c r="I94"/>
  <c r="I93"/>
  <c r="I92"/>
  <c r="I91"/>
  <c r="F88"/>
  <c r="F87"/>
  <c r="I76"/>
  <c r="F72"/>
  <c r="F51"/>
  <c r="F50"/>
  <c r="F49"/>
  <c r="F48"/>
  <c r="F47"/>
  <c r="F32"/>
  <c r="F28"/>
  <c r="F27"/>
  <c r="F17"/>
  <c r="F16"/>
  <c r="H70" i="27" l="1"/>
  <c r="H85"/>
  <c r="H68"/>
  <c r="H72"/>
  <c r="H55"/>
  <c r="I55"/>
  <c r="H18"/>
  <c r="I18"/>
  <c r="H16"/>
  <c r="I17"/>
  <c r="H19"/>
  <c r="I20"/>
  <c r="H21"/>
  <c r="I22"/>
  <c r="H23"/>
  <c r="I24"/>
  <c r="H25"/>
  <c r="I26"/>
  <c r="H27"/>
  <c r="I28"/>
  <c r="H31"/>
  <c r="I32"/>
  <c r="H40"/>
  <c r="I41"/>
  <c r="H42"/>
  <c r="I43"/>
  <c r="H44"/>
  <c r="I47"/>
  <c r="H48"/>
  <c r="I49"/>
  <c r="H50"/>
  <c r="I51"/>
  <c r="H52"/>
  <c r="I53"/>
  <c r="I58"/>
  <c r="H59"/>
  <c r="I67"/>
  <c r="I69"/>
  <c r="I71"/>
  <c r="I86"/>
  <c r="I93" s="1"/>
  <c r="I108" i="25"/>
  <c r="I107"/>
  <c r="I106"/>
  <c r="I105"/>
  <c r="I104"/>
  <c r="I103"/>
  <c r="I102"/>
  <c r="I101"/>
  <c r="I65" l="1"/>
  <c r="I100"/>
  <c r="I88"/>
  <c r="I99"/>
  <c r="I98"/>
  <c r="I97"/>
  <c r="I58" i="20" l="1"/>
  <c r="I89" i="25"/>
  <c r="I87"/>
  <c r="I86"/>
  <c r="I111" s="1"/>
  <c r="F82"/>
  <c r="I53" i="21"/>
  <c r="I58" i="19"/>
  <c r="I88" i="24"/>
  <c r="I87"/>
  <c r="I86"/>
  <c r="I90" s="1"/>
  <c r="I76"/>
  <c r="I65"/>
  <c r="I95" i="19"/>
  <c r="I90" i="23" l="1"/>
  <c r="I89"/>
  <c r="I88"/>
  <c r="I87"/>
  <c r="I86"/>
  <c r="I58" i="18"/>
  <c r="I91" i="23" l="1"/>
  <c r="I89" i="22"/>
  <c r="I88"/>
  <c r="I87"/>
  <c r="I86"/>
  <c r="I62"/>
  <c r="I92" l="1"/>
  <c r="I81" i="21"/>
  <c r="I49"/>
  <c r="I50"/>
  <c r="I48"/>
  <c r="F49"/>
  <c r="F48"/>
  <c r="I90"/>
  <c r="I89"/>
  <c r="I88"/>
  <c r="I87"/>
  <c r="I86"/>
  <c r="I85"/>
  <c r="I84"/>
  <c r="I83"/>
  <c r="I82"/>
  <c r="I80"/>
  <c r="I79"/>
  <c r="I57"/>
  <c r="I45"/>
  <c r="I89" i="20" l="1"/>
  <c r="I90"/>
  <c r="I91"/>
  <c r="I87"/>
  <c r="H91"/>
  <c r="H90"/>
  <c r="H89"/>
  <c r="H88"/>
  <c r="H87"/>
  <c r="I86"/>
  <c r="H86"/>
  <c r="I65"/>
  <c r="F62"/>
  <c r="I60"/>
  <c r="I45"/>
  <c r="I65" i="19"/>
  <c r="I86"/>
  <c r="I45"/>
  <c r="I45" i="18"/>
  <c r="I94" i="19" l="1"/>
  <c r="I93"/>
  <c r="I92"/>
  <c r="I89"/>
  <c r="I90"/>
  <c r="I91"/>
  <c r="I88"/>
  <c r="I87"/>
  <c r="H94"/>
  <c r="H93"/>
  <c r="H92"/>
  <c r="H91"/>
  <c r="H90"/>
  <c r="H89"/>
  <c r="H88"/>
  <c r="H87"/>
  <c r="H86"/>
  <c r="F62"/>
  <c r="I89" i="18"/>
  <c r="H89"/>
  <c r="I88"/>
  <c r="H88"/>
  <c r="I87"/>
  <c r="H87"/>
  <c r="I86"/>
  <c r="H86"/>
  <c r="F62"/>
  <c r="H62" s="1"/>
  <c r="H92" i="29"/>
  <c r="I78"/>
  <c r="H91"/>
  <c r="H90"/>
  <c r="F89"/>
  <c r="H89" s="1"/>
  <c r="I86"/>
  <c r="I85"/>
  <c r="H83"/>
  <c r="I80"/>
  <c r="H80"/>
  <c r="I79"/>
  <c r="H79"/>
  <c r="H78"/>
  <c r="I76"/>
  <c r="H76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H59"/>
  <c r="F58"/>
  <c r="I58" s="1"/>
  <c r="I55"/>
  <c r="F55"/>
  <c r="H55" s="1"/>
  <c r="I54"/>
  <c r="H54"/>
  <c r="F53"/>
  <c r="I53" s="1"/>
  <c r="F52"/>
  <c r="H52" s="1"/>
  <c r="I51"/>
  <c r="F50"/>
  <c r="H50" s="1"/>
  <c r="F49"/>
  <c r="I49" s="1"/>
  <c r="F48"/>
  <c r="H48" s="1"/>
  <c r="F47"/>
  <c r="I47" s="1"/>
  <c r="H44"/>
  <c r="H43"/>
  <c r="I42"/>
  <c r="I41"/>
  <c r="H40"/>
  <c r="I39"/>
  <c r="H39"/>
  <c r="H37"/>
  <c r="H36"/>
  <c r="I35"/>
  <c r="H35"/>
  <c r="I34"/>
  <c r="F33"/>
  <c r="I33" s="1"/>
  <c r="F32"/>
  <c r="I32" s="1"/>
  <c r="F31"/>
  <c r="I31" s="1"/>
  <c r="F28"/>
  <c r="I28" s="1"/>
  <c r="H27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I17"/>
  <c r="H16"/>
  <c r="H95" i="28"/>
  <c r="H94"/>
  <c r="H93"/>
  <c r="H91"/>
  <c r="F90"/>
  <c r="H90" s="1"/>
  <c r="H92"/>
  <c r="H87"/>
  <c r="H86"/>
  <c r="I86"/>
  <c r="H84"/>
  <c r="I81"/>
  <c r="H81"/>
  <c r="I80"/>
  <c r="H80"/>
  <c r="I79"/>
  <c r="H79"/>
  <c r="I77"/>
  <c r="H77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H63"/>
  <c r="H61"/>
  <c r="H60"/>
  <c r="F59"/>
  <c r="I59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H45"/>
  <c r="H44"/>
  <c r="I43"/>
  <c r="H42"/>
  <c r="I41"/>
  <c r="H40"/>
  <c r="I39"/>
  <c r="H39"/>
  <c r="H37"/>
  <c r="H36"/>
  <c r="I35"/>
  <c r="H35"/>
  <c r="I34"/>
  <c r="F33"/>
  <c r="I33" s="1"/>
  <c r="F32"/>
  <c r="I32" s="1"/>
  <c r="F31"/>
  <c r="I31" s="1"/>
  <c r="F28"/>
  <c r="I28" s="1"/>
  <c r="H27"/>
  <c r="I27"/>
  <c r="F26"/>
  <c r="I26" s="1"/>
  <c r="F25"/>
  <c r="I25" s="1"/>
  <c r="F24"/>
  <c r="I24" s="1"/>
  <c r="F23"/>
  <c r="H23" s="1"/>
  <c r="F22"/>
  <c r="I22" s="1"/>
  <c r="F21"/>
  <c r="H21" s="1"/>
  <c r="F20"/>
  <c r="I20" s="1"/>
  <c r="F19"/>
  <c r="H19" s="1"/>
  <c r="I17"/>
  <c r="H16"/>
  <c r="H69" l="1"/>
  <c r="H71"/>
  <c r="H25"/>
  <c r="H73"/>
  <c r="H17" i="29"/>
  <c r="H20"/>
  <c r="H31"/>
  <c r="H33"/>
  <c r="I18"/>
  <c r="H18"/>
  <c r="I16"/>
  <c r="I19"/>
  <c r="I21"/>
  <c r="H22"/>
  <c r="I23"/>
  <c r="H24"/>
  <c r="I25"/>
  <c r="H26"/>
  <c r="I27"/>
  <c r="H28"/>
  <c r="H32"/>
  <c r="I40"/>
  <c r="H41"/>
  <c r="H42"/>
  <c r="H47"/>
  <c r="I48"/>
  <c r="H49"/>
  <c r="I50"/>
  <c r="H51"/>
  <c r="I52"/>
  <c r="H53"/>
  <c r="H58"/>
  <c r="I59"/>
  <c r="I62"/>
  <c r="I67"/>
  <c r="H68"/>
  <c r="I69"/>
  <c r="H70"/>
  <c r="I71"/>
  <c r="H72"/>
  <c r="H33" i="28"/>
  <c r="H31"/>
  <c r="I18"/>
  <c r="H18"/>
  <c r="I16"/>
  <c r="H17"/>
  <c r="I19"/>
  <c r="H20"/>
  <c r="I21"/>
  <c r="H22"/>
  <c r="I23"/>
  <c r="H24"/>
  <c r="H26"/>
  <c r="H28"/>
  <c r="H32"/>
  <c r="I40"/>
  <c r="H41"/>
  <c r="H43"/>
  <c r="H47"/>
  <c r="I48"/>
  <c r="H49"/>
  <c r="I50"/>
  <c r="H51"/>
  <c r="I52"/>
  <c r="H53"/>
  <c r="H59"/>
  <c r="I60"/>
  <c r="I63"/>
  <c r="I68"/>
  <c r="I70"/>
  <c r="I72"/>
  <c r="I87"/>
  <c r="I108" l="1"/>
  <c r="I96" i="29"/>
  <c r="H95" i="26" l="1"/>
  <c r="H94"/>
  <c r="H93"/>
  <c r="H92"/>
  <c r="H91"/>
  <c r="I80"/>
  <c r="I65"/>
  <c r="I88"/>
  <c r="I87"/>
  <c r="H83"/>
  <c r="H80"/>
  <c r="I79"/>
  <c r="H79"/>
  <c r="I78"/>
  <c r="H78"/>
  <c r="I74"/>
  <c r="H74"/>
  <c r="H72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F59"/>
  <c r="H59" s="1"/>
  <c r="F58"/>
  <c r="I58" s="1"/>
  <c r="I55"/>
  <c r="F55"/>
  <c r="H55" s="1"/>
  <c r="I54"/>
  <c r="H54"/>
  <c r="F53"/>
  <c r="I53" s="1"/>
  <c r="F52"/>
  <c r="H52" s="1"/>
  <c r="I51"/>
  <c r="H50"/>
  <c r="I49"/>
  <c r="H48"/>
  <c r="I47"/>
  <c r="I45"/>
  <c r="H45"/>
  <c r="F44"/>
  <c r="H44" s="1"/>
  <c r="F43"/>
  <c r="I43" s="1"/>
  <c r="F42"/>
  <c r="H42" s="1"/>
  <c r="F41"/>
  <c r="I41" s="1"/>
  <c r="F40"/>
  <c r="H40" s="1"/>
  <c r="I39"/>
  <c r="H39"/>
  <c r="H37"/>
  <c r="H36"/>
  <c r="I35"/>
  <c r="H35"/>
  <c r="I34"/>
  <c r="F33"/>
  <c r="I33" s="1"/>
  <c r="I32"/>
  <c r="I31"/>
  <c r="I28"/>
  <c r="H27"/>
  <c r="I27"/>
  <c r="F26"/>
  <c r="I26" s="1"/>
  <c r="F25"/>
  <c r="I25" s="1"/>
  <c r="F24"/>
  <c r="I24" s="1"/>
  <c r="F23"/>
  <c r="H23" s="1"/>
  <c r="F22"/>
  <c r="I22" s="1"/>
  <c r="F21"/>
  <c r="H21" s="1"/>
  <c r="F20"/>
  <c r="I20" s="1"/>
  <c r="F19"/>
  <c r="H19" s="1"/>
  <c r="E18"/>
  <c r="F18" s="1"/>
  <c r="I17"/>
  <c r="H16"/>
  <c r="H96" i="25"/>
  <c r="H95"/>
  <c r="F94"/>
  <c r="H94" s="1"/>
  <c r="H93"/>
  <c r="H92"/>
  <c r="H91"/>
  <c r="H90"/>
  <c r="H89"/>
  <c r="H88"/>
  <c r="H87"/>
  <c r="I76"/>
  <c r="H86"/>
  <c r="F83"/>
  <c r="I83" s="1"/>
  <c r="H82"/>
  <c r="H80"/>
  <c r="H78"/>
  <c r="I77"/>
  <c r="H77"/>
  <c r="H76"/>
  <c r="I74"/>
  <c r="H74"/>
  <c r="F72"/>
  <c r="H72" s="1"/>
  <c r="F71"/>
  <c r="I71" s="1"/>
  <c r="F70"/>
  <c r="H70" s="1"/>
  <c r="F69"/>
  <c r="I69" s="1"/>
  <c r="F68"/>
  <c r="H68" s="1"/>
  <c r="F67"/>
  <c r="I67" s="1"/>
  <c r="H66"/>
  <c r="H65"/>
  <c r="F63"/>
  <c r="H63" s="1"/>
  <c r="I62"/>
  <c r="H60"/>
  <c r="F59"/>
  <c r="I59" s="1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86" i="24"/>
  <c r="H86" s="1"/>
  <c r="F83"/>
  <c r="H83" s="1"/>
  <c r="F82"/>
  <c r="I82" s="1"/>
  <c r="H80"/>
  <c r="H78"/>
  <c r="I77"/>
  <c r="H77"/>
  <c r="H76"/>
  <c r="I74"/>
  <c r="H74"/>
  <c r="F72"/>
  <c r="H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F41"/>
  <c r="I41" s="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9" i="23"/>
  <c r="H88"/>
  <c r="H87"/>
  <c r="I65"/>
  <c r="F86"/>
  <c r="H86" s="1"/>
  <c r="F83"/>
  <c r="H83" s="1"/>
  <c r="F82"/>
  <c r="I82" s="1"/>
  <c r="H80"/>
  <c r="H78"/>
  <c r="I77"/>
  <c r="H77"/>
  <c r="I76"/>
  <c r="H76"/>
  <c r="I74"/>
  <c r="H74"/>
  <c r="F72"/>
  <c r="H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F41"/>
  <c r="I41" s="1"/>
  <c r="F40"/>
  <c r="H40" s="1"/>
  <c r="I39"/>
  <c r="H39"/>
  <c r="H37"/>
  <c r="H36"/>
  <c r="I35"/>
  <c r="H35"/>
  <c r="I34"/>
  <c r="F33"/>
  <c r="I33" s="1"/>
  <c r="F32"/>
  <c r="I32" s="1"/>
  <c r="F31"/>
  <c r="H31" s="1"/>
  <c r="F28"/>
  <c r="I28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91" i="22"/>
  <c r="H90"/>
  <c r="H89"/>
  <c r="H88"/>
  <c r="H87"/>
  <c r="I34"/>
  <c r="I35"/>
  <c r="F86"/>
  <c r="H86" s="1"/>
  <c r="F83"/>
  <c r="I83" s="1"/>
  <c r="F82"/>
  <c r="I82" s="1"/>
  <c r="H80"/>
  <c r="H78"/>
  <c r="I77"/>
  <c r="H77"/>
  <c r="I76"/>
  <c r="H76"/>
  <c r="I74"/>
  <c r="H74"/>
  <c r="F72"/>
  <c r="H72" s="1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H60"/>
  <c r="F59"/>
  <c r="I59" s="1"/>
  <c r="F58"/>
  <c r="H58" s="1"/>
  <c r="I55"/>
  <c r="F55"/>
  <c r="H55" s="1"/>
  <c r="I54"/>
  <c r="H54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F40"/>
  <c r="I40" s="1"/>
  <c r="I39"/>
  <c r="H39"/>
  <c r="H37"/>
  <c r="H36"/>
  <c r="H35"/>
  <c r="F33"/>
  <c r="H33" s="1"/>
  <c r="F32"/>
  <c r="H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E18"/>
  <c r="F18" s="1"/>
  <c r="F17"/>
  <c r="I17" s="1"/>
  <c r="F16"/>
  <c r="H16" s="1"/>
  <c r="H81" i="21"/>
  <c r="H80"/>
  <c r="F79"/>
  <c r="H79" s="1"/>
  <c r="F76"/>
  <c r="H76" s="1"/>
  <c r="F75"/>
  <c r="I75" s="1"/>
  <c r="H73"/>
  <c r="H71"/>
  <c r="I70"/>
  <c r="H70"/>
  <c r="I69"/>
  <c r="H69"/>
  <c r="I67"/>
  <c r="H67"/>
  <c r="F65"/>
  <c r="H65" s="1"/>
  <c r="F64"/>
  <c r="H64" s="1"/>
  <c r="F63"/>
  <c r="H63" s="1"/>
  <c r="F62"/>
  <c r="H62" s="1"/>
  <c r="F61"/>
  <c r="H61" s="1"/>
  <c r="F60"/>
  <c r="H60" s="1"/>
  <c r="H59"/>
  <c r="F58"/>
  <c r="H58" s="1"/>
  <c r="F57"/>
  <c r="H55"/>
  <c r="F54"/>
  <c r="I54" s="1"/>
  <c r="F53"/>
  <c r="H53" s="1"/>
  <c r="I46"/>
  <c r="F46"/>
  <c r="H46" s="1"/>
  <c r="H45"/>
  <c r="F44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88" i="20"/>
  <c r="F83"/>
  <c r="H83" s="1"/>
  <c r="F82"/>
  <c r="I82" s="1"/>
  <c r="H80"/>
  <c r="H78"/>
  <c r="I77"/>
  <c r="H77"/>
  <c r="I76"/>
  <c r="H76"/>
  <c r="I74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I62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H45"/>
  <c r="F44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74" i="19"/>
  <c r="I77"/>
  <c r="F83"/>
  <c r="I83" s="1"/>
  <c r="F82"/>
  <c r="H82" s="1"/>
  <c r="H80"/>
  <c r="H78"/>
  <c r="H77"/>
  <c r="I76"/>
  <c r="H76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H62"/>
  <c r="H60"/>
  <c r="F59"/>
  <c r="H59" s="1"/>
  <c r="F58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H45"/>
  <c r="F44"/>
  <c r="I44" s="1"/>
  <c r="F43"/>
  <c r="H43" s="1"/>
  <c r="F42"/>
  <c r="I42" s="1"/>
  <c r="F41"/>
  <c r="H41" s="1"/>
  <c r="F40"/>
  <c r="I40" s="1"/>
  <c r="I39"/>
  <c r="H39"/>
  <c r="H37"/>
  <c r="H36"/>
  <c r="H35"/>
  <c r="F33"/>
  <c r="H33" s="1"/>
  <c r="F32"/>
  <c r="H32" s="1"/>
  <c r="F31"/>
  <c r="H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I17" s="1"/>
  <c r="F16"/>
  <c r="I16" s="1"/>
  <c r="I90" i="18"/>
  <c r="H33" i="23" l="1"/>
  <c r="H16" i="20"/>
  <c r="H16" i="19"/>
  <c r="H19" i="22"/>
  <c r="I19"/>
  <c r="H83"/>
  <c r="I20"/>
  <c r="I25"/>
  <c r="I23"/>
  <c r="I21"/>
  <c r="I32"/>
  <c r="I50"/>
  <c r="I48"/>
  <c r="I67"/>
  <c r="I70"/>
  <c r="I68"/>
  <c r="I26"/>
  <c r="I24"/>
  <c r="I22"/>
  <c r="I31"/>
  <c r="I33"/>
  <c r="I49"/>
  <c r="I47"/>
  <c r="I71"/>
  <c r="I69"/>
  <c r="H44" i="21"/>
  <c r="I44"/>
  <c r="H41" i="20"/>
  <c r="H44"/>
  <c r="I44"/>
  <c r="H27"/>
  <c r="H43"/>
  <c r="H27" i="19"/>
  <c r="H25" i="26"/>
  <c r="H31"/>
  <c r="H88"/>
  <c r="I72"/>
  <c r="H33"/>
  <c r="I18"/>
  <c r="H18"/>
  <c r="I16"/>
  <c r="H17"/>
  <c r="I19"/>
  <c r="H20"/>
  <c r="I21"/>
  <c r="H22"/>
  <c r="I23"/>
  <c r="H24"/>
  <c r="H26"/>
  <c r="H28"/>
  <c r="H32"/>
  <c r="I40"/>
  <c r="H41"/>
  <c r="I42"/>
  <c r="H43"/>
  <c r="I44"/>
  <c r="H47"/>
  <c r="I48"/>
  <c r="H49"/>
  <c r="I50"/>
  <c r="H51"/>
  <c r="I52"/>
  <c r="H53"/>
  <c r="H58"/>
  <c r="I59"/>
  <c r="I62"/>
  <c r="I67"/>
  <c r="H68"/>
  <c r="I69"/>
  <c r="H70"/>
  <c r="I71"/>
  <c r="H87"/>
  <c r="H33" i="25"/>
  <c r="H19"/>
  <c r="H67"/>
  <c r="H18"/>
  <c r="I18"/>
  <c r="H16"/>
  <c r="I17"/>
  <c r="I20"/>
  <c r="H21"/>
  <c r="I22"/>
  <c r="H23"/>
  <c r="I24"/>
  <c r="H25"/>
  <c r="I26"/>
  <c r="H27"/>
  <c r="I28"/>
  <c r="H31"/>
  <c r="I32"/>
  <c r="H40"/>
  <c r="I41"/>
  <c r="H42"/>
  <c r="I43"/>
  <c r="H44"/>
  <c r="I47"/>
  <c r="H48"/>
  <c r="I49"/>
  <c r="H50"/>
  <c r="I51"/>
  <c r="H52"/>
  <c r="I53"/>
  <c r="I58"/>
  <c r="H59"/>
  <c r="H62"/>
  <c r="I68"/>
  <c r="H69"/>
  <c r="I70"/>
  <c r="H71"/>
  <c r="I82"/>
  <c r="H83"/>
  <c r="H22" i="24"/>
  <c r="H26"/>
  <c r="H32"/>
  <c r="H43"/>
  <c r="H51"/>
  <c r="H58"/>
  <c r="H68"/>
  <c r="H82"/>
  <c r="H17"/>
  <c r="H20"/>
  <c r="H24"/>
  <c r="H28"/>
  <c r="H41"/>
  <c r="H47"/>
  <c r="H70"/>
  <c r="H49"/>
  <c r="H53"/>
  <c r="I18"/>
  <c r="H18"/>
  <c r="I16"/>
  <c r="I19"/>
  <c r="I21"/>
  <c r="I23"/>
  <c r="I25"/>
  <c r="I27"/>
  <c r="I31"/>
  <c r="I33"/>
  <c r="I40"/>
  <c r="I42"/>
  <c r="I44"/>
  <c r="I48"/>
  <c r="I50"/>
  <c r="I52"/>
  <c r="I59"/>
  <c r="I62"/>
  <c r="I67"/>
  <c r="I69"/>
  <c r="I71"/>
  <c r="I83"/>
  <c r="I18" i="23"/>
  <c r="H18"/>
  <c r="I16"/>
  <c r="H17"/>
  <c r="I19"/>
  <c r="H20"/>
  <c r="I21"/>
  <c r="H22"/>
  <c r="I23"/>
  <c r="H24"/>
  <c r="I25"/>
  <c r="H26"/>
  <c r="I27"/>
  <c r="H28"/>
  <c r="I31"/>
  <c r="H32"/>
  <c r="I40"/>
  <c r="H41"/>
  <c r="I42"/>
  <c r="H43"/>
  <c r="I44"/>
  <c r="H47"/>
  <c r="I48"/>
  <c r="H49"/>
  <c r="I50"/>
  <c r="H51"/>
  <c r="I52"/>
  <c r="H53"/>
  <c r="H58"/>
  <c r="I59"/>
  <c r="I62"/>
  <c r="I67"/>
  <c r="H68"/>
  <c r="I69"/>
  <c r="H70"/>
  <c r="I71"/>
  <c r="H82"/>
  <c r="I83"/>
  <c r="I18" i="22"/>
  <c r="H18"/>
  <c r="I16"/>
  <c r="H17"/>
  <c r="I27"/>
  <c r="H28"/>
  <c r="H40"/>
  <c r="I41"/>
  <c r="H42"/>
  <c r="I43"/>
  <c r="H44"/>
  <c r="I51"/>
  <c r="H52"/>
  <c r="I53"/>
  <c r="I58"/>
  <c r="H59"/>
  <c r="H62"/>
  <c r="H82"/>
  <c r="H28" i="21"/>
  <c r="H18"/>
  <c r="I18"/>
  <c r="H16"/>
  <c r="I17"/>
  <c r="H27"/>
  <c r="I40"/>
  <c r="H41"/>
  <c r="I42"/>
  <c r="H43"/>
  <c r="H54"/>
  <c r="H57"/>
  <c r="H75"/>
  <c r="I76"/>
  <c r="H51" i="20"/>
  <c r="I17"/>
  <c r="I18"/>
  <c r="I28"/>
  <c r="I40"/>
  <c r="I42"/>
  <c r="H59"/>
  <c r="H62"/>
  <c r="H82"/>
  <c r="I83"/>
  <c r="I18" i="19"/>
  <c r="H17"/>
  <c r="H28"/>
  <c r="H40"/>
  <c r="I41"/>
  <c r="H42"/>
  <c r="I43"/>
  <c r="H44"/>
  <c r="I51"/>
  <c r="H58"/>
  <c r="I59"/>
  <c r="I62"/>
  <c r="I82"/>
  <c r="H83"/>
  <c r="F83" i="18"/>
  <c r="F82"/>
  <c r="H82" s="1"/>
  <c r="H80"/>
  <c r="H74"/>
  <c r="H78"/>
  <c r="H77"/>
  <c r="I76"/>
  <c r="H76"/>
  <c r="F72"/>
  <c r="H72" s="1"/>
  <c r="F71"/>
  <c r="H71" s="1"/>
  <c r="F70"/>
  <c r="H70" s="1"/>
  <c r="F69"/>
  <c r="H69" s="1"/>
  <c r="F68"/>
  <c r="H68" s="1"/>
  <c r="F67"/>
  <c r="H67" s="1"/>
  <c r="H66"/>
  <c r="I65"/>
  <c r="H65"/>
  <c r="F63"/>
  <c r="H63" s="1"/>
  <c r="I62"/>
  <c r="H60"/>
  <c r="F59"/>
  <c r="I59" s="1"/>
  <c r="F58"/>
  <c r="H58" s="1"/>
  <c r="I93" i="23" l="1"/>
  <c r="I94" i="22"/>
  <c r="I94" i="20"/>
  <c r="I98" i="19"/>
  <c r="H59" i="18"/>
  <c r="I113" i="25"/>
  <c r="I93" i="21"/>
  <c r="I101" i="26"/>
  <c r="I92" i="24"/>
  <c r="H83" i="18"/>
  <c r="I83"/>
  <c r="I82"/>
  <c r="I55" l="1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H45"/>
  <c r="F44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43" l="1"/>
  <c r="H44"/>
  <c r="I44"/>
  <c r="H17"/>
  <c r="H41"/>
  <c r="I51"/>
  <c r="I40"/>
  <c r="I42"/>
  <c r="I28"/>
  <c r="I27"/>
  <c r="H18"/>
  <c r="I18"/>
  <c r="I16"/>
  <c r="I92" l="1"/>
</calcChain>
</file>

<file path=xl/sharedStrings.xml><?xml version="1.0" encoding="utf-8"?>
<sst xmlns="http://schemas.openxmlformats.org/spreadsheetml/2006/main" count="2690" uniqueCount="295">
  <si>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</si>
  <si>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</si>
  <si>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</si>
  <si>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</si>
  <si>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</si>
  <si>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</si>
  <si>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</si>
  <si>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</si>
  <si>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</si>
  <si>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</si>
  <si>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</si>
  <si>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</si>
  <si>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</si>
  <si>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</si>
  <si>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</si>
  <si>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</si>
  <si>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</si>
  <si>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</si>
  <si>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</si>
  <si>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</si>
  <si>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</si>
  <si>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</si>
  <si>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</si>
  <si>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</si>
  <si>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</si>
  <si>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</si>
  <si>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</si>
  <si>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</si>
  <si>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</si>
  <si>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</si>
  <si>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</si>
  <si>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</si>
  <si>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</si>
  <si>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</si>
  <si>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</si>
  <si>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</si>
  <si>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</si>
  <si>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</si>
  <si>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</si>
  <si>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</si>
  <si>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</si>
  <si>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</si>
  <si>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</si>
  <si>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</si>
  <si>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</si>
  <si>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</si>
  <si>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</si>
  <si>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</si>
  <si>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</si>
  <si>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</si>
  <si>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</si>
  <si>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</si>
  <si>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</si>
  <si>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</si>
  <si>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</si>
  <si>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</si>
  <si>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</si>
  <si>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</si>
  <si>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</si>
  <si>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</si>
  <si>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</si>
  <si>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</si>
  <si>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</si>
  <si>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</si>
  <si>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</si>
  <si>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</si>
  <si>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</si>
  <si>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</si>
  <si>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</si>
  <si>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</si>
  <si>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</si>
  <si>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</si>
  <si>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</si>
  <si>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</si>
  <si>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</si>
  <si>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</si>
  <si>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</si>
  <si>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</si>
  <si>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</si>
  <si>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</si>
  <si>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</si>
  <si>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</si>
  <si>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</si>
  <si>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</si>
  <si>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</si>
  <si>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</si>
  <si>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</si>
  <si>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</si>
  <si>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</si>
  <si>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</si>
  <si>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</si>
  <si>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</si>
  <si>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</si>
  <si>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</si>
  <si>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</si>
  <si>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Очистка водостоков от наледи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</si>
  <si>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</si>
  <si>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</si>
  <si>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</si>
  <si>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</si>
  <si>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</si>
  <si>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</si>
  <si>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</si>
  <si>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Внеплановая проверка вентканалов</t>
  </si>
  <si>
    <t>Сдвигание снега в дни снегопада (проезды)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</si>
  <si>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</si>
  <si>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</si>
  <si>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</si>
  <si>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</si>
  <si>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</si>
  <si>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</si>
  <si>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</si>
  <si>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</si>
  <si>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</si>
  <si>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</si>
  <si>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</si>
  <si>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</si>
  <si>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</si>
  <si>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</si>
  <si>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</si>
  <si>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</si>
  <si>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</si>
  <si>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</si>
  <si>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</si>
  <si>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</si>
  <si>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</si>
  <si>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</si>
  <si>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</si>
  <si>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</si>
  <si>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</si>
  <si>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</si>
  <si>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</si>
  <si>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ул.Нефтяников пгт.Ярега
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</si>
  <si>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</si>
  <si>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Влажная протирка шкафов для щитов и слаботочн.устройств</t>
  </si>
  <si>
    <t>12 раз за сезон</t>
  </si>
  <si>
    <t>Сдвигание снега в дни снегопада (крыльца, тротуары)</t>
  </si>
  <si>
    <t>30 раз за сезон</t>
  </si>
  <si>
    <t>24 раза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</si>
  <si>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</si>
  <si>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</si>
  <si>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 xml:space="preserve"> </t>
  </si>
  <si>
    <t>АКТ №1</t>
  </si>
  <si>
    <t>Очистка урн от мусора</t>
  </si>
  <si>
    <t>155 раз в год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</si>
  <si>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</si>
  <si>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</si>
  <si>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12 раз в год</t>
  </si>
  <si>
    <t>Спуск воды после промывки СО в канализацию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</si>
  <si>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</si>
  <si>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</si>
  <si>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</si>
  <si>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Итого месячные затраты</t>
  </si>
  <si>
    <t>Внеплановый осмотр элекгросетей, арматуры и электрооборудования на чердаках и подвалах</t>
  </si>
  <si>
    <t>АКТ №2</t>
  </si>
  <si>
    <t>АКТ №3</t>
  </si>
  <si>
    <t>III. Содержание общего имущества МКД</t>
  </si>
  <si>
    <t>IV. Прочие услуги</t>
  </si>
  <si>
    <t>Смена трубопроводов на полипропиленовые трубы PN25 диаметром 20 мм</t>
  </si>
  <si>
    <t>Переход чугун-пластик Ду 50 с манжетой</t>
  </si>
  <si>
    <t>Смена трубопроводов на полипропиленовые трубы PN20 диаметром 20 мм</t>
  </si>
  <si>
    <t>Смена светодиодных светильников в.о.</t>
  </si>
  <si>
    <t>АКТ №4</t>
  </si>
  <si>
    <t>АКТ №5</t>
  </si>
  <si>
    <t>Внеплановый осмотр электросетей, армазуры и электрооборудования на лестничных клетках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</si>
  <si>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</si>
  <si>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</si>
  <si>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</si>
  <si>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</si>
  <si>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</si>
  <si>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</si>
  <si>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</si>
  <si>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t>за период с 01.01.2018 г. по 31.01.2018 г.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</si>
  <si>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д.8</t>
    </r>
  </si>
  <si>
    <t>Очистка канализационной сети внутренней</t>
  </si>
  <si>
    <t>1м</t>
  </si>
  <si>
    <t>Водосчетчик ВСКМ Ду40 в комплекте с присоед.узлом</t>
  </si>
  <si>
    <t>за период с 01.02.2018 г. по 28.02.2018 г.</t>
  </si>
  <si>
    <t>Ревизия 50</t>
  </si>
  <si>
    <t>Внеплановый осмотр вводных электрических щитков</t>
  </si>
  <si>
    <t>100шт</t>
  </si>
  <si>
    <t xml:space="preserve">Смена полипропиленовых канализационных труб 50×2000 мм </t>
  </si>
  <si>
    <t xml:space="preserve">Смена полипропиленовых канализационных труб 50×1000 мм </t>
  </si>
  <si>
    <t>Манжета 73×50</t>
  </si>
  <si>
    <t>Итого затраты за месяц</t>
  </si>
  <si>
    <t>за период с 01.03.2018 г. по 31.03.2018 г.</t>
  </si>
  <si>
    <t>1шт</t>
  </si>
  <si>
    <t xml:space="preserve">Переход чугун-пластик Ду 110 </t>
  </si>
  <si>
    <t>Муфта ремонтная 110</t>
  </si>
  <si>
    <t>Смена полипропиленовых канализационных труб Ду-100 2м</t>
  </si>
  <si>
    <t>Патрубок компенсационный ПП Ду 100</t>
  </si>
  <si>
    <t>за период с 01.04.2018 г. по 30.04.2018 г.</t>
  </si>
  <si>
    <t>Смена трубопроводов на полипропиленовые трубы PN20 диаметром 25 мм</t>
  </si>
  <si>
    <t xml:space="preserve">Муфта разъемная 25*3/4 НР </t>
  </si>
  <si>
    <t>Тройник 25*20</t>
  </si>
  <si>
    <t>Муфта переходная 1*3/4 ВР</t>
  </si>
  <si>
    <t>Муфта 20</t>
  </si>
  <si>
    <t>Смена светильников с лампами накаливания</t>
  </si>
  <si>
    <t>за период с 01.05.2018 г. по 31.05.2018 г.</t>
  </si>
  <si>
    <t>Замена полотенцесушителя</t>
  </si>
  <si>
    <t>Ремонт силового предохранительного шкафа (со стоимостью материалов)</t>
  </si>
  <si>
    <t>за период с 01.06.2018 г. по 30.06.2018 г.</t>
  </si>
  <si>
    <t>Ремонт и регулировка доводчика ( со стоимостью доводчика)</t>
  </si>
  <si>
    <t>Установка хомута диаметром до 50 мм</t>
  </si>
  <si>
    <t>Внеплановый осмотр водопроводов, канализации, отопления в квартирах</t>
  </si>
  <si>
    <t>100 кв.</t>
  </si>
  <si>
    <t>за период с 01.07.2018 г. по 31.07.2018 г.</t>
  </si>
  <si>
    <t>ООО «Движение»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</si>
  <si>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</si>
  <si>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за период с 01.08.2018 г. по 31.08.2018 г.</t>
  </si>
  <si>
    <t>Укрепление досок клыльца (4 под)</t>
  </si>
  <si>
    <t>70м2</t>
  </si>
  <si>
    <t>120,3 м2</t>
  </si>
  <si>
    <t>247,6м2</t>
  </si>
  <si>
    <t xml:space="preserve">Белизна </t>
  </si>
  <si>
    <t>Дезинфекция подвала</t>
  </si>
  <si>
    <t>Установка хомута диаметром до 75 мм</t>
  </si>
  <si>
    <t>Муфта разъемная 20*1/2 ВР</t>
  </si>
  <si>
    <t>Муфта разъемная 20*1/2 НР</t>
  </si>
  <si>
    <t>Муфта 25</t>
  </si>
  <si>
    <t>Тройник 25</t>
  </si>
  <si>
    <t>Муфта переходная 25*20</t>
  </si>
  <si>
    <t>Обвод 20</t>
  </si>
  <si>
    <t>Смена трубопроводов на полипропиленовые трубы PN25 диаметром 25 мм ( кв. 92)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</si>
  <si>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</si>
  <si>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</si>
  <si>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</t>
  </si>
  <si>
    <t>Осмотр водопроводов, канализации, отопления в квартирах</t>
  </si>
  <si>
    <t>Демонтаж перегородки из ДСП для работ ВДИС</t>
  </si>
  <si>
    <t>10 м2</t>
  </si>
  <si>
    <t>Восстановление шахты после работы ВДИС</t>
  </si>
  <si>
    <t>Смена дверных приборов /замки навесные)</t>
  </si>
  <si>
    <t>Ремонт слива</t>
  </si>
  <si>
    <t>за период с 01.09.2018 г. по 30.09.2018 г.</t>
  </si>
  <si>
    <t>Снятие показаний с общедомовых приборов учета холодной воды</t>
  </si>
  <si>
    <t>1 раз в месяц</t>
  </si>
  <si>
    <t>за период с 01.10.2018 г. по 31.10.2018 г.</t>
  </si>
  <si>
    <t>Ремонт вентильных кранов д=40 со снятием с места</t>
  </si>
  <si>
    <t>за период с 01.11.2018 г. по 30.11.2018 г.</t>
  </si>
  <si>
    <t xml:space="preserve">Сдвигание снега в дни снегопада </t>
  </si>
  <si>
    <t>Вывоз снега с придомовой территории</t>
  </si>
  <si>
    <t>1м3</t>
  </si>
  <si>
    <t>Очистка вручную от снега и наледи люков канализационных и водопроводных колодцев</t>
  </si>
  <si>
    <t>2 раза в месяц</t>
  </si>
  <si>
    <t>по мере необходимости</t>
  </si>
  <si>
    <t>Осмотр кровли рулонной</t>
  </si>
  <si>
    <t xml:space="preserve">Установка эластичной накладки (герметизация  )         </t>
  </si>
  <si>
    <t>1 место</t>
  </si>
  <si>
    <t xml:space="preserve">Герметик силиконовый </t>
  </si>
  <si>
    <t>Смена полиэтиленовых канализационных труб Dу 50</t>
  </si>
  <si>
    <t>м</t>
  </si>
  <si>
    <t>Отвод Dу 50-45º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</si>
  <si>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</si>
  <si>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</si>
  <si>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Водоотлив из подвала электрическими (механическими) насосами (100 м3 воды)</t>
  </si>
  <si>
    <t>10 м3</t>
  </si>
  <si>
    <t>биосорбент</t>
  </si>
  <si>
    <t>кг</t>
  </si>
  <si>
    <t>Работа ротенбергера</t>
  </si>
  <si>
    <t>час</t>
  </si>
  <si>
    <t>Ремонт и регулировка доводчика ( без стоимости доводчика)</t>
  </si>
  <si>
    <t>Осмотр системы центрального отопления и канализации  в чердачных и подвальных помещениях</t>
  </si>
  <si>
    <t>за период с 01.12.2018 г. по 31.12.2018 г.</t>
  </si>
  <si>
    <t>3 раза в неделю 156 раз в год</t>
  </si>
  <si>
    <t>2 раза в неделю 104 раза в год</t>
  </si>
  <si>
    <t>18 раз в год</t>
  </si>
  <si>
    <t>1 раз в месяц (5 раз за сезон)</t>
  </si>
  <si>
    <t>Осмотр  заполнений проемов</t>
  </si>
  <si>
    <t>2. Всего за период с 01.12.2018 по 31.12.2018 выполнено работ (оказано услуг) на общую сумму: 105862,55 руб.</t>
  </si>
  <si>
    <t>(сто пять тысяч восемьсот шестьдесят два рубля 55 копеек)</t>
  </si>
  <si>
    <t>ВДГО</t>
  </si>
  <si>
    <t>Обход и осмотр фасадного газопровода</t>
  </si>
  <si>
    <t>2. Всего за период с 01.09.2018 по 30.09.2018 выполнено работ (оказано услуг) на общую сумму: 166484,77 руб.</t>
  </si>
  <si>
    <t>(сто шестьдесят шесть тысяч четыреста восемьдесят четыре рубля 77 копеек)</t>
  </si>
  <si>
    <t>2. Всего за период с 01.11.2018 по 30.11.2018 выполнено работ (оказано услуг) на общую сумму: 114054,00 руб.</t>
  </si>
  <si>
    <t>(сто четырнадцать тысяч пятьдесят четыре рубля 00 копеек)</t>
  </si>
  <si>
    <t>2. Всего за период с 01.01.2018 по 31.01.2018 выполнено работ (оказано услуг) на общую сумму: 112 020,35 руб.</t>
  </si>
  <si>
    <t>(сто двенадцать тысяч двадцать рублей 35 копеек)</t>
  </si>
  <si>
    <t>2. Всего за период с 01.02.2018 по 28.02.2018 выполнено работ (оказано услуг) на общую сумму: 95042,66 руб.</t>
  </si>
  <si>
    <t>(девяносто пять тысяч сорок два рубля 66 копеек)</t>
  </si>
  <si>
    <t>2. Всего за период с 01.03.2018 по 31.03.2018 выполнено работ (оказано услуг) на общую сумму: 91768,16 руб.</t>
  </si>
  <si>
    <t>(девяносто одна тысяча семьсот шестьдесят восемь рублей 16 копеек)</t>
  </si>
  <si>
    <t>2. Всего за период с 01.04.2018 по 30.04.2018 выполнено работ (оказано услуг) на общую сумму: 107109,19 руб.</t>
  </si>
  <si>
    <t>(сто семь тысяч сто девять рублей 19 копеек)</t>
  </si>
  <si>
    <t>2. Всего за период с 01.05.2018 по 31.05.2018 выполнено работ (оказано услуг) на общую сумму: 218671,12 руб.</t>
  </si>
  <si>
    <t>(двести восемьнадцать тысяч шестьсот семьдесят один рубль 12 копеек)</t>
  </si>
  <si>
    <t>2. Всего за период с 01.06.2018 по 30.06.2018 выполнено работ (оказано услуг) на общую сумму: 90498,12 руб.</t>
  </si>
  <si>
    <t>(девяносто тысяч четыреста девяносто восемь рублей 12 копеек)</t>
  </si>
  <si>
    <t>2. Всего за период с 01.07.2018 по 31.07.2018 выполнено работ (оказано услуг) на общую сумму: 72673,03 руб.</t>
  </si>
  <si>
    <t>(семьдесят две тысячи шестьсот семьдесят три рубля 03 копейки)</t>
  </si>
  <si>
    <t>2. Всего за период с 01.08.2018 по 31.08.2018 выполнено работ (оказано услуг) на общую сумму: 140602,24 руб.</t>
  </si>
  <si>
    <t>(сто сорок тысяч шестьсот два рубля 24 копейки)</t>
  </si>
  <si>
    <t>Стеклопакет 24 мм (пвх рейка)</t>
  </si>
  <si>
    <t>2. Всего за период с 01.10.2018 по 31.10.2018 выполнено работ (оказано услуг) на общую сумму: 138828,07 руб.</t>
  </si>
  <si>
    <t>(сто тридцать восемь тысяч восемьсот двадцать восемь рублей 07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</si>
</sst>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/>
    <xf numFmtId="0" fontId="11" fillId="0" borderId="0" xfId="0" applyFont="1" applyAlignment="1">
      <alignment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left" vertical="center" wrapText="1"/>
    </xf>
    <xf numFmtId="4" fontId="18" fillId="2" borderId="7" xfId="0" applyNumberFormat="1" applyFont="1" applyFill="1" applyBorder="1" applyAlignment="1">
      <alignment horizontal="center" vertical="center" wrapText="1"/>
    </xf>
    <xf numFmtId="4" fontId="18" fillId="3" borderId="7" xfId="0" applyNumberFormat="1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topLeftCell="A55" workbookViewId="0">
      <selection activeCell="J92" sqref="J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86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142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172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72"/>
      <c r="C6" s="72"/>
      <c r="D6" s="72"/>
      <c r="E6" s="72"/>
      <c r="F6" s="72"/>
      <c r="G6" s="72"/>
      <c r="H6" s="72"/>
      <c r="I6" s="27">
        <v>43131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133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90">
        <v>169.2</v>
      </c>
      <c r="F16" s="91">
        <f>SUM(E16*156/100)</f>
        <v>263.952</v>
      </c>
      <c r="G16" s="91">
        <v>175.38</v>
      </c>
      <c r="H16" s="92">
        <f t="shared" ref="H16:H26" si="0">SUM(F16*G16/1000)</f>
        <v>46.291901760000002</v>
      </c>
      <c r="I16" s="12">
        <f>F16/12*G16</f>
        <v>3857.6584799999996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90">
        <v>676.6</v>
      </c>
      <c r="F17" s="91">
        <f>SUM(E17*104/100)</f>
        <v>703.6640000000001</v>
      </c>
      <c r="G17" s="91">
        <v>175.38</v>
      </c>
      <c r="H17" s="92">
        <f t="shared" si="0"/>
        <v>123.40859232000001</v>
      </c>
      <c r="I17" s="12">
        <f>F17/12*G17</f>
        <v>10284.049360000001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90">
        <f>SUM(E16+E17)</f>
        <v>845.8</v>
      </c>
      <c r="F18" s="91">
        <f>SUM(E18*24/100)</f>
        <v>202.99199999999996</v>
      </c>
      <c r="G18" s="91">
        <v>504.5</v>
      </c>
      <c r="H18" s="92">
        <f t="shared" si="0"/>
        <v>102.40946399999997</v>
      </c>
      <c r="I18" s="12">
        <f>F18/12*G18</f>
        <v>8534.1219999999976</v>
      </c>
      <c r="J18" s="63"/>
      <c r="K18" s="62"/>
      <c r="L18" s="62"/>
      <c r="M18" s="62"/>
    </row>
    <row r="19" spans="1:13" s="35" customFormat="1" ht="15.75" hidden="1" customHeight="1">
      <c r="A19" s="26"/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v>0</v>
      </c>
      <c r="J19" s="63"/>
      <c r="K19" s="62"/>
      <c r="L19" s="62"/>
      <c r="M19" s="62"/>
    </row>
    <row r="20" spans="1:13" s="35" customFormat="1" ht="15.75" hidden="1" customHeight="1">
      <c r="A20" s="26">
        <v>4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v>0</v>
      </c>
      <c r="J20" s="63"/>
      <c r="K20" s="62"/>
      <c r="L20" s="62"/>
      <c r="M20" s="62"/>
    </row>
    <row r="21" spans="1:13" s="35" customFormat="1" ht="15.75" hidden="1" customHeight="1">
      <c r="A21" s="26">
        <v>5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v>0</v>
      </c>
      <c r="J21" s="63"/>
      <c r="K21" s="62"/>
      <c r="L21" s="62"/>
      <c r="M21" s="62"/>
    </row>
    <row r="22" spans="1:13" s="35" customFormat="1" ht="15.75" hidden="1" customHeight="1">
      <c r="A22" s="26"/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v>0</v>
      </c>
      <c r="J22" s="63"/>
      <c r="K22" s="62"/>
      <c r="L22" s="62"/>
      <c r="M22" s="62"/>
    </row>
    <row r="23" spans="1:13" s="35" customFormat="1" ht="15.75" hidden="1" customHeight="1">
      <c r="A23" s="26"/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v>0</v>
      </c>
      <c r="J23" s="63"/>
      <c r="K23" s="62"/>
      <c r="L23" s="62"/>
      <c r="M23" s="62"/>
    </row>
    <row r="24" spans="1:13" s="35" customFormat="1" ht="15.75" hidden="1" customHeight="1">
      <c r="A24" s="26"/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v>0</v>
      </c>
      <c r="J24" s="63"/>
      <c r="K24" s="62"/>
      <c r="L24" s="62"/>
      <c r="M24" s="62"/>
    </row>
    <row r="25" spans="1:13" s="35" customFormat="1" ht="31.5" hidden="1" customHeight="1">
      <c r="A25" s="40">
        <v>6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v>0</v>
      </c>
      <c r="J25" s="63"/>
      <c r="K25" s="62"/>
      <c r="L25" s="62"/>
      <c r="M25" s="62"/>
    </row>
    <row r="26" spans="1:13" s="35" customFormat="1" ht="15.75" hidden="1" customHeight="1">
      <c r="A26" s="40">
        <v>7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v>0</v>
      </c>
      <c r="J26" s="63"/>
      <c r="K26" s="62"/>
      <c r="L26" s="62"/>
      <c r="M26" s="62"/>
    </row>
    <row r="27" spans="1:13" s="35" customFormat="1" ht="15.75" customHeight="1">
      <c r="A27" s="40">
        <v>4</v>
      </c>
      <c r="B27" s="88" t="s">
        <v>64</v>
      </c>
      <c r="C27" s="89" t="s">
        <v>33</v>
      </c>
      <c r="D27" s="88"/>
      <c r="E27" s="90">
        <v>0.1</v>
      </c>
      <c r="F27" s="91">
        <f>SUM(E27*365)</f>
        <v>36.5</v>
      </c>
      <c r="G27" s="91">
        <v>147.03</v>
      </c>
      <c r="H27" s="92">
        <f t="shared" ref="H27:H28" si="1">SUM(F27*G27/1000)</f>
        <v>5.3665950000000002</v>
      </c>
      <c r="I27" s="12">
        <f>F27/12*G27</f>
        <v>447.21625</v>
      </c>
      <c r="J27" s="63"/>
      <c r="K27" s="62"/>
      <c r="L27" s="62"/>
      <c r="M27" s="62"/>
    </row>
    <row r="28" spans="1:13" s="35" customFormat="1" ht="15.75" customHeight="1">
      <c r="A28" s="40">
        <v>5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1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hidden="1" customHeight="1">
      <c r="A31" s="40">
        <v>2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2">SUM(F31*G31/1000)</f>
        <v>7.2964626280000004</v>
      </c>
      <c r="I31" s="12">
        <v>0</v>
      </c>
      <c r="J31" s="63"/>
      <c r="K31" s="62"/>
      <c r="L31" s="62"/>
      <c r="M31" s="62"/>
    </row>
    <row r="32" spans="1:13" s="35" customFormat="1" ht="31.5" hidden="1" customHeight="1">
      <c r="A32" s="40">
        <v>3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2"/>
        <v>5.8381067159999995</v>
      </c>
      <c r="I32" s="12">
        <v>0</v>
      </c>
      <c r="J32" s="63"/>
      <c r="K32" s="62"/>
      <c r="L32" s="62"/>
      <c r="M32" s="62"/>
    </row>
    <row r="33" spans="1:14" s="35" customFormat="1" ht="15.75" hidden="1" customHeight="1">
      <c r="A33" s="40">
        <v>4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2"/>
        <v>2.7185990329999998</v>
      </c>
      <c r="I33" s="12">
        <v>0</v>
      </c>
      <c r="J33" s="63"/>
      <c r="K33" s="62"/>
      <c r="L33" s="62"/>
      <c r="M33" s="62"/>
    </row>
    <row r="34" spans="1:14" s="35" customFormat="1" ht="15.75" hidden="1" customHeight="1">
      <c r="A34" s="40"/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v>0</v>
      </c>
      <c r="J34" s="63"/>
      <c r="K34" s="62"/>
      <c r="L34" s="62"/>
      <c r="M34" s="62"/>
    </row>
    <row r="35" spans="1:14" s="35" customFormat="1" ht="15.75" hidden="1" customHeight="1">
      <c r="A35" s="40">
        <v>5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v>0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3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3"/>
        <v>2.27264</v>
      </c>
      <c r="I37" s="12">
        <v>0</v>
      </c>
      <c r="J37" s="64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4">SUM(F39*G39/1000)</f>
        <v>15.272200000000002</v>
      </c>
      <c r="I39" s="12">
        <f t="shared" ref="I39:I43" si="5">F39/6*G39</f>
        <v>2545.3666666666668</v>
      </c>
      <c r="J39" s="64"/>
    </row>
    <row r="40" spans="1:14" s="35" customFormat="1" ht="15.75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4"/>
        <v>15.997417679999998</v>
      </c>
      <c r="I40" s="12">
        <f t="shared" si="5"/>
        <v>2666.2362800000001</v>
      </c>
      <c r="J40" s="64"/>
    </row>
    <row r="41" spans="1:14" s="35" customFormat="1" ht="15.75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4"/>
        <v>18.255728220000002</v>
      </c>
      <c r="I41" s="12">
        <f t="shared" si="5"/>
        <v>3042.6213700000003</v>
      </c>
      <c r="J41" s="64"/>
    </row>
    <row r="42" spans="1:14" s="35" customFormat="1" ht="15.75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4"/>
        <v>15.73359275</v>
      </c>
      <c r="I42" s="12">
        <f t="shared" si="5"/>
        <v>2622.2654583333333</v>
      </c>
      <c r="J42" s="64"/>
    </row>
    <row r="43" spans="1:14" s="35" customFormat="1" ht="47.25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4"/>
        <v>15.04210176</v>
      </c>
      <c r="I43" s="12">
        <f t="shared" si="5"/>
        <v>2507.0169599999999</v>
      </c>
      <c r="J43" s="64"/>
    </row>
    <row r="44" spans="1:14" s="35" customFormat="1" ht="15.75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4"/>
        <v>2.5927775999999998</v>
      </c>
      <c r="I44" s="12">
        <f>F44/7.5*G44</f>
        <v>345.70368000000002</v>
      </c>
      <c r="J44" s="64"/>
      <c r="L44" s="19"/>
      <c r="M44" s="20"/>
      <c r="N44" s="28"/>
    </row>
    <row r="45" spans="1:14" s="35" customFormat="1" ht="15.75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4"/>
        <v>0.71820000000000006</v>
      </c>
      <c r="I45" s="12">
        <f>F45/7.5*G45</f>
        <v>95.76</v>
      </c>
      <c r="J45" s="64"/>
      <c r="L45" s="19"/>
      <c r="M45" s="20"/>
      <c r="N45" s="28"/>
    </row>
    <row r="46" spans="1:14" s="35" customFormat="1" ht="15.75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hidden="1" customHeight="1">
      <c r="A47" s="40">
        <v>15</v>
      </c>
      <c r="B47" s="88" t="s">
        <v>121</v>
      </c>
      <c r="C47" s="89" t="s">
        <v>115</v>
      </c>
      <c r="D47" s="88" t="s">
        <v>41</v>
      </c>
      <c r="E47" s="90">
        <v>1662.5</v>
      </c>
      <c r="F47" s="91">
        <f>SUM(E47*2/1000)</f>
        <v>3.3250000000000002</v>
      </c>
      <c r="G47" s="12">
        <v>849.49</v>
      </c>
      <c r="H47" s="92">
        <f t="shared" ref="H47:H55" si="6">SUM(F47*G47/1000)</f>
        <v>2.8245542500000003</v>
      </c>
      <c r="I47" s="12">
        <v>0</v>
      </c>
      <c r="J47" s="64"/>
      <c r="L47" s="19"/>
      <c r="M47" s="20"/>
      <c r="N47" s="28"/>
    </row>
    <row r="48" spans="1:14" s="35" customFormat="1" ht="15.75" hidden="1" customHeight="1">
      <c r="A48" s="40"/>
      <c r="B48" s="88" t="s">
        <v>34</v>
      </c>
      <c r="C48" s="89" t="s">
        <v>115</v>
      </c>
      <c r="D48" s="88" t="s">
        <v>41</v>
      </c>
      <c r="E48" s="90">
        <v>92.8</v>
      </c>
      <c r="F48" s="91">
        <f>SUM(E48*2/1000)</f>
        <v>0.18559999999999999</v>
      </c>
      <c r="G48" s="12">
        <v>579.48</v>
      </c>
      <c r="H48" s="92">
        <f t="shared" si="6"/>
        <v>0.10755148799999999</v>
      </c>
      <c r="I48" s="12">
        <v>0</v>
      </c>
      <c r="J48" s="64"/>
      <c r="L48" s="19"/>
      <c r="M48" s="20"/>
      <c r="N48" s="28"/>
    </row>
    <row r="49" spans="1:14" s="35" customFormat="1" ht="15.75" hidden="1" customHeight="1">
      <c r="A49" s="40">
        <v>16</v>
      </c>
      <c r="B49" s="88" t="s">
        <v>35</v>
      </c>
      <c r="C49" s="89" t="s">
        <v>115</v>
      </c>
      <c r="D49" s="88" t="s">
        <v>41</v>
      </c>
      <c r="E49" s="90">
        <v>4750.7</v>
      </c>
      <c r="F49" s="91">
        <f>SUM(E49*2/1000)</f>
        <v>9.5014000000000003</v>
      </c>
      <c r="G49" s="12">
        <v>579.48</v>
      </c>
      <c r="H49" s="92">
        <f t="shared" si="6"/>
        <v>5.5058712720000003</v>
      </c>
      <c r="I49" s="12">
        <v>0</v>
      </c>
      <c r="J49" s="64"/>
      <c r="L49" s="19"/>
      <c r="M49" s="20"/>
      <c r="N49" s="28"/>
    </row>
    <row r="50" spans="1:14" s="35" customFormat="1" ht="15.75" hidden="1" customHeight="1">
      <c r="A50" s="40">
        <v>17</v>
      </c>
      <c r="B50" s="88" t="s">
        <v>36</v>
      </c>
      <c r="C50" s="89" t="s">
        <v>115</v>
      </c>
      <c r="D50" s="88" t="s">
        <v>41</v>
      </c>
      <c r="E50" s="90">
        <v>2840.99</v>
      </c>
      <c r="F50" s="91">
        <f>SUM(E50*2/1000)</f>
        <v>5.6819799999999994</v>
      </c>
      <c r="G50" s="12">
        <v>606.77</v>
      </c>
      <c r="H50" s="92">
        <f t="shared" si="6"/>
        <v>3.4476550045999992</v>
      </c>
      <c r="I50" s="12">
        <v>0</v>
      </c>
      <c r="J50" s="64"/>
      <c r="L50" s="19"/>
      <c r="M50" s="20"/>
      <c r="N50" s="28"/>
    </row>
    <row r="51" spans="1:14" s="35" customFormat="1" ht="15.75" customHeight="1">
      <c r="A51" s="40">
        <v>13</v>
      </c>
      <c r="B51" s="88" t="s">
        <v>56</v>
      </c>
      <c r="C51" s="89" t="s">
        <v>115</v>
      </c>
      <c r="D51" s="88" t="s">
        <v>146</v>
      </c>
      <c r="E51" s="90">
        <v>1652.5</v>
      </c>
      <c r="F51" s="91">
        <f>SUM(E51*5/1000)</f>
        <v>8.2624999999999993</v>
      </c>
      <c r="G51" s="12">
        <v>1213.55</v>
      </c>
      <c r="H51" s="92">
        <f t="shared" si="6"/>
        <v>10.026956874999998</v>
      </c>
      <c r="I51" s="12">
        <f>F51/5*G51</f>
        <v>2005.3913749999997</v>
      </c>
      <c r="J51" s="64"/>
      <c r="L51" s="19"/>
      <c r="M51" s="20"/>
      <c r="N51" s="28"/>
    </row>
    <row r="52" spans="1:14" s="35" customFormat="1" ht="31.5" hidden="1" customHeight="1">
      <c r="A52" s="40">
        <v>13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6"/>
        <v>4.0107827499999997</v>
      </c>
      <c r="I52" s="12">
        <v>0</v>
      </c>
      <c r="J52" s="64"/>
      <c r="L52" s="19"/>
      <c r="M52" s="20"/>
      <c r="N52" s="28"/>
    </row>
    <row r="53" spans="1:14" s="35" customFormat="1" ht="31.5" hidden="1" customHeight="1">
      <c r="A53" s="40">
        <v>14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6"/>
        <v>2.1843919999999999</v>
      </c>
      <c r="I53" s="12">
        <v>0</v>
      </c>
      <c r="J53" s="64"/>
      <c r="L53" s="19"/>
      <c r="M53" s="20"/>
      <c r="N53" s="28"/>
    </row>
    <row r="54" spans="1:14" s="35" customFormat="1" ht="15.75" hidden="1" customHeight="1">
      <c r="A54" s="40">
        <v>15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6"/>
        <v>0.11304260000000001</v>
      </c>
      <c r="I54" s="12">
        <v>0</v>
      </c>
      <c r="J54" s="64"/>
      <c r="L54" s="19"/>
      <c r="M54" s="20"/>
      <c r="N54" s="28"/>
    </row>
    <row r="55" spans="1:14" s="35" customFormat="1" ht="15.75" customHeight="1">
      <c r="A55" s="40">
        <v>14</v>
      </c>
      <c r="B55" s="88" t="s">
        <v>40</v>
      </c>
      <c r="C55" s="89" t="s">
        <v>124</v>
      </c>
      <c r="D55" s="88" t="s">
        <v>71</v>
      </c>
      <c r="E55" s="90">
        <v>236</v>
      </c>
      <c r="F55" s="91">
        <f>SUM(E55)*3</f>
        <v>708</v>
      </c>
      <c r="G55" s="12">
        <v>65.67</v>
      </c>
      <c r="H55" s="92">
        <f t="shared" si="6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182" t="s">
        <v>150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customHeight="1">
      <c r="A57" s="52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hidden="1" customHeight="1">
      <c r="A58" s="40">
        <v>15</v>
      </c>
      <c r="B58" s="88" t="s">
        <v>139</v>
      </c>
      <c r="C58" s="89" t="s">
        <v>105</v>
      </c>
      <c r="D58" s="88" t="s">
        <v>140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G58*0.0665</f>
        <v>102.89412</v>
      </c>
      <c r="J58" s="64"/>
      <c r="L58" s="19"/>
      <c r="M58" s="20"/>
      <c r="N58" s="28"/>
    </row>
    <row r="59" spans="1:14" s="35" customFormat="1" ht="15.75" customHeight="1">
      <c r="A59" s="40">
        <v>15</v>
      </c>
      <c r="B59" s="99" t="s">
        <v>95</v>
      </c>
      <c r="C59" s="100" t="s">
        <v>105</v>
      </c>
      <c r="D59" s="99" t="s">
        <v>140</v>
      </c>
      <c r="E59" s="101">
        <v>56</v>
      </c>
      <c r="F59" s="102">
        <f>E59*6/100</f>
        <v>3.36</v>
      </c>
      <c r="G59" s="98">
        <v>1547.28</v>
      </c>
      <c r="H59" s="103">
        <f>F59*G59/1000</f>
        <v>5.1988607999999994</v>
      </c>
      <c r="I59" s="12">
        <f>F59/6*G59</f>
        <v>866.47679999999991</v>
      </c>
      <c r="J59" s="64"/>
      <c r="L59" s="19"/>
      <c r="M59" s="20"/>
      <c r="N59" s="28"/>
    </row>
    <row r="60" spans="1:14" s="35" customFormat="1" ht="15.75" hidden="1" customHeight="1">
      <c r="A60" s="40"/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73" t="s">
        <v>43</v>
      </c>
      <c r="C61" s="73"/>
      <c r="D61" s="73"/>
      <c r="E61" s="73"/>
      <c r="F61" s="73"/>
      <c r="G61" s="73"/>
      <c r="H61" s="73"/>
      <c r="I61" s="33"/>
      <c r="J61" s="64"/>
      <c r="L61" s="19"/>
      <c r="M61" s="20"/>
      <c r="N61" s="28"/>
    </row>
    <row r="62" spans="1:14" s="35" customFormat="1" ht="15.75" customHeight="1">
      <c r="A62" s="40">
        <v>16</v>
      </c>
      <c r="B62" s="99" t="s">
        <v>96</v>
      </c>
      <c r="C62" s="100" t="s">
        <v>25</v>
      </c>
      <c r="D62" s="99" t="s">
        <v>147</v>
      </c>
      <c r="E62" s="101">
        <v>200</v>
      </c>
      <c r="F62" s="102">
        <f>E62*12</f>
        <v>2400</v>
      </c>
      <c r="G62" s="105">
        <v>1.2</v>
      </c>
      <c r="H62" s="103">
        <f>G62*F62/1000</f>
        <v>2.88</v>
      </c>
      <c r="I62" s="12">
        <f>F62/12*G62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hidden="1" customHeight="1">
      <c r="A64" s="40"/>
      <c r="B64" s="73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hidden="1" customHeight="1">
      <c r="A65" s="40">
        <v>18</v>
      </c>
      <c r="B65" s="14" t="s">
        <v>46</v>
      </c>
      <c r="C65" s="16" t="s">
        <v>124</v>
      </c>
      <c r="D65" s="14" t="s">
        <v>67</v>
      </c>
      <c r="E65" s="18">
        <v>10</v>
      </c>
      <c r="F65" s="91">
        <v>10</v>
      </c>
      <c r="G65" s="12">
        <v>222.4</v>
      </c>
      <c r="H65" s="81">
        <f t="shared" ref="H65:H72" si="7">SUM(F65*G65/1000)</f>
        <v>2.2240000000000002</v>
      </c>
      <c r="I65" s="12">
        <f>G65*2</f>
        <v>444.8</v>
      </c>
      <c r="J65" s="64"/>
      <c r="L65" s="19"/>
      <c r="M65" s="20"/>
      <c r="N65" s="28"/>
    </row>
    <row r="66" spans="1:22" s="35" customFormat="1" ht="15.75" hidden="1" customHeight="1">
      <c r="A66" s="26">
        <v>29</v>
      </c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7"/>
        <v>0.61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8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7"/>
        <v>49.360940499999998</v>
      </c>
      <c r="I67" s="12">
        <v>0</v>
      </c>
      <c r="J67" s="64"/>
      <c r="L67" s="19"/>
      <c r="M67" s="20"/>
      <c r="N67" s="28"/>
    </row>
    <row r="68" spans="1:22" s="35" customFormat="1" ht="15.75" hidden="1" customHeight="1">
      <c r="A68" s="26">
        <v>9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7"/>
        <v>3.8439410700000005</v>
      </c>
      <c r="I68" s="12">
        <v>0</v>
      </c>
      <c r="J68" s="64"/>
      <c r="L68" s="19"/>
      <c r="M68" s="20"/>
      <c r="N68" s="28"/>
    </row>
    <row r="69" spans="1:22" s="35" customFormat="1" ht="15.75" hidden="1" customHeight="1">
      <c r="A69" s="26">
        <v>10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7"/>
        <v>65.247113499999998</v>
      </c>
      <c r="I69" s="12">
        <v>0</v>
      </c>
      <c r="J69" s="64"/>
      <c r="L69" s="19"/>
    </row>
    <row r="70" spans="1:22" s="35" customFormat="1" ht="15.75" hidden="1" customHeight="1">
      <c r="A70" s="26">
        <v>11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7"/>
        <v>0.88156220000000007</v>
      </c>
      <c r="I70" s="12">
        <v>0</v>
      </c>
    </row>
    <row r="71" spans="1:22" s="35" customFormat="1" ht="15.75" hidden="1" customHeight="1">
      <c r="A71" s="26">
        <v>12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7"/>
        <v>0.82247460000000006</v>
      </c>
      <c r="I71" s="12">
        <v>0</v>
      </c>
    </row>
    <row r="72" spans="1:22" s="35" customFormat="1" ht="18" hidden="1" customHeight="1">
      <c r="A72" s="26">
        <v>13</v>
      </c>
      <c r="B72" s="14" t="s">
        <v>57</v>
      </c>
      <c r="C72" s="16" t="s">
        <v>58</v>
      </c>
      <c r="D72" s="14" t="s">
        <v>53</v>
      </c>
      <c r="E72" s="18">
        <v>5</v>
      </c>
      <c r="F72" s="91">
        <f>SUM(E72)</f>
        <v>5</v>
      </c>
      <c r="G72" s="12">
        <v>49.88</v>
      </c>
      <c r="H72" s="81">
        <f t="shared" si="7"/>
        <v>0.24940000000000001</v>
      </c>
      <c r="I72" s="12">
        <v>0</v>
      </c>
    </row>
    <row r="73" spans="1:22" s="35" customFormat="1" ht="13.5" hidden="1" customHeight="1">
      <c r="A73" s="52"/>
      <c r="B73" s="73" t="s">
        <v>128</v>
      </c>
      <c r="C73" s="73"/>
      <c r="D73" s="73"/>
      <c r="E73" s="73"/>
      <c r="F73" s="73"/>
      <c r="G73" s="73"/>
      <c r="H73" s="73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15.75" hidden="1" customHeight="1">
      <c r="A74" s="26">
        <v>15</v>
      </c>
      <c r="B74" s="88" t="s">
        <v>129</v>
      </c>
      <c r="C74" s="16"/>
      <c r="D74" s="14"/>
      <c r="E74" s="77"/>
      <c r="F74" s="12">
        <v>1</v>
      </c>
      <c r="G74" s="12">
        <v>27750</v>
      </c>
      <c r="H74" s="81">
        <f>G74*F74/1000</f>
        <v>27.75</v>
      </c>
      <c r="I74" s="12">
        <v>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6.5" hidden="1" customHeight="1">
      <c r="A75" s="26"/>
      <c r="B75" s="48" t="s">
        <v>72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21.75" hidden="1" customHeight="1">
      <c r="A76" s="26">
        <v>1</v>
      </c>
      <c r="B76" s="14" t="s">
        <v>73</v>
      </c>
      <c r="C76" s="16" t="s">
        <v>31</v>
      </c>
      <c r="D76" s="14"/>
      <c r="E76" s="18">
        <v>10</v>
      </c>
      <c r="F76" s="76">
        <v>1</v>
      </c>
      <c r="G76" s="12">
        <v>501.62</v>
      </c>
      <c r="H76" s="81">
        <f>F76*G76/1000</f>
        <v>0.50161999999999995</v>
      </c>
      <c r="I76" s="12">
        <f>G76*0.2</f>
        <v>100.32400000000001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0.25" hidden="1" customHeight="1">
      <c r="A77" s="26"/>
      <c r="B77" s="14" t="s">
        <v>88</v>
      </c>
      <c r="C77" s="16" t="s">
        <v>30</v>
      </c>
      <c r="D77" s="14"/>
      <c r="E77" s="18">
        <v>1</v>
      </c>
      <c r="F77" s="91">
        <v>1</v>
      </c>
      <c r="G77" s="12">
        <v>358.51</v>
      </c>
      <c r="H77" s="81">
        <f>F77*G77/1000</f>
        <v>0.35851</v>
      </c>
      <c r="I77" s="12">
        <v>0</v>
      </c>
      <c r="J77" s="56"/>
      <c r="K77" s="56"/>
      <c r="L77" s="56"/>
      <c r="M77" s="56"/>
      <c r="N77" s="56"/>
      <c r="O77" s="56"/>
      <c r="P77" s="56"/>
      <c r="Q77" s="56"/>
      <c r="R77" s="172"/>
      <c r="S77" s="172"/>
      <c r="T77" s="172"/>
      <c r="U77" s="172"/>
    </row>
    <row r="78" spans="1:22" s="35" customFormat="1" ht="18" hidden="1" customHeight="1">
      <c r="A78" s="26"/>
      <c r="B78" s="14" t="s">
        <v>74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81">
        <f>F78*G78/1000</f>
        <v>0.85299000000000003</v>
      </c>
      <c r="I78" s="12">
        <v>0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2" s="35" customFormat="1" ht="16.5" hidden="1" customHeight="1">
      <c r="A79" s="26"/>
      <c r="B79" s="49" t="s">
        <v>75</v>
      </c>
      <c r="C79" s="37"/>
      <c r="D79" s="26"/>
      <c r="E79" s="18"/>
      <c r="F79" s="18"/>
      <c r="G79" s="34" t="s">
        <v>141</v>
      </c>
      <c r="H79" s="34"/>
      <c r="I79" s="18"/>
    </row>
    <row r="80" spans="1:22" s="35" customFormat="1" ht="15" hidden="1" customHeight="1">
      <c r="A80" s="26">
        <v>39</v>
      </c>
      <c r="B80" s="51" t="s">
        <v>130</v>
      </c>
      <c r="C80" s="16" t="s">
        <v>76</v>
      </c>
      <c r="D80" s="14"/>
      <c r="E80" s="18"/>
      <c r="F80" s="12">
        <v>1.35</v>
      </c>
      <c r="G80" s="12">
        <v>2759.44</v>
      </c>
      <c r="H80" s="81">
        <f t="shared" ref="H80" si="8">SUM(F80*G80/1000)</f>
        <v>3.725244</v>
      </c>
      <c r="I80" s="12">
        <v>0</v>
      </c>
    </row>
    <row r="81" spans="1:9" s="35" customFormat="1" ht="15.75" customHeight="1">
      <c r="A81" s="186" t="s">
        <v>151</v>
      </c>
      <c r="B81" s="187"/>
      <c r="C81" s="187"/>
      <c r="D81" s="187"/>
      <c r="E81" s="187"/>
      <c r="F81" s="187"/>
      <c r="G81" s="187"/>
      <c r="H81" s="187"/>
      <c r="I81" s="188"/>
    </row>
    <row r="82" spans="1:9" s="35" customFormat="1" ht="15.75" customHeight="1">
      <c r="A82" s="26">
        <v>17</v>
      </c>
      <c r="B82" s="88" t="s">
        <v>131</v>
      </c>
      <c r="C82" s="16" t="s">
        <v>54</v>
      </c>
      <c r="D82" s="109" t="s">
        <v>55</v>
      </c>
      <c r="E82" s="12">
        <v>5916.3</v>
      </c>
      <c r="F82" s="12">
        <f>SUM(E82*12)</f>
        <v>70995.600000000006</v>
      </c>
      <c r="G82" s="12">
        <v>2.1</v>
      </c>
      <c r="H82" s="81">
        <f>SUM(F82*G82/1000)</f>
        <v>149.09076000000002</v>
      </c>
      <c r="I82" s="12">
        <f>F82/12*G82</f>
        <v>12424.230000000001</v>
      </c>
    </row>
    <row r="83" spans="1:9" s="35" customFormat="1" ht="31.5" customHeight="1">
      <c r="A83" s="26">
        <v>18</v>
      </c>
      <c r="B83" s="14" t="s">
        <v>77</v>
      </c>
      <c r="C83" s="16"/>
      <c r="D83" s="109" t="s">
        <v>55</v>
      </c>
      <c r="E83" s="90">
        <v>5916.3</v>
      </c>
      <c r="F83" s="12">
        <f>E83*12</f>
        <v>70995.600000000006</v>
      </c>
      <c r="G83" s="12">
        <v>1.63</v>
      </c>
      <c r="H83" s="81">
        <f>F83*G83/1000</f>
        <v>115.72282800000001</v>
      </c>
      <c r="I83" s="12">
        <f>F83/12*G83</f>
        <v>9643.5689999999995</v>
      </c>
    </row>
    <row r="84" spans="1:9" s="35" customFormat="1" ht="15.75" customHeight="1">
      <c r="A84" s="52"/>
      <c r="B84" s="38" t="s">
        <v>80</v>
      </c>
      <c r="C84" s="40"/>
      <c r="D84" s="15"/>
      <c r="E84" s="15"/>
      <c r="F84" s="15"/>
      <c r="G84" s="18"/>
      <c r="H84" s="18"/>
      <c r="I84" s="29">
        <f>I83+I82+I62+I59+I55+I51+I45+I44+I43+I42+I41+I40+I39+I28+I27+I18+I17+I16</f>
        <v>97327.082680000007</v>
      </c>
    </row>
    <row r="85" spans="1:9" s="35" customFormat="1" ht="15.75" customHeight="1">
      <c r="A85" s="189" t="s">
        <v>60</v>
      </c>
      <c r="B85" s="190"/>
      <c r="C85" s="190"/>
      <c r="D85" s="190"/>
      <c r="E85" s="190"/>
      <c r="F85" s="190"/>
      <c r="G85" s="190"/>
      <c r="H85" s="190"/>
      <c r="I85" s="191"/>
    </row>
    <row r="86" spans="1:9" s="35" customFormat="1" ht="31.5" customHeight="1">
      <c r="A86" s="26">
        <v>19</v>
      </c>
      <c r="B86" s="57" t="s">
        <v>89</v>
      </c>
      <c r="C86" s="59" t="s">
        <v>92</v>
      </c>
      <c r="D86" s="14"/>
      <c r="E86" s="18"/>
      <c r="F86" s="12">
        <v>1</v>
      </c>
      <c r="G86" s="12">
        <v>613.44000000000005</v>
      </c>
      <c r="H86" s="81">
        <f t="shared" ref="H86:H87" si="9">G86*F86/1000</f>
        <v>0.6134400000000001</v>
      </c>
      <c r="I86" s="12">
        <f>G86</f>
        <v>613.44000000000005</v>
      </c>
    </row>
    <row r="87" spans="1:9" s="35" customFormat="1" ht="15.75" customHeight="1">
      <c r="A87" s="26">
        <v>20</v>
      </c>
      <c r="B87" s="57" t="s">
        <v>174</v>
      </c>
      <c r="C87" s="59" t="s">
        <v>175</v>
      </c>
      <c r="D87" s="14"/>
      <c r="E87" s="18"/>
      <c r="F87" s="12">
        <v>60</v>
      </c>
      <c r="G87" s="12">
        <v>134.12</v>
      </c>
      <c r="H87" s="81">
        <f t="shared" si="9"/>
        <v>8.0472000000000001</v>
      </c>
      <c r="I87" s="115">
        <f>G87*(5+15+15+10)</f>
        <v>6035.4000000000005</v>
      </c>
    </row>
    <row r="88" spans="1:9" s="35" customFormat="1" ht="15.75" customHeight="1">
      <c r="A88" s="31">
        <v>21</v>
      </c>
      <c r="B88" s="57" t="s">
        <v>161</v>
      </c>
      <c r="C88" s="59" t="s">
        <v>124</v>
      </c>
      <c r="D88" s="51"/>
      <c r="E88" s="12"/>
      <c r="F88" s="12">
        <v>1</v>
      </c>
      <c r="G88" s="12">
        <v>1126.2</v>
      </c>
      <c r="H88" s="81">
        <f>G88*F88/1000</f>
        <v>1.1262000000000001</v>
      </c>
      <c r="I88" s="12">
        <f>G88</f>
        <v>1126.2</v>
      </c>
    </row>
    <row r="89" spans="1:9" s="35" customFormat="1" ht="15.75" customHeight="1">
      <c r="A89" s="31">
        <v>22</v>
      </c>
      <c r="B89" s="114" t="s">
        <v>176</v>
      </c>
      <c r="C89" s="26" t="s">
        <v>124</v>
      </c>
      <c r="D89" s="116"/>
      <c r="E89" s="18"/>
      <c r="F89" s="117">
        <v>1</v>
      </c>
      <c r="G89" s="12">
        <v>6918.23</v>
      </c>
      <c r="H89" s="81">
        <f t="shared" ref="H89" si="10">G89*F89/1000</f>
        <v>6.9182299999999994</v>
      </c>
      <c r="I89" s="115">
        <f>G89</f>
        <v>6918.23</v>
      </c>
    </row>
    <row r="90" spans="1:9" s="35" customFormat="1" ht="15.75" customHeight="1">
      <c r="A90" s="26"/>
      <c r="B90" s="45" t="s">
        <v>51</v>
      </c>
      <c r="C90" s="41"/>
      <c r="D90" s="53"/>
      <c r="E90" s="41">
        <v>1</v>
      </c>
      <c r="F90" s="41"/>
      <c r="G90" s="41"/>
      <c r="H90" s="41"/>
      <c r="I90" s="29">
        <f>SUM(I86:I89)</f>
        <v>14693.27</v>
      </c>
    </row>
    <row r="91" spans="1:9" s="35" customFormat="1" ht="15.75" customHeight="1">
      <c r="A91" s="26"/>
      <c r="B91" s="51" t="s">
        <v>78</v>
      </c>
      <c r="C91" s="15"/>
      <c r="D91" s="15"/>
      <c r="E91" s="42"/>
      <c r="F91" s="42"/>
      <c r="G91" s="43"/>
      <c r="H91" s="43"/>
      <c r="I91" s="17">
        <v>0</v>
      </c>
    </row>
    <row r="92" spans="1:9" s="35" customFormat="1" ht="15.75" customHeight="1">
      <c r="A92" s="54"/>
      <c r="B92" s="46" t="s">
        <v>184</v>
      </c>
      <c r="C92" s="32"/>
      <c r="D92" s="32"/>
      <c r="E92" s="32"/>
      <c r="F92" s="32"/>
      <c r="G92" s="32"/>
      <c r="H92" s="32"/>
      <c r="I92" s="44">
        <f>I84+I90</f>
        <v>112020.35268000001</v>
      </c>
    </row>
    <row r="93" spans="1:9" ht="15.75" customHeight="1">
      <c r="A93" s="173" t="s">
        <v>276</v>
      </c>
      <c r="B93" s="173"/>
      <c r="C93" s="173"/>
      <c r="D93" s="173"/>
      <c r="E93" s="173"/>
      <c r="F93" s="173"/>
      <c r="G93" s="173"/>
      <c r="H93" s="173"/>
      <c r="I93" s="173"/>
    </row>
    <row r="94" spans="1:9" ht="15.75" customHeight="1">
      <c r="A94" s="75"/>
      <c r="B94" s="197" t="s">
        <v>277</v>
      </c>
      <c r="C94" s="197"/>
      <c r="D94" s="197"/>
      <c r="E94" s="197"/>
      <c r="F94" s="197"/>
      <c r="G94" s="197"/>
      <c r="H94" s="80"/>
      <c r="I94" s="3"/>
    </row>
    <row r="95" spans="1:9" ht="15.75" customHeight="1">
      <c r="A95" s="69"/>
      <c r="B95" s="193" t="s">
        <v>6</v>
      </c>
      <c r="C95" s="193"/>
      <c r="D95" s="193"/>
      <c r="E95" s="193"/>
      <c r="F95" s="193"/>
      <c r="G95" s="193"/>
      <c r="H95" s="21"/>
      <c r="I95" s="5"/>
    </row>
    <row r="96" spans="1:9" ht="15.75" customHeight="1">
      <c r="A96" s="9"/>
      <c r="B96" s="9"/>
      <c r="C96" s="9"/>
      <c r="D96" s="9"/>
      <c r="E96" s="9"/>
      <c r="F96" s="9"/>
      <c r="G96" s="9"/>
      <c r="H96" s="9"/>
      <c r="I96" s="9"/>
    </row>
    <row r="97" spans="1:9" ht="15.75" customHeight="1">
      <c r="A97" s="198" t="s">
        <v>7</v>
      </c>
      <c r="B97" s="198"/>
      <c r="C97" s="198"/>
      <c r="D97" s="198"/>
      <c r="E97" s="198"/>
      <c r="F97" s="198"/>
      <c r="G97" s="198"/>
      <c r="H97" s="198"/>
      <c r="I97" s="198"/>
    </row>
    <row r="98" spans="1:9" ht="15.75" customHeight="1">
      <c r="A98" s="198" t="s">
        <v>8</v>
      </c>
      <c r="B98" s="198"/>
      <c r="C98" s="198"/>
      <c r="D98" s="198"/>
      <c r="E98" s="198"/>
      <c r="F98" s="198"/>
      <c r="G98" s="198"/>
      <c r="H98" s="198"/>
      <c r="I98" s="198"/>
    </row>
    <row r="99" spans="1:9" ht="15.75" customHeight="1">
      <c r="A99" s="199" t="s">
        <v>61</v>
      </c>
      <c r="B99" s="199"/>
      <c r="C99" s="199"/>
      <c r="D99" s="199"/>
      <c r="E99" s="199"/>
      <c r="F99" s="199"/>
      <c r="G99" s="199"/>
      <c r="H99" s="199"/>
      <c r="I99" s="199"/>
    </row>
    <row r="100" spans="1:9" ht="15.75" customHeight="1">
      <c r="A100" s="10"/>
    </row>
    <row r="101" spans="1:9" ht="15.75" customHeight="1">
      <c r="A101" s="180" t="s">
        <v>9</v>
      </c>
      <c r="B101" s="180"/>
      <c r="C101" s="180"/>
      <c r="D101" s="180"/>
      <c r="E101" s="180"/>
      <c r="F101" s="180"/>
      <c r="G101" s="180"/>
      <c r="H101" s="180"/>
      <c r="I101" s="180"/>
    </row>
    <row r="102" spans="1:9" ht="15.75" customHeight="1">
      <c r="A102" s="4"/>
    </row>
    <row r="103" spans="1:9" ht="15.75" customHeight="1">
      <c r="B103" s="74" t="s">
        <v>10</v>
      </c>
      <c r="C103" s="192" t="s">
        <v>90</v>
      </c>
      <c r="D103" s="192"/>
      <c r="E103" s="192"/>
      <c r="F103" s="78"/>
      <c r="I103" s="71"/>
    </row>
    <row r="104" spans="1:9" ht="15.75" customHeight="1">
      <c r="A104" s="69"/>
      <c r="C104" s="193" t="s">
        <v>11</v>
      </c>
      <c r="D104" s="193"/>
      <c r="E104" s="193"/>
      <c r="F104" s="21"/>
      <c r="I104" s="70" t="s">
        <v>12</v>
      </c>
    </row>
    <row r="105" spans="1:9" ht="15.75" customHeight="1">
      <c r="A105" s="22"/>
      <c r="C105" s="11"/>
      <c r="D105" s="11"/>
      <c r="G105" s="11"/>
      <c r="H105" s="11"/>
    </row>
    <row r="106" spans="1:9" ht="15.75" customHeight="1">
      <c r="B106" s="74" t="s">
        <v>13</v>
      </c>
      <c r="C106" s="194"/>
      <c r="D106" s="194"/>
      <c r="E106" s="194"/>
      <c r="F106" s="79"/>
      <c r="I106" s="71"/>
    </row>
    <row r="107" spans="1:9" ht="15.75" customHeight="1">
      <c r="A107" s="69"/>
      <c r="C107" s="195" t="s">
        <v>11</v>
      </c>
      <c r="D107" s="195"/>
      <c r="E107" s="195"/>
      <c r="F107" s="69"/>
      <c r="I107" s="70" t="s">
        <v>12</v>
      </c>
    </row>
    <row r="108" spans="1:9" ht="15.75" customHeight="1">
      <c r="A108" s="4" t="s">
        <v>14</v>
      </c>
    </row>
    <row r="109" spans="1:9">
      <c r="A109" s="196" t="s">
        <v>15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45" customHeight="1">
      <c r="A110" s="185" t="s">
        <v>16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30" customHeight="1">
      <c r="A111" s="185" t="s">
        <v>17</v>
      </c>
      <c r="B111" s="185"/>
      <c r="C111" s="185"/>
      <c r="D111" s="185"/>
      <c r="E111" s="185"/>
      <c r="F111" s="185"/>
      <c r="G111" s="185"/>
      <c r="H111" s="185"/>
      <c r="I111" s="185"/>
    </row>
    <row r="112" spans="1:9" ht="30" customHeight="1">
      <c r="A112" s="185" t="s">
        <v>21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14.25" customHeight="1">
      <c r="A113" s="185" t="s">
        <v>20</v>
      </c>
      <c r="B113" s="185"/>
      <c r="C113" s="185"/>
      <c r="D113" s="185"/>
      <c r="E113" s="185"/>
      <c r="F113" s="185"/>
      <c r="G113" s="185"/>
      <c r="H113" s="185"/>
      <c r="I113" s="185"/>
    </row>
  </sheetData>
  <autoFilter ref="I12:I71"/>
  <mergeCells count="29">
    <mergeCell ref="A111:I111"/>
    <mergeCell ref="A112:I112"/>
    <mergeCell ref="A113:I113"/>
    <mergeCell ref="A81:I81"/>
    <mergeCell ref="A85:I85"/>
    <mergeCell ref="C103:E103"/>
    <mergeCell ref="C104:E104"/>
    <mergeCell ref="C106:E106"/>
    <mergeCell ref="C107:E107"/>
    <mergeCell ref="A109:I109"/>
    <mergeCell ref="A110:I110"/>
    <mergeCell ref="B94:G94"/>
    <mergeCell ref="B95:G95"/>
    <mergeCell ref="A97:I97"/>
    <mergeCell ref="A98:I98"/>
    <mergeCell ref="A99:I99"/>
    <mergeCell ref="A101:I101"/>
    <mergeCell ref="A15:I15"/>
    <mergeCell ref="A29:I29"/>
    <mergeCell ref="A46:I46"/>
    <mergeCell ref="A56:I56"/>
    <mergeCell ref="R77:U77"/>
    <mergeCell ref="A93:I93"/>
    <mergeCell ref="A3:I3"/>
    <mergeCell ref="A4:I4"/>
    <mergeCell ref="A5:I5"/>
    <mergeCell ref="A8:I8"/>
    <mergeCell ref="A10:I10"/>
    <mergeCell ref="A14:I14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view="pageBreakPreview" topLeftCell="A56" zoomScale="60"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4.140625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207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169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236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132"/>
      <c r="C6" s="132"/>
      <c r="D6" s="132"/>
      <c r="E6" s="132"/>
      <c r="F6" s="132"/>
      <c r="G6" s="132"/>
      <c r="H6" s="132"/>
      <c r="I6" s="27">
        <v>43404</v>
      </c>
      <c r="J6" s="2"/>
      <c r="K6" s="2"/>
      <c r="L6" s="2"/>
      <c r="M6" s="2"/>
    </row>
    <row r="7" spans="1:13" ht="15.75" customHeight="1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208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142">
        <v>169.2</v>
      </c>
      <c r="F16" s="136">
        <f>SUM(E16*156/100)</f>
        <v>263.952</v>
      </c>
      <c r="G16" s="136">
        <v>239.2</v>
      </c>
      <c r="H16" s="92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142">
        <v>676.6</v>
      </c>
      <c r="F17" s="136">
        <f>SUM(E17*104/100)</f>
        <v>703.6640000000001</v>
      </c>
      <c r="G17" s="136">
        <v>239.2</v>
      </c>
      <c r="H17" s="92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142">
        <f>SUM(E16+E17)</f>
        <v>845.8</v>
      </c>
      <c r="F18" s="136">
        <f>E18*18/100</f>
        <v>152.244</v>
      </c>
      <c r="G18" s="136">
        <v>688.14</v>
      </c>
      <c r="H18" s="92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88" t="s">
        <v>64</v>
      </c>
      <c r="C27" s="89" t="s">
        <v>33</v>
      </c>
      <c r="D27" s="88"/>
      <c r="E27" s="143">
        <v>0.1</v>
      </c>
      <c r="F27" s="136">
        <f>SUM(E27*155)</f>
        <v>15.5</v>
      </c>
      <c r="G27" s="136">
        <v>275.45</v>
      </c>
      <c r="H27" s="92">
        <f t="shared" ref="H27:H28" si="2">SUM(F27*G27/1000)</f>
        <v>4.269474999999999</v>
      </c>
      <c r="I27" s="12">
        <f>F27/12*G27</f>
        <v>355.78958333333333</v>
      </c>
      <c r="J27" s="63"/>
      <c r="K27" s="62"/>
      <c r="L27" s="62"/>
      <c r="M27" s="62"/>
    </row>
    <row r="28" spans="1:13" s="35" customFormat="1" ht="15.75" customHeight="1">
      <c r="A28" s="26">
        <v>5</v>
      </c>
      <c r="B28" s="96" t="s">
        <v>23</v>
      </c>
      <c r="C28" s="89" t="s">
        <v>24</v>
      </c>
      <c r="D28" s="96"/>
      <c r="E28" s="142">
        <v>5916.3</v>
      </c>
      <c r="F28" s="136">
        <f>SUM(E28*12)</f>
        <v>70995.600000000006</v>
      </c>
      <c r="G28" s="136">
        <v>4.54</v>
      </c>
      <c r="H28" s="92">
        <f t="shared" si="2"/>
        <v>322.32002400000005</v>
      </c>
      <c r="I28" s="12">
        <f>F28/12*G28</f>
        <v>26860.002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customHeight="1">
      <c r="A31" s="40">
        <v>6</v>
      </c>
      <c r="B31" s="88" t="s">
        <v>114</v>
      </c>
      <c r="C31" s="89" t="s">
        <v>115</v>
      </c>
      <c r="D31" s="88" t="s">
        <v>116</v>
      </c>
      <c r="E31" s="136">
        <v>423</v>
      </c>
      <c r="F31" s="136">
        <f>SUM(E31*52/1000)</f>
        <v>21.995999999999999</v>
      </c>
      <c r="G31" s="136">
        <v>212.62</v>
      </c>
      <c r="H31" s="92">
        <f t="shared" ref="H31:H33" si="3">SUM(F31*G31/1000)</f>
        <v>4.6767895200000007</v>
      </c>
      <c r="I31" s="12">
        <f>F31/6*G31</f>
        <v>779.46492000000001</v>
      </c>
      <c r="J31" s="63"/>
      <c r="K31" s="62"/>
      <c r="L31" s="62"/>
      <c r="M31" s="62"/>
    </row>
    <row r="32" spans="1:13" s="35" customFormat="1" ht="31.5" customHeight="1">
      <c r="A32" s="40">
        <v>7</v>
      </c>
      <c r="B32" s="88" t="s">
        <v>145</v>
      </c>
      <c r="C32" s="89" t="s">
        <v>115</v>
      </c>
      <c r="D32" s="88" t="s">
        <v>117</v>
      </c>
      <c r="E32" s="136">
        <v>289.39999999999998</v>
      </c>
      <c r="F32" s="136">
        <f>SUM(E32*52/1000)</f>
        <v>15.0488</v>
      </c>
      <c r="G32" s="136">
        <v>352.77</v>
      </c>
      <c r="H32" s="92">
        <f t="shared" si="3"/>
        <v>5.3087651759999996</v>
      </c>
      <c r="I32" s="12">
        <f t="shared" ref="I32:I35" si="4">F32/6*G32</f>
        <v>884.79419599999994</v>
      </c>
      <c r="J32" s="63"/>
      <c r="K32" s="62"/>
      <c r="L32" s="62"/>
      <c r="M32" s="62"/>
    </row>
    <row r="33" spans="1:14" s="35" customFormat="1" ht="15.75" hidden="1" customHeight="1">
      <c r="A33" s="40">
        <v>16</v>
      </c>
      <c r="B33" s="88" t="s">
        <v>27</v>
      </c>
      <c r="C33" s="89" t="s">
        <v>115</v>
      </c>
      <c r="D33" s="88" t="s">
        <v>53</v>
      </c>
      <c r="E33" s="136">
        <v>423</v>
      </c>
      <c r="F33" s="136">
        <f>SUM(E33/1000)</f>
        <v>0.42299999999999999</v>
      </c>
      <c r="G33" s="136">
        <v>4119.68</v>
      </c>
      <c r="H33" s="92">
        <f t="shared" si="3"/>
        <v>1.7426246400000001</v>
      </c>
      <c r="I33" s="12">
        <f>F33*G33</f>
        <v>1742.62464</v>
      </c>
      <c r="J33" s="63"/>
      <c r="K33" s="62"/>
      <c r="L33" s="62"/>
      <c r="M33" s="62"/>
    </row>
    <row r="34" spans="1:14" s="35" customFormat="1" ht="15.75" customHeight="1">
      <c r="A34" s="40">
        <v>8</v>
      </c>
      <c r="B34" s="88" t="s">
        <v>143</v>
      </c>
      <c r="C34" s="89" t="s">
        <v>39</v>
      </c>
      <c r="D34" s="88" t="s">
        <v>144</v>
      </c>
      <c r="E34" s="136">
        <v>8</v>
      </c>
      <c r="F34" s="136">
        <v>12.4</v>
      </c>
      <c r="G34" s="136">
        <v>1775.94</v>
      </c>
      <c r="H34" s="92">
        <v>16.145</v>
      </c>
      <c r="I34" s="12">
        <f t="shared" si="4"/>
        <v>3670.2760000000003</v>
      </c>
      <c r="J34" s="63"/>
      <c r="K34" s="62"/>
      <c r="L34" s="62"/>
      <c r="M34" s="62"/>
    </row>
    <row r="35" spans="1:14" s="35" customFormat="1" ht="15.75" customHeight="1">
      <c r="A35" s="40">
        <v>9</v>
      </c>
      <c r="B35" s="88" t="s">
        <v>118</v>
      </c>
      <c r="C35" s="89" t="s">
        <v>30</v>
      </c>
      <c r="D35" s="88" t="s">
        <v>63</v>
      </c>
      <c r="E35" s="142">
        <v>0.33333333333333331</v>
      </c>
      <c r="F35" s="136">
        <v>51.666666666666664</v>
      </c>
      <c r="G35" s="136">
        <v>77.33</v>
      </c>
      <c r="H35" s="92">
        <f>SUM(G35*155/3/1000)</f>
        <v>3.9953833333333333</v>
      </c>
      <c r="I35" s="12">
        <f t="shared" si="4"/>
        <v>665.89722222222213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5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5"/>
        <v>2.27264</v>
      </c>
      <c r="I37" s="12">
        <v>0</v>
      </c>
      <c r="J37" s="64"/>
    </row>
    <row r="38" spans="1:14" s="35" customFormat="1" ht="15.75" hidden="1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hidden="1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6">SUM(F39*G39/1000)</f>
        <v>15.272200000000002</v>
      </c>
      <c r="I39" s="12">
        <f t="shared" ref="I39:I45" si="7">F39/6*G39</f>
        <v>2545.3666666666668</v>
      </c>
      <c r="J39" s="64"/>
    </row>
    <row r="40" spans="1:14" s="35" customFormat="1" ht="15.75" hidden="1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6"/>
        <v>15.997417679999998</v>
      </c>
      <c r="I40" s="12">
        <f t="shared" si="7"/>
        <v>2666.2362800000001</v>
      </c>
      <c r="J40" s="64"/>
    </row>
    <row r="41" spans="1:14" s="35" customFormat="1" ht="15.75" hidden="1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6"/>
        <v>18.255728220000002</v>
      </c>
      <c r="I41" s="12">
        <f t="shared" si="7"/>
        <v>3042.6213700000003</v>
      </c>
      <c r="J41" s="64"/>
    </row>
    <row r="42" spans="1:14" s="35" customFormat="1" ht="15.75" hidden="1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6"/>
        <v>15.73359275</v>
      </c>
      <c r="I42" s="12">
        <f t="shared" si="7"/>
        <v>2622.2654583333333</v>
      </c>
      <c r="J42" s="64"/>
    </row>
    <row r="43" spans="1:14" s="35" customFormat="1" ht="47.25" hidden="1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6"/>
        <v>15.04210176</v>
      </c>
      <c r="I43" s="12">
        <f t="shared" si="7"/>
        <v>2507.0169599999999</v>
      </c>
      <c r="J43" s="64"/>
    </row>
    <row r="44" spans="1:14" s="35" customFormat="1" ht="15.75" hidden="1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6"/>
        <v>2.5927775999999998</v>
      </c>
      <c r="I44" s="12">
        <f t="shared" si="7"/>
        <v>432.12959999999998</v>
      </c>
      <c r="J44" s="64"/>
      <c r="L44" s="19"/>
      <c r="M44" s="20"/>
      <c r="N44" s="28"/>
    </row>
    <row r="45" spans="1:14" s="35" customFormat="1" ht="15.75" hidden="1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6"/>
        <v>0.71820000000000006</v>
      </c>
      <c r="I45" s="12">
        <f t="shared" si="7"/>
        <v>119.69999999999999</v>
      </c>
      <c r="J45" s="64"/>
      <c r="L45" s="19"/>
      <c r="M45" s="20"/>
      <c r="N45" s="28"/>
    </row>
    <row r="46" spans="1:14" s="35" customFormat="1" ht="15.75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hidden="1" customHeight="1">
      <c r="A47" s="40">
        <v>10</v>
      </c>
      <c r="B47" s="88" t="s">
        <v>121</v>
      </c>
      <c r="C47" s="89" t="s">
        <v>115</v>
      </c>
      <c r="D47" s="88" t="s">
        <v>41</v>
      </c>
      <c r="E47" s="90">
        <v>1662.5</v>
      </c>
      <c r="F47" s="136">
        <f>SUM(E47*2/1000)</f>
        <v>3.3250000000000002</v>
      </c>
      <c r="G47" s="122">
        <v>1158.7</v>
      </c>
      <c r="H47" s="92">
        <f t="shared" ref="H47:H55" si="8">SUM(F47*G47/1000)</f>
        <v>3.8526775000000004</v>
      </c>
      <c r="I47" s="12">
        <f t="shared" ref="I47:I49" si="9">F47/2*G47</f>
        <v>1926.3387500000001</v>
      </c>
      <c r="J47" s="64"/>
      <c r="L47" s="19"/>
      <c r="M47" s="20"/>
      <c r="N47" s="28"/>
    </row>
    <row r="48" spans="1:14" s="35" customFormat="1" ht="15.75" hidden="1" customHeight="1">
      <c r="A48" s="40">
        <v>11</v>
      </c>
      <c r="B48" s="88" t="s">
        <v>34</v>
      </c>
      <c r="C48" s="89" t="s">
        <v>115</v>
      </c>
      <c r="D48" s="88" t="s">
        <v>41</v>
      </c>
      <c r="E48" s="90">
        <v>92.8</v>
      </c>
      <c r="F48" s="136">
        <f>SUM(E48*2/1000)</f>
        <v>0.18559999999999999</v>
      </c>
      <c r="G48" s="122">
        <v>790.38</v>
      </c>
      <c r="H48" s="92">
        <f t="shared" si="8"/>
        <v>0.14669452799999999</v>
      </c>
      <c r="I48" s="12">
        <f t="shared" si="9"/>
        <v>73.347263999999996</v>
      </c>
      <c r="J48" s="64"/>
      <c r="L48" s="19"/>
      <c r="M48" s="20"/>
      <c r="N48" s="28"/>
    </row>
    <row r="49" spans="1:14" s="35" customFormat="1" ht="15.75" hidden="1" customHeight="1">
      <c r="A49" s="40">
        <v>12</v>
      </c>
      <c r="B49" s="88" t="s">
        <v>35</v>
      </c>
      <c r="C49" s="89" t="s">
        <v>115</v>
      </c>
      <c r="D49" s="88" t="s">
        <v>41</v>
      </c>
      <c r="E49" s="90">
        <v>4750.7</v>
      </c>
      <c r="F49" s="136">
        <f>SUM(E49*2/1000)</f>
        <v>9.5014000000000003</v>
      </c>
      <c r="G49" s="122">
        <v>790.38</v>
      </c>
      <c r="H49" s="92">
        <f t="shared" si="8"/>
        <v>7.5097165320000006</v>
      </c>
      <c r="I49" s="12">
        <f t="shared" si="9"/>
        <v>3754.8582660000002</v>
      </c>
      <c r="J49" s="64"/>
      <c r="L49" s="19"/>
      <c r="M49" s="20"/>
      <c r="N49" s="28"/>
    </row>
    <row r="50" spans="1:14" s="35" customFormat="1" ht="15.75" hidden="1" customHeight="1">
      <c r="A50" s="40">
        <v>13</v>
      </c>
      <c r="B50" s="88" t="s">
        <v>36</v>
      </c>
      <c r="C50" s="89" t="s">
        <v>115</v>
      </c>
      <c r="D50" s="88" t="s">
        <v>41</v>
      </c>
      <c r="E50" s="90">
        <v>2840.99</v>
      </c>
      <c r="F50" s="136">
        <f>SUM(E50*2/1000)</f>
        <v>5.6819799999999994</v>
      </c>
      <c r="G50" s="122">
        <v>827.65</v>
      </c>
      <c r="H50" s="92">
        <f t="shared" si="8"/>
        <v>4.7026907469999992</v>
      </c>
      <c r="I50" s="12">
        <f>F50/2*G50</f>
        <v>2351.3453734999998</v>
      </c>
      <c r="J50" s="64"/>
      <c r="L50" s="19"/>
      <c r="M50" s="20"/>
      <c r="N50" s="28"/>
    </row>
    <row r="51" spans="1:14" s="35" customFormat="1" ht="15.75" hidden="1" customHeight="1">
      <c r="A51" s="40">
        <v>14</v>
      </c>
      <c r="B51" s="88" t="s">
        <v>56</v>
      </c>
      <c r="C51" s="89" t="s">
        <v>115</v>
      </c>
      <c r="D51" s="88" t="s">
        <v>146</v>
      </c>
      <c r="E51" s="90">
        <v>1652.5</v>
      </c>
      <c r="F51" s="136">
        <f>SUM(E51*5/1000)</f>
        <v>8.2624999999999993</v>
      </c>
      <c r="G51" s="122">
        <v>1655.27</v>
      </c>
      <c r="H51" s="92">
        <f t="shared" si="8"/>
        <v>13.676668374999998</v>
      </c>
      <c r="I51" s="12">
        <f>F51/5*G51</f>
        <v>2735.3336749999999</v>
      </c>
      <c r="J51" s="64"/>
      <c r="L51" s="19"/>
      <c r="M51" s="20"/>
      <c r="N51" s="28"/>
    </row>
    <row r="52" spans="1:14" s="35" customFormat="1" ht="31.5" customHeight="1">
      <c r="A52" s="40">
        <v>10</v>
      </c>
      <c r="B52" s="88" t="s">
        <v>122</v>
      </c>
      <c r="C52" s="89" t="s">
        <v>115</v>
      </c>
      <c r="D52" s="88" t="s">
        <v>41</v>
      </c>
      <c r="E52" s="142">
        <v>1652.5</v>
      </c>
      <c r="F52" s="136">
        <f>SUM(E52*2/1000)</f>
        <v>3.3050000000000002</v>
      </c>
      <c r="G52" s="122">
        <v>1655.27</v>
      </c>
      <c r="H52" s="92">
        <f t="shared" si="8"/>
        <v>5.4706673500000003</v>
      </c>
      <c r="I52" s="12">
        <f>F52/2*G52</f>
        <v>2735.3336750000003</v>
      </c>
      <c r="J52" s="64"/>
      <c r="L52" s="19"/>
      <c r="M52" s="20"/>
      <c r="N52" s="28"/>
    </row>
    <row r="53" spans="1:14" s="35" customFormat="1" ht="31.5" customHeight="1">
      <c r="A53" s="40">
        <v>11</v>
      </c>
      <c r="B53" s="88" t="s">
        <v>123</v>
      </c>
      <c r="C53" s="89" t="s">
        <v>37</v>
      </c>
      <c r="D53" s="88" t="s">
        <v>41</v>
      </c>
      <c r="E53" s="142">
        <v>25</v>
      </c>
      <c r="F53" s="136">
        <f>SUM(E53*2/100)</f>
        <v>0.5</v>
      </c>
      <c r="G53" s="122">
        <v>3724.37</v>
      </c>
      <c r="H53" s="92">
        <f t="shared" si="8"/>
        <v>1.862185</v>
      </c>
      <c r="I53" s="12">
        <f t="shared" ref="I53:I54" si="10">F53/2*G53</f>
        <v>931.09249999999997</v>
      </c>
      <c r="J53" s="64"/>
      <c r="L53" s="19"/>
      <c r="M53" s="20"/>
      <c r="N53" s="28"/>
    </row>
    <row r="54" spans="1:14" s="35" customFormat="1" ht="15.75" customHeight="1">
      <c r="A54" s="40">
        <v>12</v>
      </c>
      <c r="B54" s="88" t="s">
        <v>38</v>
      </c>
      <c r="C54" s="89" t="s">
        <v>39</v>
      </c>
      <c r="D54" s="88" t="s">
        <v>41</v>
      </c>
      <c r="E54" s="142">
        <v>1</v>
      </c>
      <c r="F54" s="136">
        <v>0.02</v>
      </c>
      <c r="G54" s="122">
        <v>7709.44</v>
      </c>
      <c r="H54" s="92">
        <f t="shared" si="8"/>
        <v>0.15418879999999999</v>
      </c>
      <c r="I54" s="12">
        <f t="shared" si="10"/>
        <v>77.094399999999993</v>
      </c>
      <c r="J54" s="64"/>
      <c r="L54" s="19"/>
      <c r="M54" s="20"/>
      <c r="N54" s="28"/>
    </row>
    <row r="55" spans="1:14" s="35" customFormat="1" ht="15.75" customHeight="1">
      <c r="A55" s="40">
        <v>13</v>
      </c>
      <c r="B55" s="88" t="s">
        <v>40</v>
      </c>
      <c r="C55" s="89" t="s">
        <v>124</v>
      </c>
      <c r="D55" s="88" t="s">
        <v>71</v>
      </c>
      <c r="E55" s="142">
        <v>198</v>
      </c>
      <c r="F55" s="136">
        <f>SUM(E55)*3</f>
        <v>594</v>
      </c>
      <c r="G55" s="144">
        <v>89.59</v>
      </c>
      <c r="H55" s="92">
        <f t="shared" si="8"/>
        <v>53.216459999999998</v>
      </c>
      <c r="I55" s="12">
        <f>E55*G55</f>
        <v>17738.82</v>
      </c>
      <c r="J55" s="64"/>
      <c r="L55" s="19"/>
      <c r="M55" s="20"/>
      <c r="N55" s="28"/>
    </row>
    <row r="56" spans="1:14" s="35" customFormat="1" ht="15.75" customHeight="1">
      <c r="A56" s="182" t="s">
        <v>150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hidden="1" customHeight="1">
      <c r="A57" s="131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hidden="1" customHeight="1">
      <c r="A58" s="40">
        <v>16</v>
      </c>
      <c r="B58" s="88" t="s">
        <v>139</v>
      </c>
      <c r="C58" s="89" t="s">
        <v>105</v>
      </c>
      <c r="D58" s="88" t="s">
        <v>140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F58/6*G58</f>
        <v>2572.3529999999996</v>
      </c>
      <c r="J58" s="64"/>
      <c r="L58" s="19"/>
      <c r="M58" s="20"/>
      <c r="N58" s="28"/>
    </row>
    <row r="59" spans="1:14" s="35" customFormat="1" ht="15.75" hidden="1" customHeight="1">
      <c r="A59" s="40">
        <v>17</v>
      </c>
      <c r="B59" s="99" t="s">
        <v>95</v>
      </c>
      <c r="C59" s="100" t="s">
        <v>105</v>
      </c>
      <c r="D59" s="99" t="s">
        <v>140</v>
      </c>
      <c r="E59" s="101">
        <v>56</v>
      </c>
      <c r="F59" s="102">
        <f>E59*6/100</f>
        <v>3.36</v>
      </c>
      <c r="G59" s="98">
        <v>1547.28</v>
      </c>
      <c r="H59" s="103">
        <f>F59*G59/1000</f>
        <v>5.1988607999999994</v>
      </c>
      <c r="I59" s="12">
        <f>F59/6*G59</f>
        <v>866.47679999999991</v>
      </c>
      <c r="J59" s="64"/>
      <c r="L59" s="19"/>
      <c r="M59" s="20"/>
      <c r="N59" s="28"/>
    </row>
    <row r="60" spans="1:14" s="35" customFormat="1" ht="15.75" hidden="1" customHeight="1">
      <c r="A60" s="40"/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133" t="s">
        <v>43</v>
      </c>
      <c r="C61" s="133"/>
      <c r="D61" s="133"/>
      <c r="E61" s="133"/>
      <c r="F61" s="133"/>
      <c r="G61" s="133"/>
      <c r="H61" s="133"/>
      <c r="I61" s="33"/>
      <c r="J61" s="64"/>
      <c r="L61" s="19"/>
      <c r="M61" s="20"/>
      <c r="N61" s="28"/>
    </row>
    <row r="62" spans="1:14" s="35" customFormat="1" ht="15.75" customHeight="1">
      <c r="A62" s="40">
        <v>14</v>
      </c>
      <c r="B62" s="99" t="s">
        <v>96</v>
      </c>
      <c r="C62" s="100" t="s">
        <v>25</v>
      </c>
      <c r="D62" s="99" t="s">
        <v>147</v>
      </c>
      <c r="E62" s="101">
        <v>330.5</v>
      </c>
      <c r="F62" s="137">
        <v>2400</v>
      </c>
      <c r="G62" s="138">
        <v>1.2</v>
      </c>
      <c r="H62" s="103">
        <f>G62*F62/1000</f>
        <v>2.88</v>
      </c>
      <c r="I62" s="12">
        <f>F62/12*G62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hidden="1" customHeight="1">
      <c r="A64" s="40"/>
      <c r="B64" s="133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hidden="1" customHeight="1">
      <c r="A65" s="40">
        <v>16</v>
      </c>
      <c r="B65" s="14" t="s">
        <v>46</v>
      </c>
      <c r="C65" s="16" t="s">
        <v>124</v>
      </c>
      <c r="D65" s="14" t="s">
        <v>67</v>
      </c>
      <c r="E65" s="18">
        <v>10</v>
      </c>
      <c r="F65" s="91">
        <v>10</v>
      </c>
      <c r="G65" s="12">
        <v>222.4</v>
      </c>
      <c r="H65" s="81">
        <f t="shared" ref="H65:H72" si="11">SUM(F65*G65/1000)</f>
        <v>2.2240000000000002</v>
      </c>
      <c r="I65" s="12">
        <f>G65*8</f>
        <v>1779.2</v>
      </c>
      <c r="J65" s="64"/>
      <c r="L65" s="19"/>
      <c r="M65" s="20"/>
      <c r="N65" s="28"/>
    </row>
    <row r="66" spans="1:22" s="35" customFormat="1" ht="15.75" hidden="1" customHeight="1"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11"/>
        <v>0.61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25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11"/>
        <v>49.360940499999998</v>
      </c>
      <c r="I67" s="12">
        <f>F67*G67</f>
        <v>49360.940499999997</v>
      </c>
      <c r="J67" s="64"/>
      <c r="L67" s="19"/>
      <c r="M67" s="20"/>
      <c r="N67" s="28"/>
    </row>
    <row r="68" spans="1:22" s="35" customFormat="1" ht="15.75" hidden="1" customHeight="1">
      <c r="A68" s="26">
        <v>26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11"/>
        <v>3.8439410700000005</v>
      </c>
      <c r="I68" s="12">
        <f t="shared" ref="I68:I71" si="12">F68*G68</f>
        <v>3843.9410700000003</v>
      </c>
      <c r="J68" s="64"/>
      <c r="L68" s="19"/>
      <c r="M68" s="20"/>
      <c r="N68" s="28"/>
    </row>
    <row r="69" spans="1:22" s="35" customFormat="1" ht="15.75" hidden="1" customHeight="1">
      <c r="A69" s="26">
        <v>27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11"/>
        <v>65.247113499999998</v>
      </c>
      <c r="I69" s="12">
        <f t="shared" si="12"/>
        <v>65247.113499999999</v>
      </c>
      <c r="J69" s="64"/>
      <c r="L69" s="19"/>
    </row>
    <row r="70" spans="1:22" s="35" customFormat="1" ht="15.75" hidden="1" customHeight="1">
      <c r="A70" s="26">
        <v>28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11"/>
        <v>0.88156220000000007</v>
      </c>
      <c r="I70" s="12">
        <f t="shared" si="12"/>
        <v>881.56220000000008</v>
      </c>
    </row>
    <row r="71" spans="1:22" s="35" customFormat="1" ht="15.75" hidden="1" customHeight="1">
      <c r="A71" s="26">
        <v>29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11"/>
        <v>0.82247460000000006</v>
      </c>
      <c r="I71" s="12">
        <f t="shared" si="12"/>
        <v>822.47460000000001</v>
      </c>
    </row>
    <row r="72" spans="1:22" s="35" customFormat="1" ht="15.75" hidden="1" customHeight="1">
      <c r="A72" s="26">
        <v>16</v>
      </c>
      <c r="B72" s="14" t="s">
        <v>57</v>
      </c>
      <c r="C72" s="16" t="s">
        <v>58</v>
      </c>
      <c r="D72" s="14" t="s">
        <v>53</v>
      </c>
      <c r="E72" s="18">
        <v>5</v>
      </c>
      <c r="F72" s="136">
        <f>SUM(E72)</f>
        <v>5</v>
      </c>
      <c r="G72" s="122">
        <v>68.040000000000006</v>
      </c>
      <c r="H72" s="81">
        <f t="shared" si="11"/>
        <v>0.34020000000000006</v>
      </c>
      <c r="I72" s="12">
        <f>F72*G72</f>
        <v>340.20000000000005</v>
      </c>
    </row>
    <row r="73" spans="1:22" s="35" customFormat="1" ht="15.75" hidden="1" customHeight="1">
      <c r="A73" s="131"/>
      <c r="B73" s="133" t="s">
        <v>128</v>
      </c>
      <c r="C73" s="133"/>
      <c r="D73" s="133"/>
      <c r="E73" s="133"/>
      <c r="F73" s="133"/>
      <c r="G73" s="133"/>
      <c r="H73" s="133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15.75" hidden="1" customHeight="1">
      <c r="A74" s="124">
        <v>18</v>
      </c>
      <c r="B74" s="99" t="s">
        <v>129</v>
      </c>
      <c r="C74" s="16"/>
      <c r="D74" s="14"/>
      <c r="E74" s="77"/>
      <c r="F74" s="12">
        <v>1</v>
      </c>
      <c r="G74" s="12">
        <v>27750</v>
      </c>
      <c r="H74" s="81">
        <f>G74*F74/1000</f>
        <v>27.75</v>
      </c>
      <c r="I74" s="12">
        <f>G74</f>
        <v>27750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8" customHeight="1">
      <c r="A75" s="26"/>
      <c r="B75" s="145" t="s">
        <v>224</v>
      </c>
      <c r="C75" s="140"/>
      <c r="D75" s="14"/>
      <c r="E75" s="77"/>
      <c r="F75" s="12"/>
      <c r="G75" s="12"/>
      <c r="H75" s="81"/>
      <c r="I75" s="12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31.5" customHeight="1">
      <c r="A76" s="26">
        <v>15</v>
      </c>
      <c r="B76" s="36" t="s">
        <v>225</v>
      </c>
      <c r="C76" s="40" t="s">
        <v>226</v>
      </c>
      <c r="D76" s="14"/>
      <c r="E76" s="18"/>
      <c r="F76" s="34">
        <v>70995.600000000006</v>
      </c>
      <c r="G76" s="34">
        <v>2.37</v>
      </c>
      <c r="H76" s="81"/>
      <c r="I76" s="12">
        <f>G76*F76/12</f>
        <v>14021.631000000001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4.75" customHeight="1">
      <c r="A77" s="26"/>
      <c r="B77" s="48" t="s">
        <v>72</v>
      </c>
      <c r="C77" s="48"/>
      <c r="D77" s="48"/>
      <c r="E77" s="18"/>
      <c r="F77" s="18"/>
      <c r="G77" s="26"/>
      <c r="H77" s="26"/>
      <c r="I77" s="18"/>
      <c r="J77" s="56"/>
      <c r="K77" s="56"/>
      <c r="L77" s="56"/>
      <c r="M77" s="56"/>
      <c r="N77" s="56"/>
      <c r="O77" s="56"/>
      <c r="P77" s="56"/>
      <c r="Q77" s="56"/>
      <c r="R77" s="172"/>
      <c r="S77" s="172"/>
      <c r="T77" s="172"/>
      <c r="U77" s="172"/>
    </row>
    <row r="78" spans="1:22" s="35" customFormat="1" ht="20.25" hidden="1" customHeight="1">
      <c r="A78" s="26">
        <v>12</v>
      </c>
      <c r="B78" s="14" t="s">
        <v>73</v>
      </c>
      <c r="C78" s="16" t="s">
        <v>31</v>
      </c>
      <c r="D78" s="14"/>
      <c r="E78" s="18">
        <v>10</v>
      </c>
      <c r="F78" s="76">
        <v>1</v>
      </c>
      <c r="G78" s="12">
        <v>501.62</v>
      </c>
      <c r="H78" s="81">
        <f>F78*G78/1000</f>
        <v>0.50161999999999995</v>
      </c>
      <c r="I78" s="12">
        <f>G78*0.1</f>
        <v>50.162000000000006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2" s="35" customFormat="1" ht="17.25" hidden="1" customHeight="1">
      <c r="A79" s="26">
        <v>20</v>
      </c>
      <c r="B79" s="14" t="s">
        <v>88</v>
      </c>
      <c r="C79" s="16" t="s">
        <v>30</v>
      </c>
      <c r="D79" s="14"/>
      <c r="E79" s="18">
        <v>1</v>
      </c>
      <c r="F79" s="91">
        <v>1</v>
      </c>
      <c r="G79" s="12">
        <v>358.51</v>
      </c>
      <c r="H79" s="81">
        <f>F79*G79/1000</f>
        <v>0.35851</v>
      </c>
      <c r="I79" s="12">
        <f>G79</f>
        <v>358.51</v>
      </c>
    </row>
    <row r="80" spans="1:22" s="35" customFormat="1" ht="16.5" hidden="1" customHeight="1">
      <c r="A80" s="26">
        <v>18</v>
      </c>
      <c r="B80" s="14" t="s">
        <v>74</v>
      </c>
      <c r="C80" s="16" t="s">
        <v>30</v>
      </c>
      <c r="D80" s="14"/>
      <c r="E80" s="18">
        <v>1</v>
      </c>
      <c r="F80" s="12">
        <v>1</v>
      </c>
      <c r="G80" s="12">
        <v>852.99</v>
      </c>
      <c r="H80" s="81">
        <f>F80*G80/1000</f>
        <v>0.85299000000000003</v>
      </c>
      <c r="I80" s="12">
        <f>G80</f>
        <v>852.99</v>
      </c>
    </row>
    <row r="81" spans="1:9" s="35" customFormat="1" ht="15.75" customHeight="1">
      <c r="A81" s="26">
        <v>16</v>
      </c>
      <c r="B81" s="36" t="s">
        <v>234</v>
      </c>
      <c r="C81" s="37" t="s">
        <v>124</v>
      </c>
      <c r="D81" s="36" t="s">
        <v>235</v>
      </c>
      <c r="E81" s="18"/>
      <c r="F81" s="12"/>
      <c r="G81" s="34">
        <v>55.55</v>
      </c>
      <c r="H81" s="81"/>
      <c r="I81" s="12">
        <f>G81*1</f>
        <v>55.55</v>
      </c>
    </row>
    <row r="82" spans="1:9" s="35" customFormat="1" ht="15.75" customHeight="1">
      <c r="A82" s="26"/>
      <c r="B82" s="49" t="s">
        <v>75</v>
      </c>
      <c r="C82" s="37"/>
      <c r="D82" s="26"/>
      <c r="E82" s="18"/>
      <c r="F82" s="18"/>
      <c r="G82" s="34" t="s">
        <v>141</v>
      </c>
      <c r="H82" s="34"/>
      <c r="I82" s="18"/>
    </row>
    <row r="83" spans="1:9" s="35" customFormat="1" ht="31.5" hidden="1" customHeight="1">
      <c r="A83" s="26">
        <v>39</v>
      </c>
      <c r="B83" s="51" t="s">
        <v>130</v>
      </c>
      <c r="C83" s="16" t="s">
        <v>76</v>
      </c>
      <c r="D83" s="14"/>
      <c r="E83" s="18"/>
      <c r="F83" s="12">
        <v>1.35</v>
      </c>
      <c r="G83" s="12">
        <v>2759.44</v>
      </c>
      <c r="H83" s="81">
        <f t="shared" ref="H83" si="13">SUM(F83*G83/1000)</f>
        <v>3.725244</v>
      </c>
      <c r="I83" s="12">
        <v>0</v>
      </c>
    </row>
    <row r="84" spans="1:9" s="35" customFormat="1" ht="15.75" customHeight="1">
      <c r="A84" s="186" t="s">
        <v>151</v>
      </c>
      <c r="B84" s="187"/>
      <c r="C84" s="187"/>
      <c r="D84" s="187"/>
      <c r="E84" s="187"/>
      <c r="F84" s="187"/>
      <c r="G84" s="187"/>
      <c r="H84" s="187"/>
      <c r="I84" s="188"/>
    </row>
    <row r="85" spans="1:9" s="35" customFormat="1" ht="15.75" customHeight="1">
      <c r="A85" s="26">
        <v>17</v>
      </c>
      <c r="B85" s="88" t="s">
        <v>131</v>
      </c>
      <c r="C85" s="16" t="s">
        <v>54</v>
      </c>
      <c r="D85" s="109" t="s">
        <v>55</v>
      </c>
      <c r="E85" s="12">
        <v>5916.3</v>
      </c>
      <c r="F85" s="122">
        <f>SUM(E85*12)</f>
        <v>70995.600000000006</v>
      </c>
      <c r="G85" s="122">
        <v>3.22</v>
      </c>
      <c r="H85" s="81">
        <f>SUM(F85*G85/1000)</f>
        <v>228.60583200000002</v>
      </c>
      <c r="I85" s="12">
        <f>F85/12*G85</f>
        <v>19050.486000000001</v>
      </c>
    </row>
    <row r="86" spans="1:9" s="35" customFormat="1" ht="15.75" customHeight="1">
      <c r="A86" s="26">
        <v>18</v>
      </c>
      <c r="B86" s="14" t="s">
        <v>77</v>
      </c>
      <c r="C86" s="16"/>
      <c r="D86" s="109" t="s">
        <v>55</v>
      </c>
      <c r="E86" s="90">
        <v>5916.3</v>
      </c>
      <c r="F86" s="122">
        <f>E86*12</f>
        <v>70995.600000000006</v>
      </c>
      <c r="G86" s="122">
        <v>3.64</v>
      </c>
      <c r="H86" s="81">
        <f>F86*G86/1000</f>
        <v>258.42398400000002</v>
      </c>
      <c r="I86" s="12">
        <f>F86/12*G86</f>
        <v>21535.332000000002</v>
      </c>
    </row>
    <row r="87" spans="1:9" s="35" customFormat="1" ht="14.25" customHeight="1">
      <c r="A87" s="131"/>
      <c r="B87" s="38" t="s">
        <v>80</v>
      </c>
      <c r="C87" s="40"/>
      <c r="D87" s="15"/>
      <c r="E87" s="15"/>
      <c r="F87" s="15"/>
      <c r="G87" s="18"/>
      <c r="H87" s="18"/>
      <c r="I87" s="29">
        <f>I86+I85+I81+I76+I62+I55+I54+I53+I52+I35+I34+I32+I31+I28+I27+I18+I17+I16</f>
        <v>137619.80794322223</v>
      </c>
    </row>
    <row r="88" spans="1:9" s="35" customFormat="1" ht="31.5" customHeight="1">
      <c r="A88" s="189" t="s">
        <v>60</v>
      </c>
      <c r="B88" s="190"/>
      <c r="C88" s="190"/>
      <c r="D88" s="190"/>
      <c r="E88" s="190"/>
      <c r="F88" s="190"/>
      <c r="G88" s="190"/>
      <c r="H88" s="190"/>
      <c r="I88" s="191"/>
    </row>
    <row r="89" spans="1:9" s="35" customFormat="1" ht="15.75" customHeight="1">
      <c r="A89" s="26">
        <v>19</v>
      </c>
      <c r="B89" s="60" t="s">
        <v>237</v>
      </c>
      <c r="C89" s="121" t="s">
        <v>92</v>
      </c>
      <c r="D89" s="36"/>
      <c r="E89" s="17"/>
      <c r="F89" s="34"/>
      <c r="G89" s="122">
        <v>546.01</v>
      </c>
      <c r="H89" s="111">
        <f t="shared" ref="H89" si="14">G89*F89/1000</f>
        <v>0</v>
      </c>
      <c r="I89" s="12">
        <f>G89*1</f>
        <v>546.01</v>
      </c>
    </row>
    <row r="90" spans="1:9" s="35" customFormat="1" ht="15.75" customHeight="1">
      <c r="A90" s="26">
        <v>20</v>
      </c>
      <c r="B90" s="60" t="s">
        <v>292</v>
      </c>
      <c r="C90" s="61" t="s">
        <v>124</v>
      </c>
      <c r="D90" s="36"/>
      <c r="E90" s="17"/>
      <c r="F90" s="34"/>
      <c r="G90" s="34">
        <v>662.25</v>
      </c>
      <c r="H90" s="111"/>
      <c r="I90" s="12">
        <f>G90*1</f>
        <v>662.25</v>
      </c>
    </row>
    <row r="91" spans="1:9" ht="15.75" customHeight="1">
      <c r="A91" s="26"/>
      <c r="B91" s="45" t="s">
        <v>51</v>
      </c>
      <c r="C91" s="41"/>
      <c r="D91" s="53"/>
      <c r="E91" s="41">
        <v>1</v>
      </c>
      <c r="F91" s="41"/>
      <c r="G91" s="41"/>
      <c r="H91" s="41"/>
      <c r="I91" s="29">
        <f>SUM(I89:I90)</f>
        <v>1208.26</v>
      </c>
    </row>
    <row r="92" spans="1:9" ht="15.75" customHeight="1">
      <c r="A92" s="26"/>
      <c r="B92" s="51" t="s">
        <v>78</v>
      </c>
      <c r="C92" s="15"/>
      <c r="D92" s="15"/>
      <c r="E92" s="42"/>
      <c r="F92" s="42"/>
      <c r="G92" s="43"/>
      <c r="H92" s="43"/>
      <c r="I92" s="17">
        <v>0</v>
      </c>
    </row>
    <row r="93" spans="1:9" ht="14.25" customHeight="1">
      <c r="A93" s="54"/>
      <c r="B93" s="46" t="s">
        <v>152</v>
      </c>
      <c r="C93" s="32"/>
      <c r="D93" s="32"/>
      <c r="E93" s="32"/>
      <c r="F93" s="32"/>
      <c r="G93" s="32"/>
      <c r="H93" s="32"/>
      <c r="I93" s="44">
        <f>I87+I91</f>
        <v>138828.06794322224</v>
      </c>
    </row>
    <row r="94" spans="1:9" ht="15.75" customHeight="1">
      <c r="A94" s="173" t="s">
        <v>293</v>
      </c>
      <c r="B94" s="173"/>
      <c r="C94" s="173"/>
      <c r="D94" s="173"/>
      <c r="E94" s="173"/>
      <c r="F94" s="173"/>
      <c r="G94" s="173"/>
      <c r="H94" s="173"/>
      <c r="I94" s="173"/>
    </row>
    <row r="95" spans="1:9" ht="15.75" customHeight="1">
      <c r="A95" s="75"/>
      <c r="B95" s="197" t="s">
        <v>294</v>
      </c>
      <c r="C95" s="197"/>
      <c r="D95" s="197"/>
      <c r="E95" s="197"/>
      <c r="F95" s="197"/>
      <c r="G95" s="197"/>
      <c r="H95" s="80"/>
      <c r="I95" s="3"/>
    </row>
    <row r="96" spans="1:9" ht="15.75" customHeight="1">
      <c r="A96" s="129"/>
      <c r="B96" s="193" t="s">
        <v>6</v>
      </c>
      <c r="C96" s="193"/>
      <c r="D96" s="193"/>
      <c r="E96" s="193"/>
      <c r="F96" s="193"/>
      <c r="G96" s="193"/>
      <c r="H96" s="21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198" t="s">
        <v>7</v>
      </c>
      <c r="B98" s="198"/>
      <c r="C98" s="198"/>
      <c r="D98" s="198"/>
      <c r="E98" s="198"/>
      <c r="F98" s="198"/>
      <c r="G98" s="198"/>
      <c r="H98" s="198"/>
      <c r="I98" s="198"/>
    </row>
    <row r="99" spans="1:9" ht="15.75" customHeight="1">
      <c r="A99" s="198" t="s">
        <v>8</v>
      </c>
      <c r="B99" s="198"/>
      <c r="C99" s="198"/>
      <c r="D99" s="198"/>
      <c r="E99" s="198"/>
      <c r="F99" s="198"/>
      <c r="G99" s="198"/>
      <c r="H99" s="198"/>
      <c r="I99" s="198"/>
    </row>
    <row r="100" spans="1:9" ht="15.75" customHeight="1">
      <c r="A100" s="199" t="s">
        <v>61</v>
      </c>
      <c r="B100" s="199"/>
      <c r="C100" s="199"/>
      <c r="D100" s="199"/>
      <c r="E100" s="199"/>
      <c r="F100" s="199"/>
      <c r="G100" s="199"/>
      <c r="H100" s="199"/>
      <c r="I100" s="199"/>
    </row>
    <row r="101" spans="1:9" ht="15.75" customHeight="1">
      <c r="A101" s="10"/>
    </row>
    <row r="102" spans="1:9" ht="15.75" customHeight="1">
      <c r="A102" s="180" t="s">
        <v>9</v>
      </c>
      <c r="B102" s="180"/>
      <c r="C102" s="180"/>
      <c r="D102" s="180"/>
      <c r="E102" s="180"/>
      <c r="F102" s="180"/>
      <c r="G102" s="180"/>
      <c r="H102" s="180"/>
      <c r="I102" s="180"/>
    </row>
    <row r="103" spans="1:9" ht="15.75" customHeight="1">
      <c r="A103" s="4"/>
    </row>
    <row r="104" spans="1:9" ht="15.75" customHeight="1">
      <c r="B104" s="130" t="s">
        <v>10</v>
      </c>
      <c r="C104" s="192" t="s">
        <v>90</v>
      </c>
      <c r="D104" s="192"/>
      <c r="E104" s="192"/>
      <c r="F104" s="78"/>
      <c r="I104" s="128"/>
    </row>
    <row r="105" spans="1:9" ht="15.75" customHeight="1">
      <c r="A105" s="129"/>
      <c r="C105" s="193" t="s">
        <v>11</v>
      </c>
      <c r="D105" s="193"/>
      <c r="E105" s="193"/>
      <c r="F105" s="21"/>
      <c r="I105" s="127" t="s">
        <v>12</v>
      </c>
    </row>
    <row r="106" spans="1:9" ht="15.75">
      <c r="A106" s="22"/>
      <c r="C106" s="11"/>
      <c r="D106" s="11"/>
      <c r="G106" s="11"/>
      <c r="H106" s="11"/>
    </row>
    <row r="107" spans="1:9" ht="45" customHeight="1">
      <c r="B107" s="130" t="s">
        <v>13</v>
      </c>
      <c r="C107" s="194"/>
      <c r="D107" s="194"/>
      <c r="E107" s="194"/>
      <c r="F107" s="79"/>
      <c r="I107" s="128"/>
    </row>
    <row r="108" spans="1:9" ht="30" customHeight="1">
      <c r="A108" s="129"/>
      <c r="C108" s="195" t="s">
        <v>11</v>
      </c>
      <c r="D108" s="195"/>
      <c r="E108" s="195"/>
      <c r="F108" s="129"/>
      <c r="I108" s="127" t="s">
        <v>12</v>
      </c>
    </row>
    <row r="109" spans="1:9" ht="30" customHeight="1">
      <c r="A109" s="4" t="s">
        <v>14</v>
      </c>
    </row>
    <row r="110" spans="1:9" ht="14.25" customHeight="1">
      <c r="A110" s="196" t="s">
        <v>15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15.75">
      <c r="A111" s="185" t="s">
        <v>16</v>
      </c>
      <c r="B111" s="185"/>
      <c r="C111" s="185"/>
      <c r="D111" s="185"/>
      <c r="E111" s="185"/>
      <c r="F111" s="185"/>
      <c r="G111" s="185"/>
      <c r="H111" s="185"/>
      <c r="I111" s="185"/>
    </row>
    <row r="112" spans="1:9" ht="15.75">
      <c r="A112" s="185" t="s">
        <v>17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15.75">
      <c r="A113" s="185" t="s">
        <v>21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15.75">
      <c r="A114" s="185" t="s">
        <v>20</v>
      </c>
      <c r="B114" s="185"/>
      <c r="C114" s="185"/>
      <c r="D114" s="185"/>
      <c r="E114" s="185"/>
      <c r="F114" s="185"/>
      <c r="G114" s="185"/>
      <c r="H114" s="185"/>
      <c r="I114" s="185"/>
    </row>
  </sheetData>
  <autoFilter ref="I12:I71"/>
  <mergeCells count="29">
    <mergeCell ref="A113:I113"/>
    <mergeCell ref="A114:I114"/>
    <mergeCell ref="C105:E105"/>
    <mergeCell ref="C107:E107"/>
    <mergeCell ref="C108:E108"/>
    <mergeCell ref="A111:I111"/>
    <mergeCell ref="A112:I112"/>
    <mergeCell ref="A110:I110"/>
    <mergeCell ref="R77:U77"/>
    <mergeCell ref="C104:E104"/>
    <mergeCell ref="A94:I94"/>
    <mergeCell ref="A98:I98"/>
    <mergeCell ref="A84:I84"/>
    <mergeCell ref="A88:I88"/>
    <mergeCell ref="B95:G95"/>
    <mergeCell ref="B96:G96"/>
    <mergeCell ref="A99:I99"/>
    <mergeCell ref="A100:I100"/>
    <mergeCell ref="A102:I102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4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9"/>
  <sheetViews>
    <sheetView topLeftCell="A94" workbookViewId="0">
      <selection activeCell="I111" sqref="I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6.7109375" hidden="1" customWidth="1"/>
    <col min="6" max="6" width="2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207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170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238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87"/>
      <c r="C6" s="87"/>
      <c r="D6" s="87"/>
      <c r="E6" s="87"/>
      <c r="F6" s="87"/>
      <c r="G6" s="87"/>
      <c r="H6" s="87"/>
      <c r="I6" s="27">
        <v>43434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208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142">
        <v>169.2</v>
      </c>
      <c r="F16" s="136">
        <f>SUM(E16*156/100)</f>
        <v>263.952</v>
      </c>
      <c r="G16" s="136">
        <v>239.2</v>
      </c>
      <c r="H16" s="92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142">
        <v>676.6</v>
      </c>
      <c r="F17" s="136">
        <f>SUM(E17*104/100)</f>
        <v>703.6640000000001</v>
      </c>
      <c r="G17" s="136">
        <v>239.2</v>
      </c>
      <c r="H17" s="92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142">
        <f>SUM(E16+E17)</f>
        <v>845.8</v>
      </c>
      <c r="F18" s="136">
        <f>E18*18/100</f>
        <v>152.244</v>
      </c>
      <c r="G18" s="136">
        <v>688.14</v>
      </c>
      <c r="H18" s="92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88" t="s">
        <v>64</v>
      </c>
      <c r="C27" s="89" t="s">
        <v>33</v>
      </c>
      <c r="D27" s="88"/>
      <c r="E27" s="143">
        <v>0.1</v>
      </c>
      <c r="F27" s="136">
        <f>SUM(E27*155)</f>
        <v>15.5</v>
      </c>
      <c r="G27" s="136">
        <v>275.45</v>
      </c>
      <c r="H27" s="92">
        <f t="shared" ref="H27:H28" si="2">SUM(F27*G27/1000)</f>
        <v>4.269474999999999</v>
      </c>
      <c r="I27" s="12">
        <f>F27/12*G27</f>
        <v>355.78958333333333</v>
      </c>
      <c r="J27" s="63"/>
      <c r="K27" s="62"/>
      <c r="L27" s="62"/>
      <c r="M27" s="62"/>
    </row>
    <row r="28" spans="1:13" s="35" customFormat="1" ht="15.75" hidden="1" customHeight="1">
      <c r="A28" s="26">
        <v>5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2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hidden="1" customHeight="1">
      <c r="A31" s="40">
        <v>6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3">SUM(F31*G31/1000)</f>
        <v>7.2964626280000004</v>
      </c>
      <c r="I31" s="12">
        <f>F31/6*G31</f>
        <v>1216.0771046666666</v>
      </c>
      <c r="J31" s="63"/>
      <c r="K31" s="62"/>
      <c r="L31" s="62"/>
      <c r="M31" s="62"/>
    </row>
    <row r="32" spans="1:13" s="35" customFormat="1" ht="31.5" hidden="1" customHeight="1">
      <c r="A32" s="40">
        <v>7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3"/>
        <v>5.8381067159999995</v>
      </c>
      <c r="I32" s="12">
        <f t="shared" ref="I32:I35" si="4">F32/6*G32</f>
        <v>973.01778599999989</v>
      </c>
      <c r="J32" s="63"/>
      <c r="K32" s="62"/>
      <c r="L32" s="62"/>
      <c r="M32" s="62"/>
    </row>
    <row r="33" spans="1:14" s="35" customFormat="1" ht="15.75" hidden="1" customHeight="1">
      <c r="A33" s="40">
        <v>16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3"/>
        <v>2.7185990329999998</v>
      </c>
      <c r="I33" s="12">
        <f>F33*G33</f>
        <v>2718.599033</v>
      </c>
      <c r="J33" s="63"/>
      <c r="K33" s="62"/>
      <c r="L33" s="62"/>
      <c r="M33" s="62"/>
    </row>
    <row r="34" spans="1:14" s="35" customFormat="1" ht="15.75" hidden="1" customHeight="1">
      <c r="A34" s="40">
        <v>8</v>
      </c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f t="shared" si="4"/>
        <v>2690.8413333333338</v>
      </c>
      <c r="J34" s="63"/>
      <c r="K34" s="62"/>
      <c r="L34" s="62"/>
      <c r="M34" s="62"/>
    </row>
    <row r="35" spans="1:14" s="35" customFormat="1" ht="15.75" hidden="1" customHeight="1">
      <c r="A35" s="40">
        <v>9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f t="shared" si="4"/>
        <v>488.16388888888883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5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5"/>
        <v>2.27264</v>
      </c>
      <c r="I37" s="12">
        <v>0</v>
      </c>
      <c r="J37" s="64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customHeight="1">
      <c r="A39" s="31">
        <v>5</v>
      </c>
      <c r="B39" s="155" t="s">
        <v>26</v>
      </c>
      <c r="C39" s="39" t="s">
        <v>32</v>
      </c>
      <c r="D39" s="30"/>
      <c r="E39" s="156"/>
      <c r="F39" s="119">
        <v>6</v>
      </c>
      <c r="G39" s="119">
        <v>2083.12</v>
      </c>
      <c r="H39" s="92">
        <f t="shared" ref="H39:H45" si="6">SUM(F39*G39/1000)</f>
        <v>12.498719999999999</v>
      </c>
      <c r="I39" s="12">
        <f t="shared" ref="I39:I43" si="7">F39/6*G39</f>
        <v>2083.12</v>
      </c>
      <c r="J39" s="64"/>
    </row>
    <row r="40" spans="1:14" s="35" customFormat="1" ht="15.75" customHeight="1">
      <c r="A40" s="31">
        <v>6</v>
      </c>
      <c r="B40" s="155" t="s">
        <v>239</v>
      </c>
      <c r="C40" s="157" t="s">
        <v>29</v>
      </c>
      <c r="D40" s="155" t="s">
        <v>137</v>
      </c>
      <c r="E40" s="158">
        <v>289.39999999999998</v>
      </c>
      <c r="F40" s="158">
        <f>SUM(E40*30/1000)</f>
        <v>8.6820000000000004</v>
      </c>
      <c r="G40" s="158">
        <v>2868.09</v>
      </c>
      <c r="H40" s="92">
        <f t="shared" si="6"/>
        <v>24.900757380000002</v>
      </c>
      <c r="I40" s="12">
        <f t="shared" si="7"/>
        <v>4150.1262300000008</v>
      </c>
      <c r="J40" s="64"/>
    </row>
    <row r="41" spans="1:14" s="35" customFormat="1" ht="15.75" customHeight="1">
      <c r="A41" s="31">
        <v>7</v>
      </c>
      <c r="B41" s="30" t="s">
        <v>68</v>
      </c>
      <c r="C41" s="39" t="s">
        <v>29</v>
      </c>
      <c r="D41" s="30" t="s">
        <v>119</v>
      </c>
      <c r="E41" s="119">
        <v>289.39999999999998</v>
      </c>
      <c r="F41" s="158">
        <f>SUM(E41*155/1000)</f>
        <v>44.856999999999999</v>
      </c>
      <c r="G41" s="119">
        <v>478.42</v>
      </c>
      <c r="H41" s="92">
        <f t="shared" si="6"/>
        <v>21.460485939999998</v>
      </c>
      <c r="I41" s="12">
        <f t="shared" si="7"/>
        <v>3576.7476566666669</v>
      </c>
      <c r="J41" s="64"/>
    </row>
    <row r="42" spans="1:14" s="35" customFormat="1" ht="15.75" hidden="1" customHeight="1">
      <c r="A42" s="31">
        <v>8</v>
      </c>
      <c r="B42" s="30" t="s">
        <v>240</v>
      </c>
      <c r="C42" s="39" t="s">
        <v>241</v>
      </c>
      <c r="D42" s="30"/>
      <c r="E42" s="119"/>
      <c r="F42" s="158">
        <v>39</v>
      </c>
      <c r="G42" s="119">
        <v>314</v>
      </c>
      <c r="H42" s="92">
        <f t="shared" si="6"/>
        <v>12.246</v>
      </c>
      <c r="I42" s="12">
        <v>0</v>
      </c>
      <c r="J42" s="64"/>
    </row>
    <row r="43" spans="1:14" s="35" customFormat="1" ht="47.25" customHeight="1">
      <c r="A43" s="31">
        <v>8</v>
      </c>
      <c r="B43" s="30" t="s">
        <v>83</v>
      </c>
      <c r="C43" s="39" t="s">
        <v>115</v>
      </c>
      <c r="D43" s="30" t="s">
        <v>138</v>
      </c>
      <c r="E43" s="119">
        <v>108</v>
      </c>
      <c r="F43" s="158">
        <f>SUM(E43*24/1000)</f>
        <v>2.5920000000000001</v>
      </c>
      <c r="G43" s="119">
        <v>7915.6</v>
      </c>
      <c r="H43" s="92">
        <f t="shared" si="6"/>
        <v>20.517235200000002</v>
      </c>
      <c r="I43" s="12">
        <f t="shared" si="7"/>
        <v>3419.5392000000002</v>
      </c>
      <c r="J43" s="64"/>
    </row>
    <row r="44" spans="1:14" s="35" customFormat="1" ht="15.75" customHeight="1">
      <c r="A44" s="31">
        <v>9</v>
      </c>
      <c r="B44" s="30" t="s">
        <v>120</v>
      </c>
      <c r="C44" s="39" t="s">
        <v>115</v>
      </c>
      <c r="D44" s="30" t="s">
        <v>69</v>
      </c>
      <c r="E44" s="119">
        <v>108</v>
      </c>
      <c r="F44" s="158">
        <f>SUM(E44*45/1000)</f>
        <v>4.8600000000000003</v>
      </c>
      <c r="G44" s="119">
        <v>584.74</v>
      </c>
      <c r="H44" s="92">
        <f t="shared" si="6"/>
        <v>2.8418364</v>
      </c>
      <c r="I44" s="12">
        <f>F44/7.5*G44</f>
        <v>378.91152</v>
      </c>
      <c r="J44" s="64"/>
      <c r="L44" s="19"/>
      <c r="M44" s="20"/>
      <c r="N44" s="28"/>
    </row>
    <row r="45" spans="1:14" s="35" customFormat="1" ht="15.75" customHeight="1">
      <c r="A45" s="31">
        <v>10</v>
      </c>
      <c r="B45" s="155" t="s">
        <v>70</v>
      </c>
      <c r="C45" s="157" t="s">
        <v>33</v>
      </c>
      <c r="D45" s="155"/>
      <c r="E45" s="159"/>
      <c r="F45" s="158">
        <v>0.9</v>
      </c>
      <c r="G45" s="158">
        <v>800</v>
      </c>
      <c r="H45" s="92">
        <f t="shared" si="6"/>
        <v>0.72</v>
      </c>
      <c r="I45" s="12">
        <f>F45/7.5*G45</f>
        <v>96.000000000000014</v>
      </c>
      <c r="J45" s="64"/>
      <c r="L45" s="19"/>
      <c r="M45" s="20"/>
      <c r="N45" s="28"/>
    </row>
    <row r="46" spans="1:14" s="35" customFormat="1" ht="15.75" hidden="1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hidden="1" customHeight="1">
      <c r="A47" s="40">
        <v>10</v>
      </c>
      <c r="B47" s="88" t="s">
        <v>121</v>
      </c>
      <c r="C47" s="89" t="s">
        <v>115</v>
      </c>
      <c r="D47" s="88" t="s">
        <v>41</v>
      </c>
      <c r="E47" s="90">
        <v>1662.5</v>
      </c>
      <c r="F47" s="91">
        <f>SUM(E47*2/1000)</f>
        <v>3.3250000000000002</v>
      </c>
      <c r="G47" s="12">
        <v>849.49</v>
      </c>
      <c r="H47" s="92">
        <f t="shared" ref="H47:H55" si="8">SUM(F47*G47/1000)</f>
        <v>2.8245542500000003</v>
      </c>
      <c r="I47" s="12">
        <f t="shared" ref="I47:I49" si="9">F47/2*G47</f>
        <v>1412.2771250000001</v>
      </c>
      <c r="J47" s="64"/>
      <c r="L47" s="19"/>
      <c r="M47" s="20"/>
      <c r="N47" s="28"/>
    </row>
    <row r="48" spans="1:14" s="35" customFormat="1" ht="15.75" hidden="1" customHeight="1">
      <c r="A48" s="40">
        <v>11</v>
      </c>
      <c r="B48" s="88" t="s">
        <v>34</v>
      </c>
      <c r="C48" s="89" t="s">
        <v>115</v>
      </c>
      <c r="D48" s="88" t="s">
        <v>41</v>
      </c>
      <c r="E48" s="90">
        <v>92.8</v>
      </c>
      <c r="F48" s="91">
        <f>SUM(E48*2/1000)</f>
        <v>0.18559999999999999</v>
      </c>
      <c r="G48" s="12">
        <v>579.48</v>
      </c>
      <c r="H48" s="92">
        <f t="shared" si="8"/>
        <v>0.10755148799999999</v>
      </c>
      <c r="I48" s="12">
        <f t="shared" si="9"/>
        <v>53.775743999999996</v>
      </c>
      <c r="J48" s="64"/>
      <c r="L48" s="19"/>
      <c r="M48" s="20"/>
      <c r="N48" s="28"/>
    </row>
    <row r="49" spans="1:14" s="35" customFormat="1" ht="15.75" hidden="1" customHeight="1">
      <c r="A49" s="40">
        <v>12</v>
      </c>
      <c r="B49" s="88" t="s">
        <v>35</v>
      </c>
      <c r="C49" s="89" t="s">
        <v>115</v>
      </c>
      <c r="D49" s="88" t="s">
        <v>41</v>
      </c>
      <c r="E49" s="90">
        <v>4750.7</v>
      </c>
      <c r="F49" s="91">
        <f>SUM(E49*2/1000)</f>
        <v>9.5014000000000003</v>
      </c>
      <c r="G49" s="12">
        <v>579.48</v>
      </c>
      <c r="H49" s="92">
        <f t="shared" si="8"/>
        <v>5.5058712720000003</v>
      </c>
      <c r="I49" s="12">
        <f t="shared" si="9"/>
        <v>2752.9356360000002</v>
      </c>
      <c r="J49" s="64"/>
      <c r="L49" s="19"/>
      <c r="M49" s="20"/>
      <c r="N49" s="28"/>
    </row>
    <row r="50" spans="1:14" s="35" customFormat="1" ht="15.75" hidden="1" customHeight="1">
      <c r="A50" s="40">
        <v>13</v>
      </c>
      <c r="B50" s="88" t="s">
        <v>36</v>
      </c>
      <c r="C50" s="89" t="s">
        <v>115</v>
      </c>
      <c r="D50" s="88" t="s">
        <v>41</v>
      </c>
      <c r="E50" s="90">
        <v>2840.99</v>
      </c>
      <c r="F50" s="91">
        <f>SUM(E50*2/1000)</f>
        <v>5.6819799999999994</v>
      </c>
      <c r="G50" s="12">
        <v>606.77</v>
      </c>
      <c r="H50" s="92">
        <f t="shared" si="8"/>
        <v>3.4476550045999992</v>
      </c>
      <c r="I50" s="12">
        <f>F50/2*G50</f>
        <v>1723.8275022999997</v>
      </c>
      <c r="J50" s="64"/>
      <c r="L50" s="19"/>
      <c r="M50" s="20"/>
      <c r="N50" s="28"/>
    </row>
    <row r="51" spans="1:14" s="35" customFormat="1" ht="15.75" hidden="1" customHeight="1">
      <c r="A51" s="40">
        <v>14</v>
      </c>
      <c r="B51" s="88" t="s">
        <v>56</v>
      </c>
      <c r="C51" s="89" t="s">
        <v>115</v>
      </c>
      <c r="D51" s="88" t="s">
        <v>146</v>
      </c>
      <c r="E51" s="90">
        <v>1652.5</v>
      </c>
      <c r="F51" s="91">
        <f>SUM(E51*5/1000)</f>
        <v>8.2624999999999993</v>
      </c>
      <c r="G51" s="12">
        <v>1213.55</v>
      </c>
      <c r="H51" s="92">
        <f t="shared" si="8"/>
        <v>10.026956874999998</v>
      </c>
      <c r="I51" s="12">
        <f>F51/5*G51</f>
        <v>2005.3913749999997</v>
      </c>
      <c r="J51" s="64"/>
      <c r="L51" s="19"/>
      <c r="M51" s="20"/>
      <c r="N51" s="28"/>
    </row>
    <row r="52" spans="1:14" s="35" customFormat="1" ht="31.5" hidden="1" customHeight="1">
      <c r="A52" s="40">
        <v>10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8"/>
        <v>4.0107827499999997</v>
      </c>
      <c r="I52" s="12">
        <f>F52/2*G52</f>
        <v>2005.3913749999999</v>
      </c>
      <c r="J52" s="64"/>
      <c r="L52" s="19"/>
      <c r="M52" s="20"/>
      <c r="N52" s="28"/>
    </row>
    <row r="53" spans="1:14" s="35" customFormat="1" ht="31.5" hidden="1" customHeight="1">
      <c r="A53" s="40">
        <v>11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8"/>
        <v>2.1843919999999999</v>
      </c>
      <c r="I53" s="12">
        <f t="shared" ref="I53:I54" si="10">F53/2*G53</f>
        <v>1092.1959999999999</v>
      </c>
      <c r="J53" s="64"/>
      <c r="L53" s="19"/>
      <c r="M53" s="20"/>
      <c r="N53" s="28"/>
    </row>
    <row r="54" spans="1:14" s="35" customFormat="1" ht="15.75" hidden="1" customHeight="1">
      <c r="A54" s="40">
        <v>12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8"/>
        <v>0.11304260000000001</v>
      </c>
      <c r="I54" s="12">
        <f t="shared" si="10"/>
        <v>56.521300000000004</v>
      </c>
      <c r="J54" s="64"/>
      <c r="L54" s="19"/>
      <c r="M54" s="20"/>
      <c r="N54" s="28"/>
    </row>
    <row r="55" spans="1:14" s="35" customFormat="1" ht="15.75" hidden="1" customHeight="1">
      <c r="A55" s="118">
        <v>13</v>
      </c>
      <c r="B55" s="99" t="s">
        <v>40</v>
      </c>
      <c r="C55" s="100" t="s">
        <v>124</v>
      </c>
      <c r="D55" s="99" t="s">
        <v>71</v>
      </c>
      <c r="E55" s="101">
        <v>236</v>
      </c>
      <c r="F55" s="102">
        <f>SUM(E55)*3</f>
        <v>708</v>
      </c>
      <c r="G55" s="115">
        <v>65.67</v>
      </c>
      <c r="H55" s="103">
        <f t="shared" si="8"/>
        <v>46.49436</v>
      </c>
      <c r="I55" s="115">
        <f>E55*G55</f>
        <v>15498.12</v>
      </c>
      <c r="J55" s="64"/>
      <c r="L55" s="19"/>
      <c r="M55" s="20"/>
      <c r="N55" s="28"/>
    </row>
    <row r="56" spans="1:14" s="35" customFormat="1" ht="29.25" customHeight="1">
      <c r="A56" s="40">
        <v>11</v>
      </c>
      <c r="B56" s="155" t="s">
        <v>242</v>
      </c>
      <c r="C56" s="157" t="s">
        <v>29</v>
      </c>
      <c r="D56" s="155" t="s">
        <v>243</v>
      </c>
      <c r="E56" s="159">
        <v>3.6</v>
      </c>
      <c r="F56" s="158">
        <v>0.04</v>
      </c>
      <c r="G56" s="158">
        <v>270.61</v>
      </c>
      <c r="H56" s="12"/>
      <c r="I56" s="12">
        <f>G56*F56/6</f>
        <v>1.8040666666666667</v>
      </c>
      <c r="J56" s="64"/>
      <c r="L56" s="19"/>
      <c r="M56" s="20"/>
      <c r="N56" s="28"/>
    </row>
    <row r="57" spans="1:14" s="35" customFormat="1" ht="15.75" customHeight="1">
      <c r="A57" s="182" t="s">
        <v>156</v>
      </c>
      <c r="B57" s="183"/>
      <c r="C57" s="183"/>
      <c r="D57" s="183"/>
      <c r="E57" s="183"/>
      <c r="F57" s="183"/>
      <c r="G57" s="183"/>
      <c r="H57" s="183"/>
      <c r="I57" s="184"/>
      <c r="J57" s="64"/>
      <c r="L57" s="19"/>
      <c r="M57" s="20"/>
      <c r="N57" s="28"/>
    </row>
    <row r="58" spans="1:14" s="35" customFormat="1" ht="15.75" customHeight="1">
      <c r="A58" s="110"/>
      <c r="B58" s="47" t="s">
        <v>42</v>
      </c>
      <c r="C58" s="16"/>
      <c r="D58" s="15"/>
      <c r="E58" s="15"/>
      <c r="F58" s="15"/>
      <c r="G58" s="26"/>
      <c r="H58" s="26"/>
      <c r="I58" s="18"/>
      <c r="J58" s="64"/>
      <c r="L58" s="19"/>
      <c r="M58" s="20"/>
      <c r="N58" s="28"/>
    </row>
    <row r="59" spans="1:14" s="35" customFormat="1" ht="31.5" hidden="1" customHeight="1">
      <c r="A59" s="40">
        <v>13</v>
      </c>
      <c r="B59" s="88" t="s">
        <v>139</v>
      </c>
      <c r="C59" s="89" t="s">
        <v>105</v>
      </c>
      <c r="D59" s="88" t="s">
        <v>140</v>
      </c>
      <c r="E59" s="90">
        <v>166.25</v>
      </c>
      <c r="F59" s="91">
        <f>E59*6/100</f>
        <v>9.9749999999999996</v>
      </c>
      <c r="G59" s="98">
        <v>1547.28</v>
      </c>
      <c r="H59" s="92">
        <f>F59*G59/1000</f>
        <v>15.434117999999998</v>
      </c>
      <c r="I59" s="12">
        <f>F59/6*G59</f>
        <v>2572.3529999999996</v>
      </c>
      <c r="J59" s="64"/>
      <c r="L59" s="19"/>
      <c r="M59" s="20"/>
      <c r="N59" s="28"/>
    </row>
    <row r="60" spans="1:14" s="35" customFormat="1" ht="15.75" customHeight="1">
      <c r="A60" s="40">
        <v>12</v>
      </c>
      <c r="B60" s="125" t="s">
        <v>95</v>
      </c>
      <c r="C60" s="126" t="s">
        <v>105</v>
      </c>
      <c r="D60" s="125" t="s">
        <v>140</v>
      </c>
      <c r="E60" s="152">
        <v>56</v>
      </c>
      <c r="F60" s="153">
        <f>E60*6/100</f>
        <v>3.36</v>
      </c>
      <c r="G60" s="154">
        <v>2110.4699999999998</v>
      </c>
      <c r="H60" s="103">
        <f>F60*G60/1000</f>
        <v>7.0911791999999982</v>
      </c>
      <c r="I60" s="12">
        <f>F60/6*G60</f>
        <v>1181.8631999999998</v>
      </c>
      <c r="J60" s="64"/>
      <c r="L60" s="19"/>
      <c r="M60" s="20"/>
      <c r="N60" s="28"/>
    </row>
    <row r="61" spans="1:14" s="35" customFormat="1" ht="15.75" hidden="1" customHeight="1">
      <c r="A61" s="40"/>
      <c r="B61" s="99" t="s">
        <v>99</v>
      </c>
      <c r="C61" s="100" t="s">
        <v>100</v>
      </c>
      <c r="D61" s="99" t="s">
        <v>41</v>
      </c>
      <c r="E61" s="101">
        <v>8</v>
      </c>
      <c r="F61" s="102">
        <v>16</v>
      </c>
      <c r="G61" s="104">
        <v>180.78</v>
      </c>
      <c r="H61" s="103">
        <f>F61*G61/1000</f>
        <v>2.8924799999999999</v>
      </c>
      <c r="I61" s="12">
        <v>0</v>
      </c>
      <c r="J61" s="64"/>
      <c r="L61" s="19"/>
      <c r="M61" s="20"/>
      <c r="N61" s="28"/>
    </row>
    <row r="62" spans="1:14" s="35" customFormat="1" ht="15.75" customHeight="1">
      <c r="A62" s="40"/>
      <c r="B62" s="86" t="s">
        <v>43</v>
      </c>
      <c r="C62" s="86"/>
      <c r="D62" s="86"/>
      <c r="E62" s="86"/>
      <c r="F62" s="86"/>
      <c r="G62" s="86"/>
      <c r="H62" s="86"/>
      <c r="I62" s="33"/>
      <c r="J62" s="64"/>
      <c r="L62" s="19"/>
      <c r="M62" s="20"/>
      <c r="N62" s="28"/>
    </row>
    <row r="63" spans="1:14" s="35" customFormat="1" ht="15.75" customHeight="1">
      <c r="A63" s="40">
        <v>13</v>
      </c>
      <c r="B63" s="99" t="s">
        <v>96</v>
      </c>
      <c r="C63" s="100" t="s">
        <v>25</v>
      </c>
      <c r="D63" s="99" t="s">
        <v>147</v>
      </c>
      <c r="E63" s="101">
        <v>330.5</v>
      </c>
      <c r="F63" s="102">
        <v>2400</v>
      </c>
      <c r="G63" s="105">
        <v>1.2</v>
      </c>
      <c r="H63" s="103">
        <f>G63*F63/1000</f>
        <v>2.88</v>
      </c>
      <c r="I63" s="12">
        <f>F63/12*G63</f>
        <v>240</v>
      </c>
      <c r="J63" s="64"/>
      <c r="L63" s="19"/>
      <c r="M63" s="20"/>
      <c r="N63" s="28"/>
    </row>
    <row r="64" spans="1:14" s="35" customFormat="1" ht="15.75" hidden="1" customHeight="1">
      <c r="A64" s="40"/>
      <c r="B64" s="99" t="s">
        <v>44</v>
      </c>
      <c r="C64" s="100" t="s">
        <v>25</v>
      </c>
      <c r="D64" s="99" t="s">
        <v>53</v>
      </c>
      <c r="E64" s="101">
        <v>1652.5</v>
      </c>
      <c r="F64" s="102">
        <f>E64/100</f>
        <v>16.524999999999999</v>
      </c>
      <c r="G64" s="106">
        <v>793.61</v>
      </c>
      <c r="H64" s="103">
        <f>G64*F64/1000</f>
        <v>13.114405249999999</v>
      </c>
      <c r="I64" s="12">
        <v>0</v>
      </c>
      <c r="J64" s="64"/>
      <c r="L64" s="19"/>
      <c r="M64" s="20"/>
      <c r="N64" s="28"/>
    </row>
    <row r="65" spans="1:22" s="35" customFormat="1" ht="15" customHeight="1">
      <c r="A65" s="40"/>
      <c r="B65" s="86" t="s">
        <v>45</v>
      </c>
      <c r="C65" s="16"/>
      <c r="D65" s="36"/>
      <c r="E65" s="15"/>
      <c r="F65" s="15"/>
      <c r="G65" s="26"/>
      <c r="H65" s="26"/>
      <c r="I65" s="18"/>
      <c r="J65" s="64"/>
      <c r="L65" s="19"/>
      <c r="M65" s="20"/>
      <c r="N65" s="28"/>
    </row>
    <row r="66" spans="1:22" s="35" customFormat="1" ht="15" customHeight="1">
      <c r="A66" s="40">
        <v>14</v>
      </c>
      <c r="B66" s="160" t="s">
        <v>46</v>
      </c>
      <c r="C66" s="37" t="s">
        <v>124</v>
      </c>
      <c r="D66" s="36" t="s">
        <v>244</v>
      </c>
      <c r="E66" s="17">
        <v>12</v>
      </c>
      <c r="F66" s="119">
        <f>E66*1</f>
        <v>12</v>
      </c>
      <c r="G66" s="34">
        <v>303.35000000000002</v>
      </c>
      <c r="H66" s="81">
        <f t="shared" ref="H66:H73" si="11">SUM(F66*G66/1000)</f>
        <v>3.6402000000000001</v>
      </c>
      <c r="I66" s="12">
        <f>G66*1</f>
        <v>303.35000000000002</v>
      </c>
      <c r="J66" s="64"/>
      <c r="L66" s="19"/>
      <c r="M66" s="20"/>
      <c r="N66" s="28"/>
    </row>
    <row r="67" spans="1:22" s="35" customFormat="1" ht="13.5" hidden="1" customHeight="1">
      <c r="B67" s="14" t="s">
        <v>47</v>
      </c>
      <c r="C67" s="16" t="s">
        <v>124</v>
      </c>
      <c r="D67" s="14" t="s">
        <v>67</v>
      </c>
      <c r="E67" s="18">
        <v>8</v>
      </c>
      <c r="F67" s="91">
        <v>8</v>
      </c>
      <c r="G67" s="12">
        <v>76.25</v>
      </c>
      <c r="H67" s="81">
        <f t="shared" si="11"/>
        <v>0.61</v>
      </c>
      <c r="I67" s="12">
        <v>0</v>
      </c>
      <c r="J67" s="64"/>
      <c r="L67" s="19"/>
      <c r="M67" s="20"/>
      <c r="N67" s="28"/>
    </row>
    <row r="68" spans="1:22" s="35" customFormat="1" ht="15.75" hidden="1" customHeight="1">
      <c r="A68" s="26">
        <v>25</v>
      </c>
      <c r="B68" s="14" t="s">
        <v>48</v>
      </c>
      <c r="C68" s="16" t="s">
        <v>125</v>
      </c>
      <c r="D68" s="14" t="s">
        <v>53</v>
      </c>
      <c r="E68" s="90">
        <v>23267</v>
      </c>
      <c r="F68" s="12">
        <f>SUM(E68/100)</f>
        <v>232.67</v>
      </c>
      <c r="G68" s="12">
        <v>212.15</v>
      </c>
      <c r="H68" s="81">
        <f t="shared" si="11"/>
        <v>49.360940499999998</v>
      </c>
      <c r="I68" s="12">
        <f>F68*G68</f>
        <v>49360.940499999997</v>
      </c>
      <c r="J68" s="64"/>
      <c r="L68" s="19"/>
      <c r="M68" s="20"/>
      <c r="N68" s="28"/>
    </row>
    <row r="69" spans="1:22" s="35" customFormat="1" ht="15.75" hidden="1" customHeight="1">
      <c r="A69" s="26">
        <v>26</v>
      </c>
      <c r="B69" s="14" t="s">
        <v>49</v>
      </c>
      <c r="C69" s="16" t="s">
        <v>126</v>
      </c>
      <c r="D69" s="14"/>
      <c r="E69" s="90">
        <v>23267</v>
      </c>
      <c r="F69" s="12">
        <f>SUM(E69/1000)</f>
        <v>23.266999999999999</v>
      </c>
      <c r="G69" s="12">
        <v>165.21</v>
      </c>
      <c r="H69" s="81">
        <f t="shared" si="11"/>
        <v>3.8439410700000005</v>
      </c>
      <c r="I69" s="12">
        <f t="shared" ref="I69:I72" si="12">F69*G69</f>
        <v>3843.9410700000003</v>
      </c>
      <c r="J69" s="64"/>
      <c r="L69" s="19"/>
      <c r="M69" s="20"/>
      <c r="N69" s="28"/>
    </row>
    <row r="70" spans="1:22" s="35" customFormat="1" ht="18.75" hidden="1" customHeight="1">
      <c r="A70" s="26">
        <v>27</v>
      </c>
      <c r="B70" s="14" t="s">
        <v>50</v>
      </c>
      <c r="C70" s="16" t="s">
        <v>76</v>
      </c>
      <c r="D70" s="14" t="s">
        <v>53</v>
      </c>
      <c r="E70" s="90">
        <v>3145</v>
      </c>
      <c r="F70" s="12">
        <f>SUM(E70/100)</f>
        <v>31.45</v>
      </c>
      <c r="G70" s="12">
        <v>2074.63</v>
      </c>
      <c r="H70" s="81">
        <f t="shared" si="11"/>
        <v>65.247113499999998</v>
      </c>
      <c r="I70" s="12">
        <f t="shared" si="12"/>
        <v>65247.113499999999</v>
      </c>
      <c r="J70" s="64"/>
      <c r="L70" s="19"/>
    </row>
    <row r="71" spans="1:22" s="35" customFormat="1" ht="18" hidden="1" customHeight="1">
      <c r="A71" s="26">
        <v>28</v>
      </c>
      <c r="B71" s="108" t="s">
        <v>127</v>
      </c>
      <c r="C71" s="16" t="s">
        <v>33</v>
      </c>
      <c r="D71" s="14"/>
      <c r="E71" s="90">
        <v>20.66</v>
      </c>
      <c r="F71" s="12">
        <f>SUM(E71)</f>
        <v>20.66</v>
      </c>
      <c r="G71" s="12">
        <v>42.67</v>
      </c>
      <c r="H71" s="81">
        <f t="shared" si="11"/>
        <v>0.88156220000000007</v>
      </c>
      <c r="I71" s="12">
        <f t="shared" si="12"/>
        <v>881.56220000000008</v>
      </c>
    </row>
    <row r="72" spans="1:22" s="35" customFormat="1" ht="21" hidden="1" customHeight="1">
      <c r="A72" s="26">
        <v>29</v>
      </c>
      <c r="B72" s="108" t="s">
        <v>148</v>
      </c>
      <c r="C72" s="16" t="s">
        <v>33</v>
      </c>
      <c r="D72" s="14"/>
      <c r="E72" s="90">
        <v>20.66</v>
      </c>
      <c r="F72" s="12">
        <f>SUM(E72)</f>
        <v>20.66</v>
      </c>
      <c r="G72" s="12">
        <v>39.81</v>
      </c>
      <c r="H72" s="81">
        <f t="shared" si="11"/>
        <v>0.82247460000000006</v>
      </c>
      <c r="I72" s="12">
        <f t="shared" si="12"/>
        <v>822.47460000000001</v>
      </c>
    </row>
    <row r="73" spans="1:22" s="35" customFormat="1" ht="23.25" hidden="1" customHeight="1">
      <c r="A73" s="26">
        <v>17</v>
      </c>
      <c r="B73" s="14" t="s">
        <v>57</v>
      </c>
      <c r="C73" s="16" t="s">
        <v>58</v>
      </c>
      <c r="D73" s="14" t="s">
        <v>53</v>
      </c>
      <c r="E73" s="18">
        <v>5</v>
      </c>
      <c r="F73" s="91">
        <f>SUM(E73)</f>
        <v>5</v>
      </c>
      <c r="G73" s="12">
        <v>49.88</v>
      </c>
      <c r="H73" s="81">
        <f t="shared" si="11"/>
        <v>0.24940000000000001</v>
      </c>
      <c r="I73" s="12">
        <f>F73*G73</f>
        <v>249.4</v>
      </c>
    </row>
    <row r="74" spans="1:22" s="35" customFormat="1" ht="21" customHeight="1">
      <c r="A74" s="26"/>
      <c r="B74" s="139" t="s">
        <v>224</v>
      </c>
      <c r="C74" s="140"/>
      <c r="D74" s="139"/>
      <c r="E74" s="146"/>
      <c r="F74" s="147"/>
      <c r="G74" s="148"/>
      <c r="H74" s="81"/>
      <c r="I74" s="12"/>
    </row>
    <row r="75" spans="1:22" s="35" customFormat="1" ht="29.25" customHeight="1">
      <c r="A75" s="26">
        <v>15</v>
      </c>
      <c r="B75" s="36" t="s">
        <v>225</v>
      </c>
      <c r="C75" s="40" t="s">
        <v>226</v>
      </c>
      <c r="D75" s="36" t="s">
        <v>244</v>
      </c>
      <c r="E75" s="17">
        <v>5916.3</v>
      </c>
      <c r="F75" s="34">
        <f>E75*12</f>
        <v>70995.600000000006</v>
      </c>
      <c r="G75" s="34">
        <v>2.37</v>
      </c>
      <c r="H75" s="81"/>
      <c r="I75" s="12">
        <f>G75*F75/12</f>
        <v>14021.631000000001</v>
      </c>
    </row>
    <row r="76" spans="1:22" s="35" customFormat="1" ht="22.5" hidden="1" customHeight="1">
      <c r="A76" s="110"/>
      <c r="B76" s="86" t="s">
        <v>128</v>
      </c>
      <c r="C76" s="86"/>
      <c r="D76" s="86"/>
      <c r="E76" s="86"/>
      <c r="F76" s="86"/>
      <c r="G76" s="86"/>
      <c r="H76" s="86"/>
      <c r="I76" s="18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65"/>
    </row>
    <row r="77" spans="1:22" s="35" customFormat="1" ht="26.25" hidden="1" customHeight="1">
      <c r="A77" s="26">
        <v>18</v>
      </c>
      <c r="B77" s="88" t="s">
        <v>129</v>
      </c>
      <c r="C77" s="16"/>
      <c r="D77" s="14"/>
      <c r="E77" s="77"/>
      <c r="F77" s="12">
        <v>1</v>
      </c>
      <c r="G77" s="12">
        <v>27750</v>
      </c>
      <c r="H77" s="81">
        <f>G77*F77/1000</f>
        <v>27.75</v>
      </c>
      <c r="I77" s="12">
        <f>G77</f>
        <v>27750</v>
      </c>
      <c r="J77" s="66"/>
      <c r="K77" s="66"/>
      <c r="L77" s="55"/>
      <c r="M77" s="55"/>
      <c r="N77" s="55"/>
      <c r="O77" s="55"/>
      <c r="P77" s="55"/>
      <c r="Q77" s="55"/>
      <c r="R77" s="55"/>
      <c r="S77" s="55"/>
      <c r="T77" s="55"/>
      <c r="U77" s="55"/>
    </row>
    <row r="78" spans="1:22" s="35" customFormat="1" ht="18.75" customHeight="1">
      <c r="A78" s="26"/>
      <c r="B78" s="48" t="s">
        <v>72</v>
      </c>
      <c r="C78" s="48"/>
      <c r="D78" s="48"/>
      <c r="E78" s="18"/>
      <c r="F78" s="18"/>
      <c r="G78" s="26"/>
      <c r="H78" s="26"/>
      <c r="I78" s="18"/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16.5" hidden="1" customHeight="1">
      <c r="A79" s="26">
        <v>12</v>
      </c>
      <c r="B79" s="14" t="s">
        <v>73</v>
      </c>
      <c r="C79" s="16" t="s">
        <v>31</v>
      </c>
      <c r="D79" s="14"/>
      <c r="E79" s="18">
        <v>10</v>
      </c>
      <c r="F79" s="76">
        <v>1</v>
      </c>
      <c r="G79" s="12">
        <v>501.62</v>
      </c>
      <c r="H79" s="81">
        <f>F79*G79/1000</f>
        <v>0.50161999999999995</v>
      </c>
      <c r="I79" s="12">
        <f>G79*0.1</f>
        <v>50.162000000000006</v>
      </c>
      <c r="J79" s="55"/>
      <c r="K79" s="55"/>
      <c r="L79" s="55"/>
      <c r="M79" s="55"/>
      <c r="N79" s="55"/>
      <c r="O79" s="55"/>
      <c r="P79" s="55"/>
      <c r="Q79" s="55"/>
      <c r="S79" s="55"/>
      <c r="T79" s="55"/>
      <c r="U79" s="55"/>
    </row>
    <row r="80" spans="1:22" s="35" customFormat="1" ht="15.75" hidden="1" customHeight="1">
      <c r="A80" s="26">
        <v>20</v>
      </c>
      <c r="B80" s="14" t="s">
        <v>88</v>
      </c>
      <c r="C80" s="16" t="s">
        <v>30</v>
      </c>
      <c r="D80" s="14"/>
      <c r="E80" s="18">
        <v>1</v>
      </c>
      <c r="F80" s="91">
        <v>1</v>
      </c>
      <c r="G80" s="12">
        <v>358.51</v>
      </c>
      <c r="H80" s="81">
        <f>F80*G80/1000</f>
        <v>0.35851</v>
      </c>
      <c r="I80" s="12">
        <f>G80</f>
        <v>358.51</v>
      </c>
      <c r="J80" s="56"/>
      <c r="K80" s="56"/>
      <c r="L80" s="56"/>
      <c r="M80" s="56"/>
      <c r="N80" s="56"/>
      <c r="O80" s="56"/>
      <c r="P80" s="56"/>
      <c r="Q80" s="56"/>
      <c r="R80" s="172"/>
      <c r="S80" s="172"/>
      <c r="T80" s="172"/>
      <c r="U80" s="172"/>
    </row>
    <row r="81" spans="1:21" s="35" customFormat="1" ht="18.75" hidden="1" customHeight="1">
      <c r="A81" s="26">
        <v>18</v>
      </c>
      <c r="B81" s="14" t="s">
        <v>74</v>
      </c>
      <c r="C81" s="16" t="s">
        <v>30</v>
      </c>
      <c r="D81" s="14"/>
      <c r="E81" s="18">
        <v>1</v>
      </c>
      <c r="F81" s="12">
        <v>1</v>
      </c>
      <c r="G81" s="12">
        <v>852.99</v>
      </c>
      <c r="H81" s="81">
        <f>F81*G81/1000</f>
        <v>0.85299000000000003</v>
      </c>
      <c r="I81" s="12">
        <f>G81</f>
        <v>852.99</v>
      </c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</row>
    <row r="82" spans="1:21" s="35" customFormat="1" ht="30.75" customHeight="1">
      <c r="A82" s="26">
        <v>16</v>
      </c>
      <c r="B82" s="36" t="s">
        <v>234</v>
      </c>
      <c r="C82" s="37" t="s">
        <v>124</v>
      </c>
      <c r="D82" s="36" t="s">
        <v>235</v>
      </c>
      <c r="E82" s="17">
        <v>1</v>
      </c>
      <c r="F82" s="34">
        <f>E82*12</f>
        <v>12</v>
      </c>
      <c r="G82" s="34">
        <v>55.55</v>
      </c>
      <c r="H82" s="81"/>
      <c r="I82" s="12">
        <f>G82*1</f>
        <v>55.55</v>
      </c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</row>
    <row r="83" spans="1:21" s="35" customFormat="1" ht="16.5" hidden="1" customHeight="1">
      <c r="A83" s="26"/>
      <c r="B83" s="49" t="s">
        <v>75</v>
      </c>
      <c r="C83" s="37"/>
      <c r="D83" s="26"/>
      <c r="E83" s="18"/>
      <c r="F83" s="18"/>
      <c r="G83" s="34" t="s">
        <v>141</v>
      </c>
      <c r="H83" s="34"/>
      <c r="I83" s="18"/>
    </row>
    <row r="84" spans="1:21" s="35" customFormat="1" ht="17.25" hidden="1" customHeight="1">
      <c r="A84" s="26">
        <v>39</v>
      </c>
      <c r="B84" s="51" t="s">
        <v>130</v>
      </c>
      <c r="C84" s="16" t="s">
        <v>76</v>
      </c>
      <c r="D84" s="14"/>
      <c r="E84" s="18"/>
      <c r="F84" s="12">
        <v>1.35</v>
      </c>
      <c r="G84" s="12">
        <v>2759.44</v>
      </c>
      <c r="H84" s="81">
        <f t="shared" ref="H84" si="13">SUM(F84*G84/1000)</f>
        <v>3.725244</v>
      </c>
      <c r="I84" s="12">
        <v>0</v>
      </c>
    </row>
    <row r="85" spans="1:21" s="35" customFormat="1" ht="15.75" customHeight="1">
      <c r="A85" s="186" t="s">
        <v>157</v>
      </c>
      <c r="B85" s="187"/>
      <c r="C85" s="187"/>
      <c r="D85" s="187"/>
      <c r="E85" s="187"/>
      <c r="F85" s="187"/>
      <c r="G85" s="187"/>
      <c r="H85" s="187"/>
      <c r="I85" s="188"/>
    </row>
    <row r="86" spans="1:21" s="35" customFormat="1" ht="15.75" customHeight="1">
      <c r="A86" s="26">
        <v>17</v>
      </c>
      <c r="B86" s="88" t="s">
        <v>131</v>
      </c>
      <c r="C86" s="16" t="s">
        <v>54</v>
      </c>
      <c r="D86" s="109" t="s">
        <v>55</v>
      </c>
      <c r="E86" s="122">
        <v>5916.3</v>
      </c>
      <c r="F86" s="122">
        <f>SUM(E86*12)</f>
        <v>70995.600000000006</v>
      </c>
      <c r="G86" s="122">
        <v>3.22</v>
      </c>
      <c r="H86" s="81">
        <f>SUM(F86*G86/1000)</f>
        <v>228.60583200000002</v>
      </c>
      <c r="I86" s="12">
        <f>F86/12*G86</f>
        <v>19050.486000000001</v>
      </c>
    </row>
    <row r="87" spans="1:21" s="35" customFormat="1" ht="31.5" customHeight="1">
      <c r="A87" s="26">
        <v>18</v>
      </c>
      <c r="B87" s="14" t="s">
        <v>77</v>
      </c>
      <c r="C87" s="16"/>
      <c r="D87" s="109" t="s">
        <v>55</v>
      </c>
      <c r="E87" s="142">
        <f>E86</f>
        <v>5916.3</v>
      </c>
      <c r="F87" s="122">
        <f>E87*12</f>
        <v>70995.600000000006</v>
      </c>
      <c r="G87" s="122">
        <v>3.64</v>
      </c>
      <c r="H87" s="81">
        <f>F87*G87/1000</f>
        <v>258.42398400000002</v>
      </c>
      <c r="I87" s="12">
        <f>F87/12*G87</f>
        <v>21535.332000000002</v>
      </c>
    </row>
    <row r="88" spans="1:21" s="35" customFormat="1" ht="15.75" customHeight="1">
      <c r="A88" s="110"/>
      <c r="B88" s="38" t="s">
        <v>80</v>
      </c>
      <c r="C88" s="40"/>
      <c r="D88" s="15"/>
      <c r="E88" s="15"/>
      <c r="F88" s="15"/>
      <c r="G88" s="18"/>
      <c r="H88" s="18"/>
      <c r="I88" s="29">
        <f>I87+I86+I82+I75+I66+I63+I60+I56+I45+I44+I43+I41+I40+I39+I27+I18+I17+I16</f>
        <v>98468.494903333325</v>
      </c>
    </row>
    <row r="89" spans="1:21" s="35" customFormat="1" ht="15.75" customHeight="1">
      <c r="A89" s="189" t="s">
        <v>60</v>
      </c>
      <c r="B89" s="190"/>
      <c r="C89" s="190"/>
      <c r="D89" s="190"/>
      <c r="E89" s="190"/>
      <c r="F89" s="190"/>
      <c r="G89" s="190"/>
      <c r="H89" s="190"/>
      <c r="I89" s="191"/>
    </row>
    <row r="90" spans="1:21" s="35" customFormat="1" ht="15.75" customHeight="1">
      <c r="A90" s="26">
        <v>19</v>
      </c>
      <c r="B90" s="60" t="s">
        <v>245</v>
      </c>
      <c r="C90" s="61" t="s">
        <v>29</v>
      </c>
      <c r="D90" s="36"/>
      <c r="E90" s="17"/>
      <c r="F90" s="34">
        <f>(3+3+3+15+10+10+10+15+10+3+10+10+15+5+10+10+10+15)/3</f>
        <v>55.666666666666664</v>
      </c>
      <c r="G90" s="34">
        <v>1158.7</v>
      </c>
      <c r="H90" s="111">
        <f t="shared" ref="H90:H91" si="14">G90*F90/1000</f>
        <v>64.50096666666667</v>
      </c>
      <c r="I90" s="12">
        <f>G90*0.0702</f>
        <v>81.340739999999997</v>
      </c>
    </row>
    <row r="91" spans="1:21" s="35" customFormat="1" ht="31.5" customHeight="1">
      <c r="A91" s="31">
        <v>20</v>
      </c>
      <c r="B91" s="60" t="s">
        <v>79</v>
      </c>
      <c r="C91" s="61" t="s">
        <v>124</v>
      </c>
      <c r="D91" s="58"/>
      <c r="E91" s="34"/>
      <c r="F91" s="34">
        <v>6</v>
      </c>
      <c r="G91" s="34">
        <v>86.69</v>
      </c>
      <c r="H91" s="111">
        <f t="shared" si="14"/>
        <v>0.52013999999999994</v>
      </c>
      <c r="I91" s="12">
        <f>G91*1</f>
        <v>86.69</v>
      </c>
    </row>
    <row r="92" spans="1:21" s="35" customFormat="1" ht="16.5" customHeight="1">
      <c r="A92" s="26">
        <v>21</v>
      </c>
      <c r="B92" s="60" t="s">
        <v>246</v>
      </c>
      <c r="C92" s="149" t="s">
        <v>247</v>
      </c>
      <c r="D92" s="58"/>
      <c r="E92" s="34"/>
      <c r="F92" s="34">
        <v>9</v>
      </c>
      <c r="G92" s="150">
        <v>160.33000000000001</v>
      </c>
      <c r="H92" s="111">
        <f t="shared" ref="H92" si="15">G92*F92/1000</f>
        <v>1.4429700000000001</v>
      </c>
      <c r="I92" s="12">
        <f>G92*1</f>
        <v>160.33000000000001</v>
      </c>
    </row>
    <row r="93" spans="1:21" s="35" customFormat="1" ht="15" customHeight="1">
      <c r="A93" s="31">
        <v>22</v>
      </c>
      <c r="B93" s="60" t="s">
        <v>248</v>
      </c>
      <c r="C93" s="149" t="s">
        <v>124</v>
      </c>
      <c r="D93" s="51"/>
      <c r="E93" s="34"/>
      <c r="F93" s="34">
        <v>0.09</v>
      </c>
      <c r="G93" s="150">
        <v>160</v>
      </c>
      <c r="H93" s="111">
        <f>G93*F93/1000</f>
        <v>1.4399999999999998E-2</v>
      </c>
      <c r="I93" s="12">
        <f>G93*2</f>
        <v>320</v>
      </c>
    </row>
    <row r="94" spans="1:21" s="35" customFormat="1" ht="31.5" customHeight="1">
      <c r="A94" s="26">
        <v>23</v>
      </c>
      <c r="B94" s="60" t="s">
        <v>164</v>
      </c>
      <c r="C94" s="61" t="s">
        <v>37</v>
      </c>
      <c r="D94" s="51"/>
      <c r="E94" s="34"/>
      <c r="F94" s="34">
        <v>1</v>
      </c>
      <c r="G94" s="34">
        <v>3724.37</v>
      </c>
      <c r="H94" s="111">
        <f>G94*F94/1000</f>
        <v>3.72437</v>
      </c>
      <c r="I94" s="12">
        <f>G94*0.01</f>
        <v>37.243699999999997</v>
      </c>
    </row>
    <row r="95" spans="1:21" s="35" customFormat="1" ht="15.75" customHeight="1">
      <c r="A95" s="31">
        <v>24</v>
      </c>
      <c r="B95" s="60" t="s">
        <v>203</v>
      </c>
      <c r="C95" s="61" t="s">
        <v>84</v>
      </c>
      <c r="D95" s="51"/>
      <c r="E95" s="34"/>
      <c r="F95" s="34">
        <v>1</v>
      </c>
      <c r="G95" s="34">
        <v>203.68</v>
      </c>
      <c r="H95" s="111">
        <f>G95*F95/1000</f>
        <v>0.20368</v>
      </c>
      <c r="I95" s="12">
        <f>G95*1</f>
        <v>203.68</v>
      </c>
    </row>
    <row r="96" spans="1:21" s="35" customFormat="1" ht="15.75" customHeight="1">
      <c r="A96" s="31">
        <v>25</v>
      </c>
      <c r="B96" s="60" t="s">
        <v>249</v>
      </c>
      <c r="C96" s="61" t="s">
        <v>250</v>
      </c>
      <c r="D96" s="51"/>
      <c r="E96" s="34"/>
      <c r="F96" s="34"/>
      <c r="G96" s="34">
        <v>692</v>
      </c>
      <c r="H96" s="111"/>
      <c r="I96" s="12">
        <f>G96*2</f>
        <v>1384</v>
      </c>
    </row>
    <row r="97" spans="1:9" s="35" customFormat="1" ht="15.75" customHeight="1">
      <c r="A97" s="31">
        <v>26</v>
      </c>
      <c r="B97" s="60" t="s">
        <v>251</v>
      </c>
      <c r="C97" s="61" t="s">
        <v>124</v>
      </c>
      <c r="D97" s="51"/>
      <c r="E97" s="34"/>
      <c r="F97" s="34"/>
      <c r="G97" s="34">
        <v>15.72</v>
      </c>
      <c r="H97" s="111"/>
      <c r="I97" s="12">
        <f>G97*1</f>
        <v>15.72</v>
      </c>
    </row>
    <row r="98" spans="1:9" s="35" customFormat="1" ht="15.75" customHeight="1">
      <c r="A98" s="31">
        <v>27</v>
      </c>
      <c r="B98" s="60" t="s">
        <v>252</v>
      </c>
      <c r="C98" s="61" t="s">
        <v>253</v>
      </c>
      <c r="D98" s="51"/>
      <c r="E98" s="34"/>
      <c r="F98" s="34"/>
      <c r="G98" s="34">
        <v>56.34</v>
      </c>
      <c r="H98" s="111"/>
      <c r="I98" s="12">
        <f>G98*1</f>
        <v>56.34</v>
      </c>
    </row>
    <row r="99" spans="1:9" s="35" customFormat="1" ht="15.75" customHeight="1">
      <c r="A99" s="31">
        <v>28</v>
      </c>
      <c r="B99" s="151" t="s">
        <v>254</v>
      </c>
      <c r="C99" s="40" t="s">
        <v>255</v>
      </c>
      <c r="D99" s="51"/>
      <c r="E99" s="34"/>
      <c r="F99" s="34"/>
      <c r="G99" s="122">
        <v>1801.52</v>
      </c>
      <c r="H99" s="111"/>
      <c r="I99" s="12">
        <f>G99*0.5</f>
        <v>900.76</v>
      </c>
    </row>
    <row r="100" spans="1:9" s="35" customFormat="1" ht="15.75" customHeight="1">
      <c r="A100" s="31">
        <v>29</v>
      </c>
      <c r="B100" s="151" t="s">
        <v>256</v>
      </c>
      <c r="C100" s="40" t="s">
        <v>257</v>
      </c>
      <c r="D100" s="51"/>
      <c r="E100" s="34"/>
      <c r="F100" s="34"/>
      <c r="G100" s="34">
        <v>45</v>
      </c>
      <c r="H100" s="111"/>
      <c r="I100" s="12">
        <f>G100*75</f>
        <v>3375</v>
      </c>
    </row>
    <row r="101" spans="1:9" s="35" customFormat="1" ht="15.75" customHeight="1">
      <c r="A101" s="31">
        <v>30</v>
      </c>
      <c r="B101" s="60" t="s">
        <v>82</v>
      </c>
      <c r="C101" s="61" t="s">
        <v>124</v>
      </c>
      <c r="D101" s="51"/>
      <c r="E101" s="34"/>
      <c r="F101" s="34"/>
      <c r="G101" s="34">
        <v>197.48</v>
      </c>
      <c r="H101" s="111"/>
      <c r="I101" s="12">
        <f>G101*1</f>
        <v>197.48</v>
      </c>
    </row>
    <row r="102" spans="1:9" s="35" customFormat="1" ht="15.75" customHeight="1">
      <c r="A102" s="31">
        <v>31</v>
      </c>
      <c r="B102" s="123" t="s">
        <v>258</v>
      </c>
      <c r="C102" s="61" t="s">
        <v>259</v>
      </c>
      <c r="D102" s="51"/>
      <c r="E102" s="34"/>
      <c r="F102" s="34"/>
      <c r="G102" s="34">
        <v>208</v>
      </c>
      <c r="H102" s="111"/>
      <c r="I102" s="12">
        <f>G102*1</f>
        <v>208</v>
      </c>
    </row>
    <row r="103" spans="1:9" s="35" customFormat="1" ht="15.75" customHeight="1">
      <c r="A103" s="31">
        <v>32</v>
      </c>
      <c r="B103" s="60" t="s">
        <v>174</v>
      </c>
      <c r="C103" s="61" t="s">
        <v>175</v>
      </c>
      <c r="D103" s="51"/>
      <c r="E103" s="34"/>
      <c r="F103" s="34"/>
      <c r="G103" s="34">
        <v>134.12</v>
      </c>
      <c r="H103" s="111"/>
      <c r="I103" s="12">
        <f>G103*55</f>
        <v>7376.6</v>
      </c>
    </row>
    <row r="104" spans="1:9" s="35" customFormat="1" ht="30" customHeight="1">
      <c r="A104" s="31">
        <v>33</v>
      </c>
      <c r="B104" s="60" t="s">
        <v>260</v>
      </c>
      <c r="C104" s="61" t="s">
        <v>124</v>
      </c>
      <c r="D104" s="51"/>
      <c r="E104" s="34"/>
      <c r="F104" s="34"/>
      <c r="G104" s="34">
        <v>419.84</v>
      </c>
      <c r="H104" s="111"/>
      <c r="I104" s="12">
        <f>G104*2</f>
        <v>839.68</v>
      </c>
    </row>
    <row r="105" spans="1:9" s="35" customFormat="1" ht="30" customHeight="1">
      <c r="A105" s="31">
        <v>34</v>
      </c>
      <c r="B105" s="60" t="s">
        <v>261</v>
      </c>
      <c r="C105" s="61" t="s">
        <v>29</v>
      </c>
      <c r="D105" s="51"/>
      <c r="E105" s="34"/>
      <c r="F105" s="34"/>
      <c r="G105" s="34">
        <v>1655.27</v>
      </c>
      <c r="H105" s="111"/>
      <c r="I105" s="12">
        <f>G105*0.207</f>
        <v>342.64088999999996</v>
      </c>
    </row>
    <row r="106" spans="1:9" s="35" customFormat="1" ht="15.75" customHeight="1">
      <c r="A106" s="26"/>
      <c r="B106" s="45" t="s">
        <v>51</v>
      </c>
      <c r="C106" s="41"/>
      <c r="D106" s="53"/>
      <c r="E106" s="41">
        <v>1</v>
      </c>
      <c r="F106" s="41"/>
      <c r="G106" s="41"/>
      <c r="H106" s="41"/>
      <c r="I106" s="29">
        <f>SUM(I90:I105)</f>
        <v>15585.505330000002</v>
      </c>
    </row>
    <row r="107" spans="1:9" s="35" customFormat="1" ht="15.75" customHeight="1">
      <c r="A107" s="26"/>
      <c r="B107" s="51" t="s">
        <v>78</v>
      </c>
      <c r="C107" s="15"/>
      <c r="D107" s="15"/>
      <c r="E107" s="42"/>
      <c r="F107" s="42"/>
      <c r="G107" s="43"/>
      <c r="H107" s="43"/>
      <c r="I107" s="17">
        <v>0</v>
      </c>
    </row>
    <row r="108" spans="1:9" s="35" customFormat="1" ht="15.75" customHeight="1">
      <c r="A108" s="54"/>
      <c r="B108" s="46" t="s">
        <v>152</v>
      </c>
      <c r="C108" s="32"/>
      <c r="D108" s="32"/>
      <c r="E108" s="32"/>
      <c r="F108" s="32"/>
      <c r="G108" s="32"/>
      <c r="H108" s="32"/>
      <c r="I108" s="44">
        <f>I88+I106</f>
        <v>114054.00023333333</v>
      </c>
    </row>
    <row r="109" spans="1:9" ht="15.75" customHeight="1">
      <c r="A109" s="173" t="s">
        <v>274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15.75" customHeight="1">
      <c r="A110" s="75"/>
      <c r="B110" s="197" t="s">
        <v>275</v>
      </c>
      <c r="C110" s="197"/>
      <c r="D110" s="197"/>
      <c r="E110" s="197"/>
      <c r="F110" s="197"/>
      <c r="G110" s="197"/>
      <c r="H110" s="80"/>
      <c r="I110" s="3"/>
    </row>
    <row r="111" spans="1:9" ht="15.75" customHeight="1">
      <c r="A111" s="84"/>
      <c r="B111" s="193" t="s">
        <v>6</v>
      </c>
      <c r="C111" s="193"/>
      <c r="D111" s="193"/>
      <c r="E111" s="193"/>
      <c r="F111" s="193"/>
      <c r="G111" s="193"/>
      <c r="H111" s="21"/>
      <c r="I111" s="5"/>
    </row>
    <row r="112" spans="1:9" ht="8.25" customHeight="1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5.75" customHeight="1">
      <c r="A113" s="198" t="s">
        <v>7</v>
      </c>
      <c r="B113" s="198"/>
      <c r="C113" s="198"/>
      <c r="D113" s="198"/>
      <c r="E113" s="198"/>
      <c r="F113" s="198"/>
      <c r="G113" s="198"/>
      <c r="H113" s="198"/>
      <c r="I113" s="198"/>
    </row>
    <row r="114" spans="1:9" ht="15.75" customHeight="1">
      <c r="A114" s="198" t="s">
        <v>8</v>
      </c>
      <c r="B114" s="198"/>
      <c r="C114" s="198"/>
      <c r="D114" s="198"/>
      <c r="E114" s="198"/>
      <c r="F114" s="198"/>
      <c r="G114" s="198"/>
      <c r="H114" s="198"/>
      <c r="I114" s="198"/>
    </row>
    <row r="115" spans="1:9" ht="15.75" customHeight="1">
      <c r="A115" s="199" t="s">
        <v>61</v>
      </c>
      <c r="B115" s="199"/>
      <c r="C115" s="199"/>
      <c r="D115" s="199"/>
      <c r="E115" s="199"/>
      <c r="F115" s="199"/>
      <c r="G115" s="199"/>
      <c r="H115" s="199"/>
      <c r="I115" s="199"/>
    </row>
    <row r="116" spans="1:9" ht="15.75" customHeight="1">
      <c r="A116" s="10"/>
    </row>
    <row r="117" spans="1:9" ht="15.75" customHeight="1">
      <c r="A117" s="180" t="s">
        <v>9</v>
      </c>
      <c r="B117" s="180"/>
      <c r="C117" s="180"/>
      <c r="D117" s="180"/>
      <c r="E117" s="180"/>
      <c r="F117" s="180"/>
      <c r="G117" s="180"/>
      <c r="H117" s="180"/>
      <c r="I117" s="180"/>
    </row>
    <row r="118" spans="1:9" ht="15.75" customHeight="1">
      <c r="A118" s="4"/>
    </row>
    <row r="119" spans="1:9" ht="15.75" customHeight="1">
      <c r="B119" s="85" t="s">
        <v>10</v>
      </c>
      <c r="C119" s="192" t="s">
        <v>90</v>
      </c>
      <c r="D119" s="192"/>
      <c r="E119" s="192"/>
      <c r="F119" s="78"/>
      <c r="I119" s="83"/>
    </row>
    <row r="120" spans="1:9" ht="15.75" customHeight="1">
      <c r="A120" s="84"/>
      <c r="C120" s="193" t="s">
        <v>11</v>
      </c>
      <c r="D120" s="193"/>
      <c r="E120" s="193"/>
      <c r="F120" s="21"/>
      <c r="I120" s="82" t="s">
        <v>12</v>
      </c>
    </row>
    <row r="121" spans="1:9" ht="15.75" customHeight="1">
      <c r="A121" s="22"/>
      <c r="C121" s="11"/>
      <c r="D121" s="11"/>
      <c r="G121" s="11"/>
      <c r="H121" s="11"/>
    </row>
    <row r="122" spans="1:9" ht="15.75" customHeight="1">
      <c r="B122" s="85" t="s">
        <v>13</v>
      </c>
      <c r="C122" s="194"/>
      <c r="D122" s="194"/>
      <c r="E122" s="194"/>
      <c r="F122" s="79"/>
      <c r="I122" s="83"/>
    </row>
    <row r="123" spans="1:9" ht="15.75" customHeight="1">
      <c r="A123" s="84"/>
      <c r="C123" s="195" t="s">
        <v>11</v>
      </c>
      <c r="D123" s="195"/>
      <c r="E123" s="195"/>
      <c r="F123" s="84"/>
      <c r="I123" s="82" t="s">
        <v>12</v>
      </c>
    </row>
    <row r="124" spans="1:9" ht="15.75" customHeight="1">
      <c r="A124" s="4" t="s">
        <v>14</v>
      </c>
    </row>
    <row r="125" spans="1:9">
      <c r="A125" s="196" t="s">
        <v>15</v>
      </c>
      <c r="B125" s="196"/>
      <c r="C125" s="196"/>
      <c r="D125" s="196"/>
      <c r="E125" s="196"/>
      <c r="F125" s="196"/>
      <c r="G125" s="196"/>
      <c r="H125" s="196"/>
      <c r="I125" s="196"/>
    </row>
    <row r="126" spans="1:9" ht="45" customHeight="1">
      <c r="A126" s="185" t="s">
        <v>16</v>
      </c>
      <c r="B126" s="185"/>
      <c r="C126" s="185"/>
      <c r="D126" s="185"/>
      <c r="E126" s="185"/>
      <c r="F126" s="185"/>
      <c r="G126" s="185"/>
      <c r="H126" s="185"/>
      <c r="I126" s="185"/>
    </row>
    <row r="127" spans="1:9" ht="30" customHeight="1">
      <c r="A127" s="185" t="s">
        <v>17</v>
      </c>
      <c r="B127" s="185"/>
      <c r="C127" s="185"/>
      <c r="D127" s="185"/>
      <c r="E127" s="185"/>
      <c r="F127" s="185"/>
      <c r="G127" s="185"/>
      <c r="H127" s="185"/>
      <c r="I127" s="185"/>
    </row>
    <row r="128" spans="1:9" ht="30" customHeight="1">
      <c r="A128" s="185" t="s">
        <v>21</v>
      </c>
      <c r="B128" s="185"/>
      <c r="C128" s="185"/>
      <c r="D128" s="185"/>
      <c r="E128" s="185"/>
      <c r="F128" s="185"/>
      <c r="G128" s="185"/>
      <c r="H128" s="185"/>
      <c r="I128" s="185"/>
    </row>
    <row r="129" spans="1:9" ht="14.25" customHeight="1">
      <c r="A129" s="185" t="s">
        <v>20</v>
      </c>
      <c r="B129" s="185"/>
      <c r="C129" s="185"/>
      <c r="D129" s="185"/>
      <c r="E129" s="185"/>
      <c r="F129" s="185"/>
      <c r="G129" s="185"/>
      <c r="H129" s="185"/>
      <c r="I129" s="185"/>
    </row>
  </sheetData>
  <autoFilter ref="I12:I72"/>
  <mergeCells count="29">
    <mergeCell ref="A14:I14"/>
    <mergeCell ref="A15:I15"/>
    <mergeCell ref="A29:I29"/>
    <mergeCell ref="A46:I46"/>
    <mergeCell ref="A57:I57"/>
    <mergeCell ref="A3:I3"/>
    <mergeCell ref="A4:I4"/>
    <mergeCell ref="A5:I5"/>
    <mergeCell ref="A8:I8"/>
    <mergeCell ref="A10:I10"/>
    <mergeCell ref="R80:U80"/>
    <mergeCell ref="C123:E123"/>
    <mergeCell ref="A89:I89"/>
    <mergeCell ref="A109:I109"/>
    <mergeCell ref="B110:G110"/>
    <mergeCell ref="B111:G111"/>
    <mergeCell ref="A113:I113"/>
    <mergeCell ref="A114:I114"/>
    <mergeCell ref="A115:I115"/>
    <mergeCell ref="A117:I117"/>
    <mergeCell ref="C119:E119"/>
    <mergeCell ref="C120:E120"/>
    <mergeCell ref="C122:E122"/>
    <mergeCell ref="A85:I85"/>
    <mergeCell ref="A125:I125"/>
    <mergeCell ref="A126:I126"/>
    <mergeCell ref="A127:I127"/>
    <mergeCell ref="A128:I128"/>
    <mergeCell ref="A129:I129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  <ignoredErrors>
    <ignoredError sqref="I9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7"/>
  <sheetViews>
    <sheetView tabSelected="1" topLeftCell="A84" workbookViewId="0">
      <selection activeCell="B98" sqref="B98:G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207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171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262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87"/>
      <c r="C6" s="87"/>
      <c r="D6" s="87"/>
      <c r="E6" s="87"/>
      <c r="F6" s="87"/>
      <c r="G6" s="87"/>
      <c r="H6" s="87"/>
      <c r="I6" s="27">
        <v>43465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208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30" t="s">
        <v>87</v>
      </c>
      <c r="C16" s="39" t="s">
        <v>105</v>
      </c>
      <c r="D16" s="30" t="s">
        <v>263</v>
      </c>
      <c r="E16" s="156">
        <v>169.2</v>
      </c>
      <c r="F16" s="119">
        <f>SUM(E16*156/100)</f>
        <v>263.952</v>
      </c>
      <c r="G16" s="119">
        <v>239.2</v>
      </c>
      <c r="H16" s="92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30" t="s">
        <v>93</v>
      </c>
      <c r="C17" s="39" t="s">
        <v>105</v>
      </c>
      <c r="D17" s="30" t="s">
        <v>264</v>
      </c>
      <c r="E17" s="156">
        <v>676.6</v>
      </c>
      <c r="F17" s="119">
        <f>SUM(E17*104/100)</f>
        <v>703.6640000000001</v>
      </c>
      <c r="G17" s="119">
        <v>239.2</v>
      </c>
      <c r="H17" s="92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30" t="s">
        <v>94</v>
      </c>
      <c r="C18" s="39" t="s">
        <v>105</v>
      </c>
      <c r="D18" s="30" t="s">
        <v>265</v>
      </c>
      <c r="E18" s="156">
        <f>SUM(E16+E17)</f>
        <v>845.8</v>
      </c>
      <c r="F18" s="119">
        <f>E18*18/100</f>
        <v>152.244</v>
      </c>
      <c r="G18" s="119">
        <v>688.14</v>
      </c>
      <c r="H18" s="92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30" t="s">
        <v>64</v>
      </c>
      <c r="C27" s="39" t="s">
        <v>33</v>
      </c>
      <c r="D27" s="30" t="s">
        <v>63</v>
      </c>
      <c r="E27" s="159">
        <v>0.1</v>
      </c>
      <c r="F27" s="119">
        <f>SUM(E27*155)</f>
        <v>15.5</v>
      </c>
      <c r="G27" s="119">
        <v>275.45</v>
      </c>
      <c r="H27" s="92">
        <f t="shared" ref="H27:H28" si="2">SUM(F27*G27/1000)</f>
        <v>4.269474999999999</v>
      </c>
      <c r="I27" s="12">
        <f>F27/12*G27</f>
        <v>355.78958333333333</v>
      </c>
      <c r="J27" s="63"/>
      <c r="K27" s="62"/>
      <c r="L27" s="62"/>
      <c r="M27" s="62"/>
    </row>
    <row r="28" spans="1:13" s="35" customFormat="1" ht="15.75" hidden="1" customHeight="1">
      <c r="A28" s="26">
        <v>5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2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hidden="1" customHeight="1">
      <c r="A31" s="40">
        <v>6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3">SUM(F31*G31/1000)</f>
        <v>7.2964626280000004</v>
      </c>
      <c r="I31" s="12">
        <f>F31/6*G31</f>
        <v>1216.0771046666666</v>
      </c>
      <c r="J31" s="63"/>
      <c r="K31" s="62"/>
      <c r="L31" s="62"/>
      <c r="M31" s="62"/>
    </row>
    <row r="32" spans="1:13" s="35" customFormat="1" ht="31.5" hidden="1" customHeight="1">
      <c r="A32" s="40">
        <v>7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3"/>
        <v>5.8381067159999995</v>
      </c>
      <c r="I32" s="12">
        <f t="shared" ref="I32:I35" si="4">F32/6*G32</f>
        <v>973.01778599999989</v>
      </c>
      <c r="J32" s="63"/>
      <c r="K32" s="62"/>
      <c r="L32" s="62"/>
      <c r="M32" s="62"/>
    </row>
    <row r="33" spans="1:14" s="35" customFormat="1" ht="15.75" hidden="1" customHeight="1">
      <c r="A33" s="40">
        <v>16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3"/>
        <v>2.7185990329999998</v>
      </c>
      <c r="I33" s="12">
        <f>F33*G33</f>
        <v>2718.599033</v>
      </c>
      <c r="J33" s="63"/>
      <c r="K33" s="62"/>
      <c r="L33" s="62"/>
      <c r="M33" s="62"/>
    </row>
    <row r="34" spans="1:14" s="35" customFormat="1" ht="15.75" hidden="1" customHeight="1">
      <c r="A34" s="40">
        <v>8</v>
      </c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f t="shared" si="4"/>
        <v>2690.8413333333338</v>
      </c>
      <c r="J34" s="63"/>
      <c r="K34" s="62"/>
      <c r="L34" s="62"/>
      <c r="M34" s="62"/>
    </row>
    <row r="35" spans="1:14" s="35" customFormat="1" ht="15.75" hidden="1" customHeight="1">
      <c r="A35" s="40">
        <v>9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f t="shared" si="4"/>
        <v>488.16388888888883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5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5"/>
        <v>2.27264</v>
      </c>
      <c r="I37" s="12">
        <v>0</v>
      </c>
      <c r="J37" s="64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customHeight="1">
      <c r="A39" s="31">
        <v>5</v>
      </c>
      <c r="B39" s="155" t="s">
        <v>26</v>
      </c>
      <c r="C39" s="39" t="s">
        <v>32</v>
      </c>
      <c r="D39" s="30"/>
      <c r="E39" s="156"/>
      <c r="F39" s="119">
        <v>6</v>
      </c>
      <c r="G39" s="119">
        <v>2083.12</v>
      </c>
      <c r="H39" s="92">
        <f t="shared" ref="H39:H44" si="6">SUM(F39*G39/1000)</f>
        <v>12.498719999999999</v>
      </c>
      <c r="I39" s="12">
        <f t="shared" ref="I39:I42" si="7">F39/6*G39</f>
        <v>2083.12</v>
      </c>
      <c r="J39" s="64"/>
    </row>
    <row r="40" spans="1:14" s="35" customFormat="1" ht="15.75" customHeight="1">
      <c r="A40" s="31">
        <v>6</v>
      </c>
      <c r="B40" s="155" t="s">
        <v>239</v>
      </c>
      <c r="C40" s="157" t="s">
        <v>29</v>
      </c>
      <c r="D40" s="155" t="s">
        <v>137</v>
      </c>
      <c r="E40" s="158">
        <v>289.39999999999998</v>
      </c>
      <c r="F40" s="158">
        <f>SUM(E40*30/1000)</f>
        <v>8.6820000000000004</v>
      </c>
      <c r="G40" s="158">
        <v>2868.09</v>
      </c>
      <c r="H40" s="92">
        <f t="shared" si="6"/>
        <v>24.900757380000002</v>
      </c>
      <c r="I40" s="12">
        <f t="shared" si="7"/>
        <v>4150.1262300000008</v>
      </c>
      <c r="J40" s="64"/>
    </row>
    <row r="41" spans="1:14" s="35" customFormat="1" ht="15.75" customHeight="1">
      <c r="A41" s="31">
        <v>7</v>
      </c>
      <c r="B41" s="30" t="s">
        <v>68</v>
      </c>
      <c r="C41" s="39" t="s">
        <v>29</v>
      </c>
      <c r="D41" s="30" t="s">
        <v>119</v>
      </c>
      <c r="E41" s="119">
        <v>289.39999999999998</v>
      </c>
      <c r="F41" s="158">
        <f>SUM(E41*155/1000)</f>
        <v>44.856999999999999</v>
      </c>
      <c r="G41" s="119">
        <v>478.42</v>
      </c>
      <c r="H41" s="92">
        <f t="shared" si="6"/>
        <v>21.460485939999998</v>
      </c>
      <c r="I41" s="12">
        <f t="shared" si="7"/>
        <v>3576.7476566666669</v>
      </c>
      <c r="J41" s="64"/>
    </row>
    <row r="42" spans="1:14" s="35" customFormat="1" ht="47.25" customHeight="1">
      <c r="A42" s="31">
        <v>8</v>
      </c>
      <c r="B42" s="30" t="s">
        <v>83</v>
      </c>
      <c r="C42" s="39" t="s">
        <v>115</v>
      </c>
      <c r="D42" s="30" t="s">
        <v>138</v>
      </c>
      <c r="E42" s="119">
        <v>108</v>
      </c>
      <c r="F42" s="158">
        <f>SUM(E42*24/1000)</f>
        <v>2.5920000000000001</v>
      </c>
      <c r="G42" s="119">
        <v>7915.6</v>
      </c>
      <c r="H42" s="92">
        <f t="shared" si="6"/>
        <v>20.517235200000002</v>
      </c>
      <c r="I42" s="12">
        <f t="shared" si="7"/>
        <v>3419.5392000000002</v>
      </c>
      <c r="J42" s="64"/>
    </row>
    <row r="43" spans="1:14" s="35" customFormat="1" ht="15.75" customHeight="1">
      <c r="A43" s="31">
        <v>9</v>
      </c>
      <c r="B43" s="30" t="s">
        <v>120</v>
      </c>
      <c r="C43" s="39" t="s">
        <v>115</v>
      </c>
      <c r="D43" s="30" t="s">
        <v>69</v>
      </c>
      <c r="E43" s="119">
        <v>108</v>
      </c>
      <c r="F43" s="158">
        <f>SUM(E43*45/1000)</f>
        <v>4.8600000000000003</v>
      </c>
      <c r="G43" s="119">
        <v>584.74</v>
      </c>
      <c r="H43" s="92">
        <f t="shared" si="6"/>
        <v>2.8418364</v>
      </c>
      <c r="I43" s="12">
        <f>F43/7.5*1.5*G43</f>
        <v>568.36728000000005</v>
      </c>
      <c r="J43" s="64"/>
      <c r="L43" s="19"/>
      <c r="M43" s="20"/>
      <c r="N43" s="28"/>
    </row>
    <row r="44" spans="1:14" s="35" customFormat="1" ht="15.75" customHeight="1">
      <c r="A44" s="161">
        <v>10</v>
      </c>
      <c r="B44" s="166" t="s">
        <v>70</v>
      </c>
      <c r="C44" s="167" t="s">
        <v>33</v>
      </c>
      <c r="D44" s="166"/>
      <c r="E44" s="168"/>
      <c r="F44" s="169">
        <v>0.9</v>
      </c>
      <c r="G44" s="169">
        <v>800</v>
      </c>
      <c r="H44" s="103">
        <f t="shared" si="6"/>
        <v>0.72</v>
      </c>
      <c r="I44" s="115">
        <f>F44/7.5*1.5*G44</f>
        <v>144.00000000000003</v>
      </c>
      <c r="J44" s="64"/>
      <c r="L44" s="19"/>
      <c r="M44" s="20"/>
      <c r="N44" s="28"/>
    </row>
    <row r="45" spans="1:14" s="35" customFormat="1" ht="32.25" customHeight="1">
      <c r="A45" s="31">
        <v>11</v>
      </c>
      <c r="B45" s="155" t="s">
        <v>242</v>
      </c>
      <c r="C45" s="157" t="s">
        <v>29</v>
      </c>
      <c r="D45" s="155" t="s">
        <v>243</v>
      </c>
      <c r="E45" s="159">
        <v>3.6</v>
      </c>
      <c r="F45" s="158">
        <v>0.04</v>
      </c>
      <c r="G45" s="158">
        <v>270.61</v>
      </c>
      <c r="H45" s="12"/>
      <c r="I45" s="12">
        <f>G45*F45/6</f>
        <v>1.8040666666666667</v>
      </c>
      <c r="J45" s="64"/>
      <c r="L45" s="19"/>
      <c r="M45" s="20"/>
      <c r="N45" s="28"/>
    </row>
    <row r="46" spans="1:14" s="35" customFormat="1" ht="15.75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hidden="1" customHeight="1">
      <c r="A47" s="40">
        <v>10</v>
      </c>
      <c r="B47" s="88" t="s">
        <v>121</v>
      </c>
      <c r="C47" s="89" t="s">
        <v>115</v>
      </c>
      <c r="D47" s="88" t="s">
        <v>41</v>
      </c>
      <c r="E47" s="90">
        <v>1662.5</v>
      </c>
      <c r="F47" s="91">
        <f>SUM(E47*2/1000)</f>
        <v>3.3250000000000002</v>
      </c>
      <c r="G47" s="12">
        <v>849.49</v>
      </c>
      <c r="H47" s="92">
        <f t="shared" ref="H47:H55" si="8">SUM(F47*G47/1000)</f>
        <v>2.8245542500000003</v>
      </c>
      <c r="I47" s="12">
        <f t="shared" ref="I47:I49" si="9">F47/2*G47</f>
        <v>1412.2771250000001</v>
      </c>
      <c r="J47" s="64"/>
      <c r="L47" s="19"/>
      <c r="M47" s="20"/>
      <c r="N47" s="28"/>
    </row>
    <row r="48" spans="1:14" s="35" customFormat="1" ht="15.75" hidden="1" customHeight="1">
      <c r="A48" s="40">
        <v>11</v>
      </c>
      <c r="B48" s="88" t="s">
        <v>34</v>
      </c>
      <c r="C48" s="89" t="s">
        <v>115</v>
      </c>
      <c r="D48" s="88" t="s">
        <v>41</v>
      </c>
      <c r="E48" s="90">
        <v>92.8</v>
      </c>
      <c r="F48" s="91">
        <f>SUM(E48*2/1000)</f>
        <v>0.18559999999999999</v>
      </c>
      <c r="G48" s="12">
        <v>579.48</v>
      </c>
      <c r="H48" s="92">
        <f t="shared" si="8"/>
        <v>0.10755148799999999</v>
      </c>
      <c r="I48" s="12">
        <f t="shared" si="9"/>
        <v>53.775743999999996</v>
      </c>
      <c r="J48" s="64"/>
      <c r="L48" s="19"/>
      <c r="M48" s="20"/>
      <c r="N48" s="28"/>
    </row>
    <row r="49" spans="1:14" s="35" customFormat="1" ht="15.75" hidden="1" customHeight="1">
      <c r="A49" s="40">
        <v>12</v>
      </c>
      <c r="B49" s="88" t="s">
        <v>35</v>
      </c>
      <c r="C49" s="89" t="s">
        <v>115</v>
      </c>
      <c r="D49" s="88" t="s">
        <v>41</v>
      </c>
      <c r="E49" s="90">
        <v>4750.7</v>
      </c>
      <c r="F49" s="91">
        <f>SUM(E49*2/1000)</f>
        <v>9.5014000000000003</v>
      </c>
      <c r="G49" s="12">
        <v>579.48</v>
      </c>
      <c r="H49" s="92">
        <f t="shared" si="8"/>
        <v>5.5058712720000003</v>
      </c>
      <c r="I49" s="12">
        <f t="shared" si="9"/>
        <v>2752.9356360000002</v>
      </c>
      <c r="J49" s="64"/>
      <c r="L49" s="19"/>
      <c r="M49" s="20"/>
      <c r="N49" s="28"/>
    </row>
    <row r="50" spans="1:14" s="35" customFormat="1" ht="15.75" hidden="1" customHeight="1">
      <c r="A50" s="40">
        <v>13</v>
      </c>
      <c r="B50" s="88" t="s">
        <v>36</v>
      </c>
      <c r="C50" s="89" t="s">
        <v>115</v>
      </c>
      <c r="D50" s="88" t="s">
        <v>41</v>
      </c>
      <c r="E50" s="90">
        <v>2840.99</v>
      </c>
      <c r="F50" s="91">
        <f>SUM(E50*2/1000)</f>
        <v>5.6819799999999994</v>
      </c>
      <c r="G50" s="12">
        <v>606.77</v>
      </c>
      <c r="H50" s="92">
        <f t="shared" si="8"/>
        <v>3.4476550045999992</v>
      </c>
      <c r="I50" s="12">
        <f>F50/2*G50</f>
        <v>1723.8275022999997</v>
      </c>
      <c r="J50" s="64"/>
      <c r="L50" s="19"/>
      <c r="M50" s="20"/>
      <c r="N50" s="28"/>
    </row>
    <row r="51" spans="1:14" s="35" customFormat="1" ht="30" customHeight="1">
      <c r="A51" s="40">
        <v>12</v>
      </c>
      <c r="B51" s="30" t="s">
        <v>56</v>
      </c>
      <c r="C51" s="39" t="s">
        <v>115</v>
      </c>
      <c r="D51" s="30" t="s">
        <v>266</v>
      </c>
      <c r="E51" s="156">
        <v>1652.5</v>
      </c>
      <c r="F51" s="119">
        <f>SUM(E51*5/1000)</f>
        <v>8.2624999999999993</v>
      </c>
      <c r="G51" s="34">
        <v>1655.27</v>
      </c>
      <c r="H51" s="92">
        <f t="shared" si="8"/>
        <v>13.676668374999998</v>
      </c>
      <c r="I51" s="12">
        <f>F51/5*G51</f>
        <v>2735.3336749999999</v>
      </c>
      <c r="J51" s="64"/>
      <c r="L51" s="19"/>
      <c r="M51" s="20"/>
      <c r="N51" s="28"/>
    </row>
    <row r="52" spans="1:14" s="35" customFormat="1" ht="31.5" hidden="1" customHeight="1">
      <c r="A52" s="40">
        <v>10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8"/>
        <v>4.0107827499999997</v>
      </c>
      <c r="I52" s="12">
        <f>F52/2*G52</f>
        <v>2005.3913749999999</v>
      </c>
      <c r="J52" s="64"/>
      <c r="L52" s="19"/>
      <c r="M52" s="20"/>
      <c r="N52" s="28"/>
    </row>
    <row r="53" spans="1:14" s="35" customFormat="1" ht="31.5" hidden="1" customHeight="1">
      <c r="A53" s="40">
        <v>11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8"/>
        <v>2.1843919999999999</v>
      </c>
      <c r="I53" s="12">
        <f t="shared" ref="I53:I54" si="10">F53/2*G53</f>
        <v>1092.1959999999999</v>
      </c>
      <c r="J53" s="64"/>
      <c r="L53" s="19"/>
      <c r="M53" s="20"/>
      <c r="N53" s="28"/>
    </row>
    <row r="54" spans="1:14" s="35" customFormat="1" ht="15.75" hidden="1" customHeight="1">
      <c r="A54" s="40">
        <v>12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8"/>
        <v>0.11304260000000001</v>
      </c>
      <c r="I54" s="12">
        <f t="shared" si="10"/>
        <v>56.521300000000004</v>
      </c>
      <c r="J54" s="64"/>
      <c r="L54" s="19"/>
      <c r="M54" s="20"/>
      <c r="N54" s="28"/>
    </row>
    <row r="55" spans="1:14" s="35" customFormat="1" ht="15.75" hidden="1" customHeight="1">
      <c r="A55" s="40">
        <v>13</v>
      </c>
      <c r="B55" s="88" t="s">
        <v>40</v>
      </c>
      <c r="C55" s="89" t="s">
        <v>124</v>
      </c>
      <c r="D55" s="88" t="s">
        <v>71</v>
      </c>
      <c r="E55" s="90">
        <v>236</v>
      </c>
      <c r="F55" s="91">
        <f>SUM(E55)*3</f>
        <v>708</v>
      </c>
      <c r="G55" s="12">
        <v>65.67</v>
      </c>
      <c r="H55" s="92">
        <f t="shared" si="8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182" t="s">
        <v>150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customHeight="1">
      <c r="A57" s="110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hidden="1" customHeight="1">
      <c r="A58" s="40">
        <v>14</v>
      </c>
      <c r="B58" s="88" t="s">
        <v>139</v>
      </c>
      <c r="C58" s="89" t="s">
        <v>105</v>
      </c>
      <c r="D58" s="88" t="s">
        <v>140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F58/6*G58</f>
        <v>2572.3529999999996</v>
      </c>
      <c r="J58" s="64"/>
      <c r="L58" s="19"/>
      <c r="M58" s="20"/>
      <c r="N58" s="28"/>
    </row>
    <row r="59" spans="1:14" s="35" customFormat="1" ht="15.75" customHeight="1">
      <c r="A59" s="40">
        <v>13</v>
      </c>
      <c r="B59" s="125" t="s">
        <v>95</v>
      </c>
      <c r="C59" s="126" t="s">
        <v>105</v>
      </c>
      <c r="D59" s="125" t="s">
        <v>140</v>
      </c>
      <c r="E59" s="152">
        <v>56</v>
      </c>
      <c r="F59" s="153">
        <f>E59*6/100</f>
        <v>3.36</v>
      </c>
      <c r="G59" s="154">
        <v>2110.4699999999998</v>
      </c>
      <c r="H59" s="103">
        <f>F59*G59/1000</f>
        <v>7.0911791999999982</v>
      </c>
      <c r="I59" s="12">
        <f>F59/6*G59</f>
        <v>1181.8631999999998</v>
      </c>
      <c r="J59" s="64"/>
      <c r="L59" s="19"/>
      <c r="M59" s="20"/>
      <c r="N59" s="28"/>
    </row>
    <row r="60" spans="1:14" s="35" customFormat="1" ht="15.75" hidden="1" customHeight="1">
      <c r="A60" s="40"/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86" t="s">
        <v>43</v>
      </c>
      <c r="C61" s="86"/>
      <c r="D61" s="86"/>
      <c r="E61" s="86"/>
      <c r="F61" s="86"/>
      <c r="G61" s="86"/>
      <c r="H61" s="86"/>
      <c r="I61" s="33"/>
      <c r="J61" s="64"/>
      <c r="L61" s="19"/>
      <c r="M61" s="20"/>
      <c r="N61" s="28"/>
    </row>
    <row r="62" spans="1:14" s="35" customFormat="1" ht="15.75" customHeight="1">
      <c r="A62" s="40">
        <v>14</v>
      </c>
      <c r="B62" s="125" t="s">
        <v>96</v>
      </c>
      <c r="C62" s="126" t="s">
        <v>25</v>
      </c>
      <c r="D62" s="125" t="s">
        <v>147</v>
      </c>
      <c r="E62" s="152">
        <v>200</v>
      </c>
      <c r="F62" s="153">
        <f>E62*12</f>
        <v>2400</v>
      </c>
      <c r="G62" s="165">
        <v>1.2</v>
      </c>
      <c r="H62" s="103">
        <f>G62*F62/1000</f>
        <v>2.88</v>
      </c>
      <c r="I62" s="12">
        <f>F62/12*G62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customHeight="1">
      <c r="A64" s="40"/>
      <c r="B64" s="86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customHeight="1">
      <c r="A65" s="40">
        <v>15</v>
      </c>
      <c r="B65" s="160" t="s">
        <v>46</v>
      </c>
      <c r="C65" s="37" t="s">
        <v>124</v>
      </c>
      <c r="D65" s="36" t="s">
        <v>244</v>
      </c>
      <c r="E65" s="17">
        <v>12</v>
      </c>
      <c r="F65" s="119">
        <f>E65*1</f>
        <v>12</v>
      </c>
      <c r="G65" s="34">
        <v>303.35000000000002</v>
      </c>
      <c r="H65" s="81">
        <f t="shared" ref="H65:H72" si="11">SUM(F65*G65/1000)</f>
        <v>3.6402000000000001</v>
      </c>
      <c r="I65" s="12">
        <f>G65*3</f>
        <v>910.05000000000007</v>
      </c>
      <c r="J65" s="64"/>
      <c r="L65" s="19"/>
      <c r="M65" s="20"/>
      <c r="N65" s="28"/>
    </row>
    <row r="66" spans="1:22" s="35" customFormat="1" ht="15.75" hidden="1" customHeight="1"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11"/>
        <v>0.61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25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11"/>
        <v>49.360940499999998</v>
      </c>
      <c r="I67" s="12">
        <f>F67*G67</f>
        <v>49360.940499999997</v>
      </c>
      <c r="J67" s="64"/>
      <c r="L67" s="19"/>
      <c r="M67" s="20"/>
      <c r="N67" s="28"/>
    </row>
    <row r="68" spans="1:22" s="35" customFormat="1" ht="15.75" hidden="1" customHeight="1">
      <c r="A68" s="26">
        <v>26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11"/>
        <v>3.8439410700000005</v>
      </c>
      <c r="I68" s="12">
        <f t="shared" ref="I68:I71" si="12">F68*G68</f>
        <v>3843.9410700000003</v>
      </c>
      <c r="J68" s="64"/>
      <c r="L68" s="19"/>
      <c r="M68" s="20"/>
      <c r="N68" s="28"/>
    </row>
    <row r="69" spans="1:22" s="35" customFormat="1" ht="15.75" hidden="1" customHeight="1">
      <c r="A69" s="26">
        <v>27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11"/>
        <v>65.247113499999998</v>
      </c>
      <c r="I69" s="12">
        <f t="shared" si="12"/>
        <v>65247.113499999999</v>
      </c>
      <c r="J69" s="64"/>
      <c r="L69" s="19"/>
    </row>
    <row r="70" spans="1:22" s="35" customFormat="1" ht="15.75" hidden="1" customHeight="1">
      <c r="A70" s="26">
        <v>28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11"/>
        <v>0.88156220000000007</v>
      </c>
      <c r="I70" s="12">
        <f t="shared" si="12"/>
        <v>881.56220000000008</v>
      </c>
    </row>
    <row r="71" spans="1:22" s="35" customFormat="1" ht="15.75" hidden="1" customHeight="1">
      <c r="A71" s="26">
        <v>29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11"/>
        <v>0.82247460000000006</v>
      </c>
      <c r="I71" s="12">
        <f t="shared" si="12"/>
        <v>822.47460000000001</v>
      </c>
    </row>
    <row r="72" spans="1:22" s="35" customFormat="1" ht="22.5" hidden="1" customHeight="1">
      <c r="A72" s="26">
        <v>17</v>
      </c>
      <c r="B72" s="14" t="s">
        <v>57</v>
      </c>
      <c r="C72" s="16" t="s">
        <v>58</v>
      </c>
      <c r="D72" s="14" t="s">
        <v>53</v>
      </c>
      <c r="E72" s="18">
        <v>5</v>
      </c>
      <c r="F72" s="91">
        <f>SUM(E72)</f>
        <v>5</v>
      </c>
      <c r="G72" s="12">
        <v>49.88</v>
      </c>
      <c r="H72" s="81">
        <f t="shared" si="11"/>
        <v>0.24940000000000001</v>
      </c>
      <c r="I72" s="12">
        <f>F72*G72</f>
        <v>249.4</v>
      </c>
    </row>
    <row r="73" spans="1:22" s="35" customFormat="1" ht="22.5" customHeight="1">
      <c r="A73" s="26"/>
      <c r="B73" s="139" t="s">
        <v>224</v>
      </c>
      <c r="C73" s="140"/>
      <c r="D73" s="139"/>
      <c r="E73" s="146"/>
      <c r="F73" s="147"/>
      <c r="G73" s="148"/>
      <c r="H73" s="81"/>
      <c r="I73" s="12"/>
    </row>
    <row r="74" spans="1:22" s="35" customFormat="1" ht="31.5" customHeight="1">
      <c r="A74" s="26">
        <v>16</v>
      </c>
      <c r="B74" s="36" t="s">
        <v>225</v>
      </c>
      <c r="C74" s="40" t="s">
        <v>226</v>
      </c>
      <c r="D74" s="36" t="s">
        <v>244</v>
      </c>
      <c r="E74" s="17">
        <v>5916.3</v>
      </c>
      <c r="F74" s="34">
        <f>E74*12</f>
        <v>70995.600000000006</v>
      </c>
      <c r="G74" s="34">
        <v>2.37</v>
      </c>
      <c r="H74" s="81"/>
      <c r="I74" s="12">
        <f>G74*F74/12</f>
        <v>14021.631000000001</v>
      </c>
    </row>
    <row r="75" spans="1:22" s="35" customFormat="1" ht="21.75" hidden="1" customHeight="1">
      <c r="A75" s="110"/>
      <c r="B75" s="86" t="s">
        <v>128</v>
      </c>
      <c r="C75" s="86"/>
      <c r="D75" s="86"/>
      <c r="E75" s="86"/>
      <c r="F75" s="86"/>
      <c r="G75" s="86"/>
      <c r="H75" s="86"/>
      <c r="I75" s="18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65"/>
    </row>
    <row r="76" spans="1:22" s="35" customFormat="1" ht="20.25" hidden="1" customHeight="1">
      <c r="A76" s="26">
        <v>18</v>
      </c>
      <c r="B76" s="88" t="s">
        <v>129</v>
      </c>
      <c r="C76" s="16"/>
      <c r="D76" s="14"/>
      <c r="E76" s="77"/>
      <c r="F76" s="12">
        <v>1</v>
      </c>
      <c r="G76" s="12">
        <v>27750</v>
      </c>
      <c r="H76" s="81">
        <f>G76*F76/1000</f>
        <v>27.75</v>
      </c>
      <c r="I76" s="12">
        <f>G76</f>
        <v>27750</v>
      </c>
      <c r="J76" s="66"/>
      <c r="K76" s="66"/>
      <c r="L76" s="55"/>
      <c r="M76" s="55"/>
      <c r="N76" s="55"/>
      <c r="O76" s="55"/>
      <c r="P76" s="55"/>
      <c r="Q76" s="55"/>
      <c r="R76" s="55"/>
      <c r="S76" s="55"/>
      <c r="T76" s="55"/>
      <c r="U76" s="55"/>
    </row>
    <row r="77" spans="1:22" s="35" customFormat="1" ht="15.75" customHeight="1">
      <c r="A77" s="26"/>
      <c r="B77" s="48" t="s">
        <v>72</v>
      </c>
      <c r="C77" s="48"/>
      <c r="D77" s="48"/>
      <c r="E77" s="18"/>
      <c r="F77" s="18"/>
      <c r="G77" s="26"/>
      <c r="H77" s="26"/>
      <c r="I77" s="18"/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5.75" hidden="1" customHeight="1">
      <c r="A78" s="26">
        <v>18</v>
      </c>
      <c r="B78" s="14" t="s">
        <v>73</v>
      </c>
      <c r="C78" s="16" t="s">
        <v>31</v>
      </c>
      <c r="D78" s="14"/>
      <c r="E78" s="18">
        <v>10</v>
      </c>
      <c r="F78" s="76">
        <v>1</v>
      </c>
      <c r="G78" s="12">
        <v>501.62</v>
      </c>
      <c r="H78" s="81">
        <f>F78*G78/1000</f>
        <v>0.50161999999999995</v>
      </c>
      <c r="I78" s="12">
        <f>G78*0.3</f>
        <v>150.48599999999999</v>
      </c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15.75" hidden="1" customHeight="1">
      <c r="A79" s="26">
        <v>20</v>
      </c>
      <c r="B79" s="14" t="s">
        <v>88</v>
      </c>
      <c r="C79" s="16" t="s">
        <v>30</v>
      </c>
      <c r="D79" s="14"/>
      <c r="E79" s="18">
        <v>1</v>
      </c>
      <c r="F79" s="91">
        <v>1</v>
      </c>
      <c r="G79" s="12">
        <v>358.51</v>
      </c>
      <c r="H79" s="81">
        <f>F79*G79/1000</f>
        <v>0.35851</v>
      </c>
      <c r="I79" s="12">
        <f>G79</f>
        <v>358.51</v>
      </c>
      <c r="J79" s="56"/>
      <c r="K79" s="56"/>
      <c r="L79" s="56"/>
      <c r="M79" s="56"/>
      <c r="N79" s="56"/>
      <c r="O79" s="56"/>
      <c r="P79" s="56"/>
      <c r="Q79" s="56"/>
      <c r="R79" s="172"/>
      <c r="S79" s="172"/>
      <c r="T79" s="172"/>
      <c r="U79" s="172"/>
    </row>
    <row r="80" spans="1:22" s="35" customFormat="1" ht="12.75" hidden="1" customHeight="1">
      <c r="A80" s="26">
        <v>18</v>
      </c>
      <c r="B80" s="14" t="s">
        <v>74</v>
      </c>
      <c r="C80" s="16" t="s">
        <v>30</v>
      </c>
      <c r="D80" s="14"/>
      <c r="E80" s="18">
        <v>1</v>
      </c>
      <c r="F80" s="12">
        <v>1</v>
      </c>
      <c r="G80" s="12">
        <v>852.99</v>
      </c>
      <c r="H80" s="81">
        <f>F80*G80/1000</f>
        <v>0.85299000000000003</v>
      </c>
      <c r="I80" s="12">
        <f>G80</f>
        <v>852.99</v>
      </c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21" s="35" customFormat="1" ht="29.25" customHeight="1">
      <c r="A81" s="26">
        <v>17</v>
      </c>
      <c r="B81" s="36" t="s">
        <v>234</v>
      </c>
      <c r="C81" s="37" t="s">
        <v>124</v>
      </c>
      <c r="D81" s="36" t="s">
        <v>235</v>
      </c>
      <c r="E81" s="17">
        <v>1</v>
      </c>
      <c r="F81" s="34">
        <f>E81*12</f>
        <v>12</v>
      </c>
      <c r="G81" s="34">
        <v>55.55</v>
      </c>
      <c r="H81" s="81"/>
      <c r="I81" s="12">
        <f>G81*1</f>
        <v>55.55</v>
      </c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</row>
    <row r="82" spans="1:21" s="35" customFormat="1" ht="15.75" hidden="1" customHeight="1">
      <c r="A82" s="26"/>
      <c r="B82" s="49" t="s">
        <v>75</v>
      </c>
      <c r="C82" s="37"/>
      <c r="D82" s="26"/>
      <c r="E82" s="18"/>
      <c r="F82" s="18"/>
      <c r="G82" s="34" t="s">
        <v>141</v>
      </c>
      <c r="H82" s="34"/>
      <c r="I82" s="18"/>
    </row>
    <row r="83" spans="1:21" s="35" customFormat="1" ht="16.5" hidden="1" customHeight="1">
      <c r="A83" s="26">
        <v>39</v>
      </c>
      <c r="B83" s="51" t="s">
        <v>130</v>
      </c>
      <c r="C83" s="16" t="s">
        <v>76</v>
      </c>
      <c r="D83" s="14"/>
      <c r="E83" s="18"/>
      <c r="F83" s="12">
        <v>1.35</v>
      </c>
      <c r="G83" s="12">
        <v>2759.44</v>
      </c>
      <c r="H83" s="81">
        <f t="shared" ref="H83" si="13">SUM(F83*G83/1000)</f>
        <v>3.725244</v>
      </c>
      <c r="I83" s="12">
        <v>0</v>
      </c>
    </row>
    <row r="84" spans="1:21" s="35" customFormat="1" ht="15.75" customHeight="1">
      <c r="A84" s="186" t="s">
        <v>151</v>
      </c>
      <c r="B84" s="187"/>
      <c r="C84" s="187"/>
      <c r="D84" s="187"/>
      <c r="E84" s="187"/>
      <c r="F84" s="187"/>
      <c r="G84" s="187"/>
      <c r="H84" s="187"/>
      <c r="I84" s="188"/>
    </row>
    <row r="85" spans="1:21" s="35" customFormat="1" ht="15.75" customHeight="1">
      <c r="A85" s="26">
        <v>18</v>
      </c>
      <c r="B85" s="163" t="s">
        <v>131</v>
      </c>
      <c r="C85" s="162" t="s">
        <v>54</v>
      </c>
      <c r="D85" s="164"/>
      <c r="E85" s="122">
        <v>5916.3</v>
      </c>
      <c r="F85" s="122">
        <f>SUM(E85*12)</f>
        <v>70995.600000000006</v>
      </c>
      <c r="G85" s="122">
        <v>3.22</v>
      </c>
      <c r="H85" s="107">
        <f>SUM(F85*G85/1000)</f>
        <v>228.60583200000002</v>
      </c>
      <c r="I85" s="12">
        <f>F85/12*G85</f>
        <v>19050.486000000001</v>
      </c>
    </row>
    <row r="86" spans="1:21" s="35" customFormat="1" ht="31.5" customHeight="1">
      <c r="A86" s="26">
        <v>19</v>
      </c>
      <c r="B86" s="36" t="s">
        <v>77</v>
      </c>
      <c r="C86" s="37"/>
      <c r="D86" s="58"/>
      <c r="E86" s="156">
        <f>E85</f>
        <v>5916.3</v>
      </c>
      <c r="F86" s="34">
        <f>E86*12</f>
        <v>70995.600000000006</v>
      </c>
      <c r="G86" s="34">
        <v>3.64</v>
      </c>
      <c r="H86" s="111">
        <f>F86*G86/1000</f>
        <v>258.42398400000002</v>
      </c>
      <c r="I86" s="12">
        <f>F86/12*G86</f>
        <v>21535.332000000002</v>
      </c>
    </row>
    <row r="87" spans="1:21" s="35" customFormat="1" ht="15.75" customHeight="1">
      <c r="A87" s="110"/>
      <c r="B87" s="38" t="s">
        <v>80</v>
      </c>
      <c r="C87" s="40"/>
      <c r="D87" s="15"/>
      <c r="E87" s="15"/>
      <c r="F87" s="15"/>
      <c r="G87" s="18"/>
      <c r="H87" s="18"/>
      <c r="I87" s="29">
        <f>I86+I85+I81+I74+I65+I62+I59+I51+I45+I44+I43+I42+I41+I40+I39+I27+I18+I17+I16</f>
        <v>102047.98433833332</v>
      </c>
    </row>
    <row r="88" spans="1:21" s="35" customFormat="1" ht="15.75" customHeight="1">
      <c r="A88" s="189" t="s">
        <v>60</v>
      </c>
      <c r="B88" s="190"/>
      <c r="C88" s="190"/>
      <c r="D88" s="190"/>
      <c r="E88" s="190"/>
      <c r="F88" s="190"/>
      <c r="G88" s="190"/>
      <c r="H88" s="190"/>
      <c r="I88" s="191"/>
    </row>
    <row r="89" spans="1:21" s="35" customFormat="1" ht="31.5" customHeight="1">
      <c r="A89" s="26">
        <v>20</v>
      </c>
      <c r="B89" s="60" t="s">
        <v>252</v>
      </c>
      <c r="C89" s="61" t="s">
        <v>253</v>
      </c>
      <c r="D89" s="36"/>
      <c r="E89" s="17"/>
      <c r="F89" s="34">
        <f>(3+3+3+15+10+10+10+15+10+3+10+10+15+5+10+10+10+15)/3</f>
        <v>55.666666666666664</v>
      </c>
      <c r="G89" s="34">
        <v>56.34</v>
      </c>
      <c r="H89" s="111">
        <f t="shared" ref="H89:H90" si="14">G89*F89/1000</f>
        <v>3.13626</v>
      </c>
      <c r="I89" s="12">
        <f>G89*1</f>
        <v>56.34</v>
      </c>
    </row>
    <row r="90" spans="1:21" s="35" customFormat="1" ht="31.5" customHeight="1">
      <c r="A90" s="31">
        <v>21</v>
      </c>
      <c r="B90" s="60" t="s">
        <v>89</v>
      </c>
      <c r="C90" s="61" t="s">
        <v>92</v>
      </c>
      <c r="D90" s="58"/>
      <c r="E90" s="34"/>
      <c r="F90" s="34">
        <v>6</v>
      </c>
      <c r="G90" s="34">
        <v>613.44000000000005</v>
      </c>
      <c r="H90" s="111">
        <f t="shared" si="14"/>
        <v>3.6806400000000004</v>
      </c>
      <c r="I90" s="12">
        <f>G90*4</f>
        <v>2453.7600000000002</v>
      </c>
    </row>
    <row r="91" spans="1:21" s="35" customFormat="1" ht="18" customHeight="1">
      <c r="A91" s="31">
        <v>22</v>
      </c>
      <c r="B91" s="60" t="s">
        <v>267</v>
      </c>
      <c r="C91" s="61" t="s">
        <v>29</v>
      </c>
      <c r="D91" s="51"/>
      <c r="E91" s="34"/>
      <c r="F91" s="34">
        <v>0.09</v>
      </c>
      <c r="G91" s="34">
        <v>790.38</v>
      </c>
      <c r="H91" s="111">
        <f>G91*F91/1000</f>
        <v>7.1134199999999995E-2</v>
      </c>
      <c r="I91" s="12">
        <f>G91*0.004</f>
        <v>3.1615199999999999</v>
      </c>
    </row>
    <row r="92" spans="1:21" s="35" customFormat="1" ht="15.75" customHeight="1">
      <c r="A92" s="31">
        <v>23</v>
      </c>
      <c r="B92" s="60" t="s">
        <v>174</v>
      </c>
      <c r="C92" s="61" t="s">
        <v>175</v>
      </c>
      <c r="D92" s="51"/>
      <c r="E92" s="34"/>
      <c r="F92" s="34">
        <v>3</v>
      </c>
      <c r="G92" s="34">
        <v>134.12</v>
      </c>
      <c r="H92" s="111">
        <f t="shared" ref="H92" si="15">G92*F92/1000</f>
        <v>0.40236</v>
      </c>
      <c r="I92" s="12">
        <f>G92*6</f>
        <v>804.72</v>
      </c>
    </row>
    <row r="93" spans="1:21" s="35" customFormat="1" ht="18" customHeight="1">
      <c r="A93" s="31">
        <v>24</v>
      </c>
      <c r="B93" s="60" t="s">
        <v>227</v>
      </c>
      <c r="C93" s="61" t="s">
        <v>205</v>
      </c>
      <c r="D93" s="51"/>
      <c r="E93" s="34"/>
      <c r="F93" s="34"/>
      <c r="G93" s="34">
        <v>24829.08</v>
      </c>
      <c r="H93" s="111"/>
      <c r="I93" s="12">
        <f>G93*0.02</f>
        <v>496.58160000000004</v>
      </c>
    </row>
    <row r="94" spans="1:21" s="35" customFormat="1" ht="15.75" customHeight="1">
      <c r="A94" s="26"/>
      <c r="B94" s="45" t="s">
        <v>51</v>
      </c>
      <c r="C94" s="41"/>
      <c r="D94" s="53"/>
      <c r="E94" s="41">
        <v>1</v>
      </c>
      <c r="F94" s="41"/>
      <c r="G94" s="41"/>
      <c r="H94" s="41"/>
      <c r="I94" s="29">
        <f>SUM(I89:I93)</f>
        <v>3814.5631200000003</v>
      </c>
    </row>
    <row r="95" spans="1:21" s="35" customFormat="1" ht="15.75" customHeight="1">
      <c r="A95" s="26"/>
      <c r="B95" s="51" t="s">
        <v>78</v>
      </c>
      <c r="C95" s="15"/>
      <c r="D95" s="15"/>
      <c r="E95" s="42"/>
      <c r="F95" s="42"/>
      <c r="G95" s="43"/>
      <c r="H95" s="43"/>
      <c r="I95" s="17">
        <v>0</v>
      </c>
    </row>
    <row r="96" spans="1:21" s="35" customFormat="1" ht="15.75" customHeight="1">
      <c r="A96" s="54"/>
      <c r="B96" s="46" t="s">
        <v>152</v>
      </c>
      <c r="C96" s="32"/>
      <c r="D96" s="32"/>
      <c r="E96" s="32"/>
      <c r="F96" s="32"/>
      <c r="G96" s="32"/>
      <c r="H96" s="32"/>
      <c r="I96" s="44">
        <f>I87+I94</f>
        <v>105862.54745833333</v>
      </c>
    </row>
    <row r="97" spans="1:9" ht="15.75" customHeight="1">
      <c r="A97" s="173" t="s">
        <v>268</v>
      </c>
      <c r="B97" s="173"/>
      <c r="C97" s="173"/>
      <c r="D97" s="173"/>
      <c r="E97" s="173"/>
      <c r="F97" s="173"/>
      <c r="G97" s="173"/>
      <c r="H97" s="173"/>
      <c r="I97" s="173"/>
    </row>
    <row r="98" spans="1:9" ht="15.75" customHeight="1">
      <c r="A98" s="75"/>
      <c r="B98" s="197" t="s">
        <v>269</v>
      </c>
      <c r="C98" s="197"/>
      <c r="D98" s="197"/>
      <c r="E98" s="197"/>
      <c r="F98" s="197"/>
      <c r="G98" s="197"/>
      <c r="H98" s="80"/>
      <c r="I98" s="3"/>
    </row>
    <row r="99" spans="1:9" ht="15.75" customHeight="1">
      <c r="A99" s="84"/>
      <c r="B99" s="193" t="s">
        <v>6</v>
      </c>
      <c r="C99" s="193"/>
      <c r="D99" s="193"/>
      <c r="E99" s="193"/>
      <c r="F99" s="193"/>
      <c r="G99" s="193"/>
      <c r="H99" s="21"/>
      <c r="I99" s="5"/>
    </row>
    <row r="100" spans="1:9" ht="8.25" customHeight="1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 customHeight="1">
      <c r="A101" s="198" t="s">
        <v>7</v>
      </c>
      <c r="B101" s="198"/>
      <c r="C101" s="198"/>
      <c r="D101" s="198"/>
      <c r="E101" s="198"/>
      <c r="F101" s="198"/>
      <c r="G101" s="198"/>
      <c r="H101" s="198"/>
      <c r="I101" s="198"/>
    </row>
    <row r="102" spans="1:9" ht="15.75" customHeight="1">
      <c r="A102" s="198" t="s">
        <v>8</v>
      </c>
      <c r="B102" s="198"/>
      <c r="C102" s="198"/>
      <c r="D102" s="198"/>
      <c r="E102" s="198"/>
      <c r="F102" s="198"/>
      <c r="G102" s="198"/>
      <c r="H102" s="198"/>
      <c r="I102" s="198"/>
    </row>
    <row r="103" spans="1:9" ht="15.75" customHeight="1">
      <c r="A103" s="199" t="s">
        <v>61</v>
      </c>
      <c r="B103" s="199"/>
      <c r="C103" s="199"/>
      <c r="D103" s="199"/>
      <c r="E103" s="199"/>
      <c r="F103" s="199"/>
      <c r="G103" s="199"/>
      <c r="H103" s="199"/>
      <c r="I103" s="199"/>
    </row>
    <row r="104" spans="1:9" ht="15.75" customHeight="1">
      <c r="A104" s="10"/>
    </row>
    <row r="105" spans="1:9" ht="15.75" customHeight="1">
      <c r="A105" s="180" t="s">
        <v>9</v>
      </c>
      <c r="B105" s="180"/>
      <c r="C105" s="180"/>
      <c r="D105" s="180"/>
      <c r="E105" s="180"/>
      <c r="F105" s="180"/>
      <c r="G105" s="180"/>
      <c r="H105" s="180"/>
      <c r="I105" s="180"/>
    </row>
    <row r="106" spans="1:9" ht="15.75" customHeight="1">
      <c r="A106" s="4"/>
    </row>
    <row r="107" spans="1:9" ht="15.75" customHeight="1">
      <c r="B107" s="85" t="s">
        <v>10</v>
      </c>
      <c r="C107" s="192" t="s">
        <v>90</v>
      </c>
      <c r="D107" s="192"/>
      <c r="E107" s="192"/>
      <c r="F107" s="78"/>
      <c r="I107" s="83"/>
    </row>
    <row r="108" spans="1:9" ht="15.75" customHeight="1">
      <c r="A108" s="84"/>
      <c r="C108" s="193" t="s">
        <v>11</v>
      </c>
      <c r="D108" s="193"/>
      <c r="E108" s="193"/>
      <c r="F108" s="21"/>
      <c r="I108" s="82" t="s">
        <v>12</v>
      </c>
    </row>
    <row r="109" spans="1:9" ht="15.75" customHeight="1">
      <c r="A109" s="22"/>
      <c r="C109" s="11"/>
      <c r="D109" s="11"/>
      <c r="G109" s="11"/>
      <c r="H109" s="11"/>
    </row>
    <row r="110" spans="1:9" ht="15.75" customHeight="1">
      <c r="B110" s="85" t="s">
        <v>13</v>
      </c>
      <c r="C110" s="194"/>
      <c r="D110" s="194"/>
      <c r="E110" s="194"/>
      <c r="F110" s="79"/>
      <c r="I110" s="83"/>
    </row>
    <row r="111" spans="1:9" ht="15.75" customHeight="1">
      <c r="A111" s="84"/>
      <c r="C111" s="195" t="s">
        <v>11</v>
      </c>
      <c r="D111" s="195"/>
      <c r="E111" s="195"/>
      <c r="F111" s="84"/>
      <c r="I111" s="82" t="s">
        <v>12</v>
      </c>
    </row>
    <row r="112" spans="1:9" ht="15.75" customHeight="1">
      <c r="A112" s="4" t="s">
        <v>14</v>
      </c>
    </row>
    <row r="113" spans="1:9">
      <c r="A113" s="196" t="s">
        <v>15</v>
      </c>
      <c r="B113" s="196"/>
      <c r="C113" s="196"/>
      <c r="D113" s="196"/>
      <c r="E113" s="196"/>
      <c r="F113" s="196"/>
      <c r="G113" s="196"/>
      <c r="H113" s="196"/>
      <c r="I113" s="196"/>
    </row>
    <row r="114" spans="1:9" ht="45" customHeight="1">
      <c r="A114" s="185" t="s">
        <v>16</v>
      </c>
      <c r="B114" s="185"/>
      <c r="C114" s="185"/>
      <c r="D114" s="185"/>
      <c r="E114" s="185"/>
      <c r="F114" s="185"/>
      <c r="G114" s="185"/>
      <c r="H114" s="185"/>
      <c r="I114" s="185"/>
    </row>
    <row r="115" spans="1:9" ht="30" customHeight="1">
      <c r="A115" s="185" t="s">
        <v>17</v>
      </c>
      <c r="B115" s="185"/>
      <c r="C115" s="185"/>
      <c r="D115" s="185"/>
      <c r="E115" s="185"/>
      <c r="F115" s="185"/>
      <c r="G115" s="185"/>
      <c r="H115" s="185"/>
      <c r="I115" s="185"/>
    </row>
    <row r="116" spans="1:9" ht="30" customHeight="1">
      <c r="A116" s="185" t="s">
        <v>21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14.25" customHeight="1">
      <c r="A117" s="185" t="s">
        <v>20</v>
      </c>
      <c r="B117" s="185"/>
      <c r="C117" s="185"/>
      <c r="D117" s="185"/>
      <c r="E117" s="185"/>
      <c r="F117" s="185"/>
      <c r="G117" s="185"/>
      <c r="H117" s="185"/>
      <c r="I117" s="185"/>
    </row>
  </sheetData>
  <autoFilter ref="I12:I71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9:U79"/>
    <mergeCell ref="C111:E111"/>
    <mergeCell ref="A88:I88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4:I84"/>
    <mergeCell ref="A113:I113"/>
    <mergeCell ref="A114:I114"/>
    <mergeCell ref="A115:I115"/>
    <mergeCell ref="A116:I116"/>
    <mergeCell ref="A117:I117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9"/>
  <sheetViews>
    <sheetView topLeftCell="A90" workbookViewId="0">
      <selection activeCell="J106" sqref="J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86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154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177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72"/>
      <c r="C6" s="72"/>
      <c r="D6" s="72"/>
      <c r="E6" s="72"/>
      <c r="F6" s="72"/>
      <c r="G6" s="72"/>
      <c r="H6" s="72"/>
      <c r="I6" s="27">
        <v>43159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133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90">
        <v>169.2</v>
      </c>
      <c r="F16" s="91">
        <f>SUM(E16*156/100)</f>
        <v>263.952</v>
      </c>
      <c r="G16" s="91">
        <v>175.38</v>
      </c>
      <c r="H16" s="92">
        <f t="shared" ref="H16:H26" si="0">SUM(F16*G16/1000)</f>
        <v>46.291901760000002</v>
      </c>
      <c r="I16" s="12">
        <f>F16/12*G16</f>
        <v>3857.6584799999996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90">
        <v>676.6</v>
      </c>
      <c r="F17" s="91">
        <f>SUM(E17*104/100)</f>
        <v>703.6640000000001</v>
      </c>
      <c r="G17" s="91">
        <v>175.38</v>
      </c>
      <c r="H17" s="92">
        <f t="shared" si="0"/>
        <v>123.40859232000001</v>
      </c>
      <c r="I17" s="12">
        <f>F17/12*G17</f>
        <v>10284.049360000001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90">
        <f>SUM(E16+E17)</f>
        <v>845.8</v>
      </c>
      <c r="F18" s="91">
        <f>SUM(E18*24/100)</f>
        <v>202.99199999999996</v>
      </c>
      <c r="G18" s="91">
        <v>504.5</v>
      </c>
      <c r="H18" s="92">
        <f t="shared" si="0"/>
        <v>102.40946399999997</v>
      </c>
      <c r="I18" s="12">
        <f>F18/12*G18</f>
        <v>8534.1219999999976</v>
      </c>
      <c r="J18" s="63"/>
      <c r="K18" s="62"/>
      <c r="L18" s="62"/>
      <c r="M18" s="62"/>
    </row>
    <row r="19" spans="1:13" s="35" customFormat="1" ht="15.75" hidden="1" customHeight="1">
      <c r="A19" s="26"/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v>0</v>
      </c>
      <c r="J19" s="63"/>
      <c r="K19" s="62"/>
      <c r="L19" s="62"/>
      <c r="M19" s="62"/>
    </row>
    <row r="20" spans="1:13" s="35" customFormat="1" ht="15.75" hidden="1" customHeight="1">
      <c r="A20" s="26">
        <v>4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v>0</v>
      </c>
      <c r="J20" s="63"/>
      <c r="K20" s="62"/>
      <c r="L20" s="62"/>
      <c r="M20" s="62"/>
    </row>
    <row r="21" spans="1:13" s="35" customFormat="1" ht="15.75" hidden="1" customHeight="1">
      <c r="A21" s="26">
        <v>5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v>0</v>
      </c>
      <c r="J21" s="63"/>
      <c r="K21" s="62"/>
      <c r="L21" s="62"/>
      <c r="M21" s="62"/>
    </row>
    <row r="22" spans="1:13" s="35" customFormat="1" ht="15.75" hidden="1" customHeight="1">
      <c r="A22" s="26"/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v>0</v>
      </c>
      <c r="J22" s="63"/>
      <c r="K22" s="62"/>
      <c r="L22" s="62"/>
      <c r="M22" s="62"/>
    </row>
    <row r="23" spans="1:13" s="35" customFormat="1" ht="15.75" hidden="1" customHeight="1">
      <c r="A23" s="26"/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v>0</v>
      </c>
      <c r="J23" s="63"/>
      <c r="K23" s="62"/>
      <c r="L23" s="62"/>
      <c r="M23" s="62"/>
    </row>
    <row r="24" spans="1:13" s="35" customFormat="1" ht="15.75" hidden="1" customHeight="1">
      <c r="A24" s="26"/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v>0</v>
      </c>
      <c r="J24" s="63"/>
      <c r="K24" s="62"/>
      <c r="L24" s="62"/>
      <c r="M24" s="62"/>
    </row>
    <row r="25" spans="1:13" s="35" customFormat="1" ht="31.5" hidden="1" customHeight="1">
      <c r="A25" s="40">
        <v>6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v>0</v>
      </c>
      <c r="J25" s="63"/>
      <c r="K25" s="62"/>
      <c r="L25" s="62"/>
      <c r="M25" s="62"/>
    </row>
    <row r="26" spans="1:13" s="35" customFormat="1" ht="15.75" hidden="1" customHeight="1">
      <c r="A26" s="40">
        <v>7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v>0</v>
      </c>
      <c r="J26" s="63"/>
      <c r="K26" s="62"/>
      <c r="L26" s="62"/>
      <c r="M26" s="62"/>
    </row>
    <row r="27" spans="1:13" s="35" customFormat="1" ht="15.75" customHeight="1">
      <c r="A27" s="40">
        <v>4</v>
      </c>
      <c r="B27" s="88" t="s">
        <v>64</v>
      </c>
      <c r="C27" s="89" t="s">
        <v>33</v>
      </c>
      <c r="D27" s="88"/>
      <c r="E27" s="90">
        <v>0.1</v>
      </c>
      <c r="F27" s="91">
        <f>SUM(E27*365)</f>
        <v>36.5</v>
      </c>
      <c r="G27" s="91">
        <v>147.03</v>
      </c>
      <c r="H27" s="92">
        <f t="shared" ref="H27:H28" si="1">SUM(F27*G27/1000)</f>
        <v>5.3665950000000002</v>
      </c>
      <c r="I27" s="12">
        <f>F27/12*G27</f>
        <v>447.21625</v>
      </c>
      <c r="J27" s="63"/>
      <c r="K27" s="62"/>
      <c r="L27" s="62"/>
      <c r="M27" s="62"/>
    </row>
    <row r="28" spans="1:13" s="35" customFormat="1" ht="15.75" customHeight="1">
      <c r="A28" s="40">
        <v>5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1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hidden="1" customHeight="1">
      <c r="A31" s="40">
        <v>2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2">SUM(F31*G31/1000)</f>
        <v>7.2964626280000004</v>
      </c>
      <c r="I31" s="12">
        <v>0</v>
      </c>
      <c r="J31" s="63"/>
      <c r="K31" s="62"/>
      <c r="L31" s="62"/>
      <c r="M31" s="62"/>
    </row>
    <row r="32" spans="1:13" s="35" customFormat="1" ht="31.5" hidden="1" customHeight="1">
      <c r="A32" s="40">
        <v>3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2"/>
        <v>5.8381067159999995</v>
      </c>
      <c r="I32" s="12">
        <v>0</v>
      </c>
      <c r="J32" s="63"/>
      <c r="K32" s="62"/>
      <c r="L32" s="62"/>
      <c r="M32" s="62"/>
    </row>
    <row r="33" spans="1:14" s="35" customFormat="1" ht="15.75" hidden="1" customHeight="1">
      <c r="A33" s="40">
        <v>4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2"/>
        <v>2.7185990329999998</v>
      </c>
      <c r="I33" s="12">
        <v>0</v>
      </c>
      <c r="J33" s="63"/>
      <c r="K33" s="62"/>
      <c r="L33" s="62"/>
      <c r="M33" s="62"/>
    </row>
    <row r="34" spans="1:14" s="35" customFormat="1" ht="15.75" hidden="1" customHeight="1">
      <c r="A34" s="40"/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v>0</v>
      </c>
      <c r="J34" s="63"/>
      <c r="K34" s="62"/>
      <c r="L34" s="62"/>
      <c r="M34" s="62"/>
    </row>
    <row r="35" spans="1:14" s="35" customFormat="1" ht="15.75" hidden="1" customHeight="1">
      <c r="A35" s="40">
        <v>5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v>0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3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3"/>
        <v>2.27264</v>
      </c>
      <c r="I37" s="12">
        <v>0</v>
      </c>
      <c r="J37" s="64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4">SUM(F39*G39/1000)</f>
        <v>15.272200000000002</v>
      </c>
      <c r="I39" s="12">
        <f t="shared" ref="I39:I43" si="5">F39/6*G39</f>
        <v>2545.3666666666668</v>
      </c>
      <c r="J39" s="64"/>
    </row>
    <row r="40" spans="1:14" s="35" customFormat="1" ht="15.75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4"/>
        <v>15.997417679999998</v>
      </c>
      <c r="I40" s="12">
        <f t="shared" si="5"/>
        <v>2666.2362800000001</v>
      </c>
      <c r="J40" s="64"/>
    </row>
    <row r="41" spans="1:14" s="35" customFormat="1" ht="15.75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4"/>
        <v>18.255728220000002</v>
      </c>
      <c r="I41" s="12">
        <f t="shared" si="5"/>
        <v>3042.6213700000003</v>
      </c>
      <c r="J41" s="64"/>
    </row>
    <row r="42" spans="1:14" s="35" customFormat="1" ht="15.75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4"/>
        <v>15.73359275</v>
      </c>
      <c r="I42" s="12">
        <f t="shared" si="5"/>
        <v>2622.2654583333333</v>
      </c>
      <c r="J42" s="64"/>
    </row>
    <row r="43" spans="1:14" s="35" customFormat="1" ht="47.25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4"/>
        <v>15.04210176</v>
      </c>
      <c r="I43" s="12">
        <f t="shared" si="5"/>
        <v>2507.0169599999999</v>
      </c>
      <c r="J43" s="64"/>
    </row>
    <row r="44" spans="1:14" s="35" customFormat="1" ht="15.75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4"/>
        <v>2.5927775999999998</v>
      </c>
      <c r="I44" s="12">
        <f>F44/7.5*G44</f>
        <v>345.70368000000002</v>
      </c>
      <c r="J44" s="64"/>
      <c r="L44" s="19"/>
      <c r="M44" s="20"/>
      <c r="N44" s="28"/>
    </row>
    <row r="45" spans="1:14" s="35" customFormat="1" ht="15.75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4"/>
        <v>0.71820000000000006</v>
      </c>
      <c r="I45" s="12">
        <f>F45/7.5*G45</f>
        <v>95.76</v>
      </c>
      <c r="J45" s="64"/>
      <c r="L45" s="19"/>
      <c r="M45" s="20"/>
      <c r="N45" s="28"/>
    </row>
    <row r="46" spans="1:14" s="35" customFormat="1" ht="15.75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hidden="1" customHeight="1">
      <c r="A47" s="40">
        <v>15</v>
      </c>
      <c r="B47" s="88" t="s">
        <v>121</v>
      </c>
      <c r="C47" s="89" t="s">
        <v>115</v>
      </c>
      <c r="D47" s="88" t="s">
        <v>41</v>
      </c>
      <c r="E47" s="90">
        <v>1662.5</v>
      </c>
      <c r="F47" s="91">
        <f>SUM(E47*2/1000)</f>
        <v>3.3250000000000002</v>
      </c>
      <c r="G47" s="12">
        <v>849.49</v>
      </c>
      <c r="H47" s="92">
        <f t="shared" ref="H47:H55" si="6">SUM(F47*G47/1000)</f>
        <v>2.8245542500000003</v>
      </c>
      <c r="I47" s="12">
        <v>0</v>
      </c>
      <c r="J47" s="64"/>
      <c r="L47" s="19"/>
      <c r="M47" s="20"/>
      <c r="N47" s="28"/>
    </row>
    <row r="48" spans="1:14" s="35" customFormat="1" ht="15.75" hidden="1" customHeight="1">
      <c r="A48" s="40"/>
      <c r="B48" s="88" t="s">
        <v>34</v>
      </c>
      <c r="C48" s="89" t="s">
        <v>115</v>
      </c>
      <c r="D48" s="88" t="s">
        <v>41</v>
      </c>
      <c r="E48" s="90">
        <v>92.8</v>
      </c>
      <c r="F48" s="91">
        <f>SUM(E48*2/1000)</f>
        <v>0.18559999999999999</v>
      </c>
      <c r="G48" s="12">
        <v>579.48</v>
      </c>
      <c r="H48" s="92">
        <f t="shared" si="6"/>
        <v>0.10755148799999999</v>
      </c>
      <c r="I48" s="12">
        <v>0</v>
      </c>
      <c r="J48" s="64"/>
      <c r="L48" s="19"/>
      <c r="M48" s="20"/>
      <c r="N48" s="28"/>
    </row>
    <row r="49" spans="1:14" s="35" customFormat="1" ht="15.75" hidden="1" customHeight="1">
      <c r="A49" s="40">
        <v>16</v>
      </c>
      <c r="B49" s="88" t="s">
        <v>35</v>
      </c>
      <c r="C49" s="89" t="s">
        <v>115</v>
      </c>
      <c r="D49" s="88" t="s">
        <v>41</v>
      </c>
      <c r="E49" s="90">
        <v>4750.7</v>
      </c>
      <c r="F49" s="91">
        <f>SUM(E49*2/1000)</f>
        <v>9.5014000000000003</v>
      </c>
      <c r="G49" s="12">
        <v>579.48</v>
      </c>
      <c r="H49" s="92">
        <f t="shared" si="6"/>
        <v>5.5058712720000003</v>
      </c>
      <c r="I49" s="12">
        <v>0</v>
      </c>
      <c r="J49" s="64"/>
      <c r="L49" s="19"/>
      <c r="M49" s="20"/>
      <c r="N49" s="28"/>
    </row>
    <row r="50" spans="1:14" s="35" customFormat="1" ht="15.75" hidden="1" customHeight="1">
      <c r="A50" s="40">
        <v>17</v>
      </c>
      <c r="B50" s="88" t="s">
        <v>36</v>
      </c>
      <c r="C50" s="89" t="s">
        <v>115</v>
      </c>
      <c r="D50" s="88" t="s">
        <v>41</v>
      </c>
      <c r="E50" s="90">
        <v>2840.99</v>
      </c>
      <c r="F50" s="91">
        <f>SUM(E50*2/1000)</f>
        <v>5.6819799999999994</v>
      </c>
      <c r="G50" s="12">
        <v>606.77</v>
      </c>
      <c r="H50" s="92">
        <f t="shared" si="6"/>
        <v>3.4476550045999992</v>
      </c>
      <c r="I50" s="12">
        <v>0</v>
      </c>
      <c r="J50" s="64"/>
      <c r="L50" s="19"/>
      <c r="M50" s="20"/>
      <c r="N50" s="28"/>
    </row>
    <row r="51" spans="1:14" s="35" customFormat="1" ht="15.75" customHeight="1">
      <c r="A51" s="40">
        <v>13</v>
      </c>
      <c r="B51" s="88" t="s">
        <v>56</v>
      </c>
      <c r="C51" s="89" t="s">
        <v>115</v>
      </c>
      <c r="D51" s="88" t="s">
        <v>146</v>
      </c>
      <c r="E51" s="90">
        <v>1652.5</v>
      </c>
      <c r="F51" s="91">
        <f>SUM(E51*5/1000)</f>
        <v>8.2624999999999993</v>
      </c>
      <c r="G51" s="12">
        <v>1213.55</v>
      </c>
      <c r="H51" s="92">
        <f t="shared" si="6"/>
        <v>10.026956874999998</v>
      </c>
      <c r="I51" s="12">
        <f>F51/5*G51</f>
        <v>2005.3913749999997</v>
      </c>
      <c r="J51" s="64"/>
      <c r="L51" s="19"/>
      <c r="M51" s="20"/>
      <c r="N51" s="28"/>
    </row>
    <row r="52" spans="1:14" s="35" customFormat="1" ht="31.5" hidden="1" customHeight="1">
      <c r="A52" s="40">
        <v>13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6"/>
        <v>4.0107827499999997</v>
      </c>
      <c r="I52" s="12">
        <v>0</v>
      </c>
      <c r="J52" s="64"/>
      <c r="L52" s="19"/>
      <c r="M52" s="20"/>
      <c r="N52" s="28"/>
    </row>
    <row r="53" spans="1:14" s="35" customFormat="1" ht="31.5" hidden="1" customHeight="1">
      <c r="A53" s="40">
        <v>14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6"/>
        <v>2.1843919999999999</v>
      </c>
      <c r="I53" s="12">
        <v>0</v>
      </c>
      <c r="J53" s="64"/>
      <c r="L53" s="19"/>
      <c r="M53" s="20"/>
      <c r="N53" s="28"/>
    </row>
    <row r="54" spans="1:14" s="35" customFormat="1" ht="15.75" hidden="1" customHeight="1">
      <c r="A54" s="40">
        <v>15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6"/>
        <v>0.11304260000000001</v>
      </c>
      <c r="I54" s="12">
        <v>0</v>
      </c>
      <c r="J54" s="64"/>
      <c r="L54" s="19"/>
      <c r="M54" s="20"/>
      <c r="N54" s="28"/>
    </row>
    <row r="55" spans="1:14" s="35" customFormat="1" ht="15.75" hidden="1" customHeight="1">
      <c r="A55" s="40">
        <v>14</v>
      </c>
      <c r="B55" s="88" t="s">
        <v>40</v>
      </c>
      <c r="C55" s="89" t="s">
        <v>124</v>
      </c>
      <c r="D55" s="88" t="s">
        <v>71</v>
      </c>
      <c r="E55" s="90">
        <v>236</v>
      </c>
      <c r="F55" s="91">
        <f>SUM(E55)*3</f>
        <v>708</v>
      </c>
      <c r="G55" s="12">
        <v>65.67</v>
      </c>
      <c r="H55" s="92">
        <f t="shared" si="6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182" t="s">
        <v>150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customHeight="1">
      <c r="A57" s="52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7.5" customHeight="1">
      <c r="A58" s="40">
        <v>14</v>
      </c>
      <c r="B58" s="88" t="s">
        <v>139</v>
      </c>
      <c r="C58" s="89" t="s">
        <v>105</v>
      </c>
      <c r="D58" s="88" t="s">
        <v>211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G58*0.7</f>
        <v>1083.096</v>
      </c>
      <c r="J58" s="64"/>
      <c r="L58" s="19"/>
      <c r="M58" s="20"/>
      <c r="N58" s="28"/>
    </row>
    <row r="59" spans="1:14" s="35" customFormat="1" ht="15.75" customHeight="1">
      <c r="A59" s="40">
        <v>15</v>
      </c>
      <c r="B59" s="99" t="s">
        <v>95</v>
      </c>
      <c r="C59" s="100" t="s">
        <v>105</v>
      </c>
      <c r="D59" s="99" t="s">
        <v>140</v>
      </c>
      <c r="E59" s="101">
        <v>56</v>
      </c>
      <c r="F59" s="102">
        <f>E59*6/100</f>
        <v>3.36</v>
      </c>
      <c r="G59" s="98">
        <v>1547.28</v>
      </c>
      <c r="H59" s="103">
        <f>F59*G59/1000</f>
        <v>5.1988607999999994</v>
      </c>
      <c r="I59" s="12">
        <f>F59/6*G59</f>
        <v>866.47679999999991</v>
      </c>
      <c r="J59" s="64"/>
      <c r="L59" s="19"/>
      <c r="M59" s="20"/>
      <c r="N59" s="28"/>
    </row>
    <row r="60" spans="1:14" s="35" customFormat="1" ht="15.75" hidden="1" customHeight="1">
      <c r="A60" s="40"/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73" t="s">
        <v>43</v>
      </c>
      <c r="C61" s="73"/>
      <c r="D61" s="73"/>
      <c r="E61" s="73"/>
      <c r="F61" s="73"/>
      <c r="G61" s="73"/>
      <c r="H61" s="73"/>
      <c r="I61" s="33"/>
      <c r="J61" s="64"/>
      <c r="L61" s="19"/>
      <c r="M61" s="20"/>
      <c r="N61" s="28"/>
    </row>
    <row r="62" spans="1:14" s="35" customFormat="1" ht="15.75" customHeight="1">
      <c r="A62" s="40">
        <v>16</v>
      </c>
      <c r="B62" s="99" t="s">
        <v>96</v>
      </c>
      <c r="C62" s="100" t="s">
        <v>25</v>
      </c>
      <c r="D62" s="99" t="s">
        <v>147</v>
      </c>
      <c r="E62" s="101">
        <v>200</v>
      </c>
      <c r="F62" s="102">
        <f>E62*12</f>
        <v>2400</v>
      </c>
      <c r="G62" s="105">
        <v>1.2</v>
      </c>
      <c r="H62" s="103">
        <f>G62*F62/1000</f>
        <v>2.88</v>
      </c>
      <c r="I62" s="12">
        <f>F62/12*G62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customHeight="1">
      <c r="A64" s="40"/>
      <c r="B64" s="73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customHeight="1">
      <c r="A65" s="40">
        <v>17</v>
      </c>
      <c r="B65" s="14" t="s">
        <v>46</v>
      </c>
      <c r="C65" s="16" t="s">
        <v>124</v>
      </c>
      <c r="D65" s="14" t="s">
        <v>67</v>
      </c>
      <c r="E65" s="18">
        <v>10</v>
      </c>
      <c r="F65" s="91">
        <v>10</v>
      </c>
      <c r="G65" s="12">
        <v>222.4</v>
      </c>
      <c r="H65" s="81">
        <f t="shared" ref="H65:H72" si="7">SUM(F65*G65/1000)</f>
        <v>2.2240000000000002</v>
      </c>
      <c r="I65" s="12">
        <f>G65</f>
        <v>222.4</v>
      </c>
      <c r="J65" s="64"/>
      <c r="L65" s="19"/>
      <c r="M65" s="20"/>
      <c r="N65" s="28"/>
    </row>
    <row r="66" spans="1:22" s="35" customFormat="1" ht="15.75" hidden="1" customHeight="1">
      <c r="A66" s="26">
        <v>29</v>
      </c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7"/>
        <v>0.61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8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7"/>
        <v>49.360940499999998</v>
      </c>
      <c r="I67" s="12">
        <v>0</v>
      </c>
      <c r="J67" s="64"/>
      <c r="L67" s="19"/>
      <c r="M67" s="20"/>
      <c r="N67" s="28"/>
    </row>
    <row r="68" spans="1:22" s="35" customFormat="1" ht="15.75" hidden="1" customHeight="1">
      <c r="A68" s="26">
        <v>9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7"/>
        <v>3.8439410700000005</v>
      </c>
      <c r="I68" s="12">
        <v>0</v>
      </c>
      <c r="J68" s="64"/>
      <c r="L68" s="19"/>
      <c r="M68" s="20"/>
      <c r="N68" s="28"/>
    </row>
    <row r="69" spans="1:22" s="35" customFormat="1" ht="15.75" hidden="1" customHeight="1">
      <c r="A69" s="26">
        <v>10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7"/>
        <v>65.247113499999998</v>
      </c>
      <c r="I69" s="12">
        <v>0</v>
      </c>
      <c r="J69" s="64"/>
      <c r="L69" s="19"/>
    </row>
    <row r="70" spans="1:22" s="35" customFormat="1" ht="15.75" hidden="1" customHeight="1">
      <c r="A70" s="26">
        <v>11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7"/>
        <v>0.88156220000000007</v>
      </c>
      <c r="I70" s="12">
        <v>0</v>
      </c>
    </row>
    <row r="71" spans="1:22" s="35" customFormat="1" ht="15.75" hidden="1" customHeight="1">
      <c r="A71" s="26">
        <v>12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7"/>
        <v>0.82247460000000006</v>
      </c>
      <c r="I71" s="12">
        <v>0</v>
      </c>
    </row>
    <row r="72" spans="1:22" s="35" customFormat="1" ht="22.5" hidden="1" customHeight="1">
      <c r="A72" s="26">
        <v>13</v>
      </c>
      <c r="B72" s="14" t="s">
        <v>57</v>
      </c>
      <c r="C72" s="16" t="s">
        <v>58</v>
      </c>
      <c r="D72" s="14" t="s">
        <v>53</v>
      </c>
      <c r="E72" s="18">
        <v>5</v>
      </c>
      <c r="F72" s="91">
        <f>SUM(E72)</f>
        <v>5</v>
      </c>
      <c r="G72" s="12">
        <v>49.88</v>
      </c>
      <c r="H72" s="81">
        <f t="shared" si="7"/>
        <v>0.24940000000000001</v>
      </c>
      <c r="I72" s="12">
        <v>0</v>
      </c>
    </row>
    <row r="73" spans="1:22" s="35" customFormat="1" ht="19.5" hidden="1" customHeight="1">
      <c r="A73" s="52"/>
      <c r="B73" s="73" t="s">
        <v>128</v>
      </c>
      <c r="C73" s="73"/>
      <c r="D73" s="73"/>
      <c r="E73" s="73"/>
      <c r="F73" s="73"/>
      <c r="G73" s="73"/>
      <c r="H73" s="73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17.25" hidden="1" customHeight="1">
      <c r="A74" s="26">
        <v>18</v>
      </c>
      <c r="B74" s="88" t="s">
        <v>129</v>
      </c>
      <c r="C74" s="16"/>
      <c r="D74" s="14"/>
      <c r="E74" s="77"/>
      <c r="F74" s="12">
        <v>1</v>
      </c>
      <c r="G74" s="12">
        <v>27750</v>
      </c>
      <c r="H74" s="81">
        <f>G74*F74/1000</f>
        <v>27.75</v>
      </c>
      <c r="I74" s="12">
        <f>G74</f>
        <v>27750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5.75" customHeight="1">
      <c r="A75" s="26"/>
      <c r="B75" s="48" t="s">
        <v>72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15.75" hidden="1" customHeight="1">
      <c r="A76" s="26">
        <v>19</v>
      </c>
      <c r="B76" s="14" t="s">
        <v>73</v>
      </c>
      <c r="C76" s="16" t="s">
        <v>31</v>
      </c>
      <c r="D76" s="14"/>
      <c r="E76" s="18">
        <v>10</v>
      </c>
      <c r="F76" s="76">
        <v>1</v>
      </c>
      <c r="G76" s="12">
        <v>501.62</v>
      </c>
      <c r="H76" s="81">
        <f>F76*G76/1000</f>
        <v>0.50161999999999995</v>
      </c>
      <c r="I76" s="12">
        <f>G76*0.2</f>
        <v>100.32400000000001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5.75" customHeight="1">
      <c r="A77" s="26">
        <v>18</v>
      </c>
      <c r="B77" s="14" t="s">
        <v>88</v>
      </c>
      <c r="C77" s="16" t="s">
        <v>30</v>
      </c>
      <c r="D77" s="14"/>
      <c r="E77" s="18">
        <v>1</v>
      </c>
      <c r="F77" s="91">
        <v>1</v>
      </c>
      <c r="G77" s="12">
        <v>358.51</v>
      </c>
      <c r="H77" s="81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172"/>
      <c r="S77" s="172"/>
      <c r="T77" s="172"/>
      <c r="U77" s="172"/>
    </row>
    <row r="78" spans="1:22" s="35" customFormat="1" ht="15.75" hidden="1" customHeight="1">
      <c r="A78" s="26">
        <v>20</v>
      </c>
      <c r="B78" s="14" t="s">
        <v>74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81">
        <f>F78*G78/1000</f>
        <v>0.85299000000000003</v>
      </c>
      <c r="I78" s="12">
        <v>0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2" s="35" customFormat="1" ht="15.75" hidden="1" customHeight="1">
      <c r="A79" s="26"/>
      <c r="B79" s="49" t="s">
        <v>75</v>
      </c>
      <c r="C79" s="37"/>
      <c r="D79" s="26"/>
      <c r="E79" s="18"/>
      <c r="F79" s="18"/>
      <c r="G79" s="34" t="s">
        <v>141</v>
      </c>
      <c r="H79" s="34"/>
      <c r="I79" s="18"/>
    </row>
    <row r="80" spans="1:22" s="35" customFormat="1" ht="15.75" hidden="1" customHeight="1">
      <c r="A80" s="26">
        <v>39</v>
      </c>
      <c r="B80" s="51" t="s">
        <v>130</v>
      </c>
      <c r="C80" s="16" t="s">
        <v>76</v>
      </c>
      <c r="D80" s="14"/>
      <c r="E80" s="18"/>
      <c r="F80" s="12">
        <v>1.35</v>
      </c>
      <c r="G80" s="12">
        <v>2759.44</v>
      </c>
      <c r="H80" s="81">
        <f t="shared" ref="H80" si="8">SUM(F80*G80/1000)</f>
        <v>3.725244</v>
      </c>
      <c r="I80" s="12">
        <v>0</v>
      </c>
    </row>
    <row r="81" spans="1:9" s="35" customFormat="1" ht="15.75" customHeight="1">
      <c r="A81" s="186" t="s">
        <v>151</v>
      </c>
      <c r="B81" s="187"/>
      <c r="C81" s="187"/>
      <c r="D81" s="187"/>
      <c r="E81" s="187"/>
      <c r="F81" s="187"/>
      <c r="G81" s="187"/>
      <c r="H81" s="187"/>
      <c r="I81" s="188"/>
    </row>
    <row r="82" spans="1:9" s="35" customFormat="1" ht="15.75" customHeight="1">
      <c r="A82" s="26">
        <v>19</v>
      </c>
      <c r="B82" s="88" t="s">
        <v>131</v>
      </c>
      <c r="C82" s="16" t="s">
        <v>54</v>
      </c>
      <c r="D82" s="109" t="s">
        <v>55</v>
      </c>
      <c r="E82" s="12">
        <v>5916.3</v>
      </c>
      <c r="F82" s="12">
        <f>SUM(E82*12)</f>
        <v>70995.600000000006</v>
      </c>
      <c r="G82" s="12">
        <v>2.1</v>
      </c>
      <c r="H82" s="81">
        <f>SUM(F82*G82/1000)</f>
        <v>149.09076000000002</v>
      </c>
      <c r="I82" s="12">
        <f>F82/12*G82</f>
        <v>12424.230000000001</v>
      </c>
    </row>
    <row r="83" spans="1:9" s="35" customFormat="1" ht="31.5" customHeight="1">
      <c r="A83" s="26">
        <v>20</v>
      </c>
      <c r="B83" s="14" t="s">
        <v>77</v>
      </c>
      <c r="C83" s="16"/>
      <c r="D83" s="109" t="s">
        <v>55</v>
      </c>
      <c r="E83" s="90">
        <v>5916.3</v>
      </c>
      <c r="F83" s="12">
        <f>E83*12</f>
        <v>70995.600000000006</v>
      </c>
      <c r="G83" s="12">
        <v>1.63</v>
      </c>
      <c r="H83" s="81">
        <f>F83*G83/1000</f>
        <v>115.72282800000001</v>
      </c>
      <c r="I83" s="12">
        <f>F83/12*G83</f>
        <v>9643.5689999999995</v>
      </c>
    </row>
    <row r="84" spans="1:9" s="35" customFormat="1" ht="15.75" customHeight="1">
      <c r="A84" s="52"/>
      <c r="B84" s="38" t="s">
        <v>80</v>
      </c>
      <c r="C84" s="40"/>
      <c r="D84" s="15"/>
      <c r="E84" s="15"/>
      <c r="F84" s="15"/>
      <c r="G84" s="18"/>
      <c r="H84" s="18"/>
      <c r="I84" s="29">
        <f>I83+I82+I77+I65+I62+I59+I58+I51+I45+I44+I43+I42+I41+I40+I39+I28+I27+I18+I17+I16</f>
        <v>83492.968680000005</v>
      </c>
    </row>
    <row r="85" spans="1:9" s="35" customFormat="1" ht="15.75" customHeight="1">
      <c r="A85" s="189" t="s">
        <v>60</v>
      </c>
      <c r="B85" s="190"/>
      <c r="C85" s="190"/>
      <c r="D85" s="190"/>
      <c r="E85" s="190"/>
      <c r="F85" s="190"/>
      <c r="G85" s="190"/>
      <c r="H85" s="190"/>
      <c r="I85" s="191"/>
    </row>
    <row r="86" spans="1:9" s="35" customFormat="1" ht="15.75" customHeight="1">
      <c r="A86" s="31">
        <v>21</v>
      </c>
      <c r="B86" s="60" t="s">
        <v>174</v>
      </c>
      <c r="C86" s="61" t="s">
        <v>175</v>
      </c>
      <c r="D86" s="36"/>
      <c r="E86" s="17"/>
      <c r="F86" s="34">
        <v>60</v>
      </c>
      <c r="G86" s="34">
        <v>134.12</v>
      </c>
      <c r="H86" s="111">
        <f t="shared" ref="H86" si="9">G86*F86/1000</f>
        <v>8.0472000000000001</v>
      </c>
      <c r="I86" s="12">
        <f>G86*(15+15+30+5)</f>
        <v>8717.8000000000011</v>
      </c>
    </row>
    <row r="87" spans="1:9" s="35" customFormat="1" ht="31.5" customHeight="1">
      <c r="A87" s="31">
        <v>22</v>
      </c>
      <c r="B87" s="57" t="s">
        <v>181</v>
      </c>
      <c r="C87" s="59" t="s">
        <v>92</v>
      </c>
      <c r="D87" s="51"/>
      <c r="E87" s="12"/>
      <c r="F87" s="12">
        <v>2</v>
      </c>
      <c r="G87" s="12">
        <v>755.74</v>
      </c>
      <c r="H87" s="81">
        <f>G87*F87/1000</f>
        <v>1.5114799999999999</v>
      </c>
      <c r="I87" s="12">
        <f>G87*2</f>
        <v>1511.48</v>
      </c>
    </row>
    <row r="88" spans="1:9" s="35" customFormat="1" ht="31.5" customHeight="1">
      <c r="A88" s="31">
        <v>23</v>
      </c>
      <c r="B88" s="57" t="s">
        <v>182</v>
      </c>
      <c r="C88" s="59" t="s">
        <v>92</v>
      </c>
      <c r="D88" s="51"/>
      <c r="E88" s="12"/>
      <c r="F88" s="12">
        <v>1</v>
      </c>
      <c r="G88" s="12">
        <v>699.74</v>
      </c>
      <c r="H88" s="81">
        <f>G88*F88/1000</f>
        <v>0.69974000000000003</v>
      </c>
      <c r="I88" s="12">
        <f>G88</f>
        <v>699.74</v>
      </c>
    </row>
    <row r="89" spans="1:9" s="35" customFormat="1" ht="15.75" customHeight="1">
      <c r="A89" s="26">
        <v>24</v>
      </c>
      <c r="B89" s="57" t="s">
        <v>183</v>
      </c>
      <c r="C89" s="59" t="s">
        <v>124</v>
      </c>
      <c r="D89" s="51"/>
      <c r="E89" s="12"/>
      <c r="F89" s="12">
        <v>1</v>
      </c>
      <c r="G89" s="12">
        <v>30</v>
      </c>
      <c r="H89" s="81">
        <f t="shared" ref="H89:H94" si="10">G89*F89/1000</f>
        <v>0.03</v>
      </c>
      <c r="I89" s="12">
        <f t="shared" ref="I89:I91" si="11">G89</f>
        <v>30</v>
      </c>
    </row>
    <row r="90" spans="1:9" s="35" customFormat="1" ht="15.75" customHeight="1">
      <c r="A90" s="26">
        <v>25</v>
      </c>
      <c r="B90" s="57" t="s">
        <v>178</v>
      </c>
      <c r="C90" s="59" t="s">
        <v>124</v>
      </c>
      <c r="D90" s="51"/>
      <c r="E90" s="12"/>
      <c r="F90" s="12">
        <v>1</v>
      </c>
      <c r="G90" s="12">
        <v>75</v>
      </c>
      <c r="H90" s="81">
        <f t="shared" si="10"/>
        <v>7.4999999999999997E-2</v>
      </c>
      <c r="I90" s="12">
        <f t="shared" si="11"/>
        <v>75</v>
      </c>
    </row>
    <row r="91" spans="1:9" s="35" customFormat="1" ht="15.75" customHeight="1">
      <c r="A91" s="31">
        <v>26</v>
      </c>
      <c r="B91" s="57" t="s">
        <v>159</v>
      </c>
      <c r="C91" s="59" t="s">
        <v>124</v>
      </c>
      <c r="D91" s="51"/>
      <c r="E91" s="12"/>
      <c r="F91" s="12">
        <v>1</v>
      </c>
      <c r="G91" s="12">
        <v>62</v>
      </c>
      <c r="H91" s="81">
        <f t="shared" si="10"/>
        <v>6.2E-2</v>
      </c>
      <c r="I91" s="12">
        <f t="shared" si="11"/>
        <v>62</v>
      </c>
    </row>
    <row r="92" spans="1:9" s="35" customFormat="1" ht="31.5" customHeight="1">
      <c r="A92" s="31">
        <v>27</v>
      </c>
      <c r="B92" s="57" t="s">
        <v>164</v>
      </c>
      <c r="C92" s="59" t="s">
        <v>37</v>
      </c>
      <c r="D92" s="51"/>
      <c r="E92" s="12"/>
      <c r="F92" s="12">
        <v>0.03</v>
      </c>
      <c r="G92" s="12">
        <v>3724.37</v>
      </c>
      <c r="H92" s="81">
        <f t="shared" si="10"/>
        <v>0.1117311</v>
      </c>
      <c r="I92" s="12">
        <f>G92*0.03</f>
        <v>111.7311</v>
      </c>
    </row>
    <row r="93" spans="1:9" s="35" customFormat="1" ht="31.5" customHeight="1">
      <c r="A93" s="31">
        <v>28</v>
      </c>
      <c r="B93" s="57" t="s">
        <v>153</v>
      </c>
      <c r="C93" s="59" t="s">
        <v>29</v>
      </c>
      <c r="D93" s="51"/>
      <c r="E93" s="12"/>
      <c r="F93" s="12">
        <v>0.01</v>
      </c>
      <c r="G93" s="12">
        <v>1655.27</v>
      </c>
      <c r="H93" s="81">
        <f t="shared" si="10"/>
        <v>1.65527E-2</v>
      </c>
      <c r="I93" s="12">
        <f>G93*0.01</f>
        <v>16.552700000000002</v>
      </c>
    </row>
    <row r="94" spans="1:9" s="35" customFormat="1" ht="15.75" customHeight="1">
      <c r="A94" s="26">
        <v>29</v>
      </c>
      <c r="B94" s="57" t="s">
        <v>179</v>
      </c>
      <c r="C94" s="59" t="s">
        <v>180</v>
      </c>
      <c r="D94" s="51"/>
      <c r="E94" s="12"/>
      <c r="F94" s="12">
        <v>0.01</v>
      </c>
      <c r="G94" s="12">
        <v>7709.44</v>
      </c>
      <c r="H94" s="81">
        <f t="shared" si="10"/>
        <v>7.7094399999999993E-2</v>
      </c>
      <c r="I94" s="12">
        <f>G94*0.01</f>
        <v>77.094399999999993</v>
      </c>
    </row>
    <row r="95" spans="1:9" s="35" customFormat="1" ht="33.75" customHeight="1">
      <c r="A95" s="26">
        <v>30</v>
      </c>
      <c r="B95" s="60" t="s">
        <v>204</v>
      </c>
      <c r="C95" s="121" t="s">
        <v>205</v>
      </c>
      <c r="D95" s="51"/>
      <c r="E95" s="12"/>
      <c r="F95" s="12"/>
      <c r="G95" s="122">
        <v>24829.08</v>
      </c>
      <c r="H95" s="81"/>
      <c r="I95" s="12">
        <f>G95*0.01</f>
        <v>248.29080000000002</v>
      </c>
    </row>
    <row r="96" spans="1:9" s="35" customFormat="1" ht="15.75" customHeight="1">
      <c r="A96" s="26"/>
      <c r="B96" s="45" t="s">
        <v>51</v>
      </c>
      <c r="C96" s="41"/>
      <c r="D96" s="53"/>
      <c r="E96" s="41">
        <v>1</v>
      </c>
      <c r="F96" s="41"/>
      <c r="G96" s="41"/>
      <c r="H96" s="41"/>
      <c r="I96" s="29">
        <f>SUM(I86:I95)</f>
        <v>11549.689000000002</v>
      </c>
    </row>
    <row r="97" spans="1:9" s="35" customFormat="1" ht="15.75" customHeight="1">
      <c r="A97" s="26"/>
      <c r="B97" s="51" t="s">
        <v>78</v>
      </c>
      <c r="C97" s="15"/>
      <c r="D97" s="15"/>
      <c r="E97" s="42"/>
      <c r="F97" s="42"/>
      <c r="G97" s="43"/>
      <c r="H97" s="43"/>
      <c r="I97" s="17">
        <v>0</v>
      </c>
    </row>
    <row r="98" spans="1:9" s="35" customFormat="1" ht="15.75" customHeight="1">
      <c r="A98" s="54"/>
      <c r="B98" s="46" t="s">
        <v>184</v>
      </c>
      <c r="C98" s="32"/>
      <c r="D98" s="32"/>
      <c r="E98" s="32"/>
      <c r="F98" s="32"/>
      <c r="G98" s="32"/>
      <c r="H98" s="32"/>
      <c r="I98" s="44">
        <f>I84+I96</f>
        <v>95042.657680000004</v>
      </c>
    </row>
    <row r="99" spans="1:9" ht="15.75" customHeight="1">
      <c r="A99" s="173" t="s">
        <v>278</v>
      </c>
      <c r="B99" s="173"/>
      <c r="C99" s="173"/>
      <c r="D99" s="173"/>
      <c r="E99" s="173"/>
      <c r="F99" s="173"/>
      <c r="G99" s="173"/>
      <c r="H99" s="173"/>
      <c r="I99" s="173"/>
    </row>
    <row r="100" spans="1:9" ht="15.75" customHeight="1">
      <c r="A100" s="75"/>
      <c r="B100" s="197" t="s">
        <v>279</v>
      </c>
      <c r="C100" s="197"/>
      <c r="D100" s="197"/>
      <c r="E100" s="197"/>
      <c r="F100" s="197"/>
      <c r="G100" s="197"/>
      <c r="H100" s="80"/>
      <c r="I100" s="3"/>
    </row>
    <row r="101" spans="1:9" ht="15.75" customHeight="1">
      <c r="A101" s="69"/>
      <c r="B101" s="193" t="s">
        <v>6</v>
      </c>
      <c r="C101" s="193"/>
      <c r="D101" s="193"/>
      <c r="E101" s="193"/>
      <c r="F101" s="193"/>
      <c r="G101" s="193"/>
      <c r="H101" s="21"/>
      <c r="I101" s="5"/>
    </row>
    <row r="102" spans="1:9" ht="15.75" customHeight="1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 customHeight="1">
      <c r="A103" s="198" t="s">
        <v>7</v>
      </c>
      <c r="B103" s="198"/>
      <c r="C103" s="198"/>
      <c r="D103" s="198"/>
      <c r="E103" s="198"/>
      <c r="F103" s="198"/>
      <c r="G103" s="198"/>
      <c r="H103" s="198"/>
      <c r="I103" s="198"/>
    </row>
    <row r="104" spans="1:9" ht="15.75" customHeight="1">
      <c r="A104" s="198" t="s">
        <v>8</v>
      </c>
      <c r="B104" s="198"/>
      <c r="C104" s="198"/>
      <c r="D104" s="198"/>
      <c r="E104" s="198"/>
      <c r="F104" s="198"/>
      <c r="G104" s="198"/>
      <c r="H104" s="198"/>
      <c r="I104" s="198"/>
    </row>
    <row r="105" spans="1:9" ht="15.75" customHeight="1">
      <c r="A105" s="199" t="s">
        <v>61</v>
      </c>
      <c r="B105" s="199"/>
      <c r="C105" s="199"/>
      <c r="D105" s="199"/>
      <c r="E105" s="199"/>
      <c r="F105" s="199"/>
      <c r="G105" s="199"/>
      <c r="H105" s="199"/>
      <c r="I105" s="199"/>
    </row>
    <row r="106" spans="1:9" ht="15.75" customHeight="1">
      <c r="A106" s="10"/>
    </row>
    <row r="107" spans="1:9" ht="15.75" customHeight="1">
      <c r="A107" s="180" t="s">
        <v>9</v>
      </c>
      <c r="B107" s="180"/>
      <c r="C107" s="180"/>
      <c r="D107" s="180"/>
      <c r="E107" s="180"/>
      <c r="F107" s="180"/>
      <c r="G107" s="180"/>
      <c r="H107" s="180"/>
      <c r="I107" s="180"/>
    </row>
    <row r="108" spans="1:9" ht="15.75" customHeight="1">
      <c r="A108" s="4"/>
    </row>
    <row r="109" spans="1:9" ht="15.75" customHeight="1">
      <c r="B109" s="74" t="s">
        <v>10</v>
      </c>
      <c r="C109" s="192" t="s">
        <v>90</v>
      </c>
      <c r="D109" s="192"/>
      <c r="E109" s="192"/>
      <c r="F109" s="78"/>
      <c r="I109" s="71"/>
    </row>
    <row r="110" spans="1:9" ht="15.75" customHeight="1">
      <c r="A110" s="69"/>
      <c r="C110" s="193" t="s">
        <v>11</v>
      </c>
      <c r="D110" s="193"/>
      <c r="E110" s="193"/>
      <c r="F110" s="21"/>
      <c r="I110" s="70" t="s">
        <v>12</v>
      </c>
    </row>
    <row r="111" spans="1:9" ht="15.75" customHeight="1">
      <c r="A111" s="22"/>
      <c r="C111" s="11"/>
      <c r="D111" s="11"/>
      <c r="G111" s="11"/>
      <c r="H111" s="11"/>
    </row>
    <row r="112" spans="1:9" ht="15.75" customHeight="1">
      <c r="B112" s="74" t="s">
        <v>13</v>
      </c>
      <c r="C112" s="194"/>
      <c r="D112" s="194"/>
      <c r="E112" s="194"/>
      <c r="F112" s="79"/>
      <c r="I112" s="71"/>
    </row>
    <row r="113" spans="1:9" ht="15.75" customHeight="1">
      <c r="A113" s="69"/>
      <c r="C113" s="195" t="s">
        <v>11</v>
      </c>
      <c r="D113" s="195"/>
      <c r="E113" s="195"/>
      <c r="F113" s="69"/>
      <c r="I113" s="70" t="s">
        <v>12</v>
      </c>
    </row>
    <row r="114" spans="1:9" ht="15.75" customHeight="1">
      <c r="A114" s="4" t="s">
        <v>14</v>
      </c>
    </row>
    <row r="115" spans="1:9">
      <c r="A115" s="196" t="s">
        <v>15</v>
      </c>
      <c r="B115" s="196"/>
      <c r="C115" s="196"/>
      <c r="D115" s="196"/>
      <c r="E115" s="196"/>
      <c r="F115" s="196"/>
      <c r="G115" s="196"/>
      <c r="H115" s="196"/>
      <c r="I115" s="196"/>
    </row>
    <row r="116" spans="1:9" ht="45" customHeight="1">
      <c r="A116" s="185" t="s">
        <v>16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30" customHeight="1">
      <c r="A117" s="185" t="s">
        <v>17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30" customHeight="1">
      <c r="A118" s="185" t="s">
        <v>21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14.25" customHeight="1">
      <c r="A119" s="185" t="s">
        <v>20</v>
      </c>
      <c r="B119" s="185"/>
      <c r="C119" s="185"/>
      <c r="D119" s="185"/>
      <c r="E119" s="185"/>
      <c r="F119" s="185"/>
      <c r="G119" s="185"/>
      <c r="H119" s="185"/>
      <c r="I119" s="185"/>
    </row>
  </sheetData>
  <autoFilter ref="I12:I71"/>
  <mergeCells count="29">
    <mergeCell ref="A115:I115"/>
    <mergeCell ref="A116:I116"/>
    <mergeCell ref="A117:I117"/>
    <mergeCell ref="A118:I118"/>
    <mergeCell ref="A119:I119"/>
    <mergeCell ref="R77:U77"/>
    <mergeCell ref="C113:E113"/>
    <mergeCell ref="A85:I85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84" zoomScale="60"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86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155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185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72"/>
      <c r="C6" s="72"/>
      <c r="D6" s="72"/>
      <c r="E6" s="72"/>
      <c r="F6" s="72"/>
      <c r="G6" s="72"/>
      <c r="H6" s="72"/>
      <c r="I6" s="27">
        <v>43190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133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90">
        <v>169.2</v>
      </c>
      <c r="F16" s="91">
        <f>SUM(E16*156/100)</f>
        <v>263.952</v>
      </c>
      <c r="G16" s="91">
        <v>175.38</v>
      </c>
      <c r="H16" s="92">
        <f t="shared" ref="H16:H26" si="0">SUM(F16*G16/1000)</f>
        <v>46.291901760000002</v>
      </c>
      <c r="I16" s="12">
        <f>F16/12*G16</f>
        <v>3857.6584799999996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90">
        <v>676.6</v>
      </c>
      <c r="F17" s="91">
        <f>SUM(E17*104/100)</f>
        <v>703.6640000000001</v>
      </c>
      <c r="G17" s="91">
        <v>175.38</v>
      </c>
      <c r="H17" s="92">
        <f t="shared" si="0"/>
        <v>123.40859232000001</v>
      </c>
      <c r="I17" s="12">
        <f>F17/12*G17</f>
        <v>10284.049360000001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90">
        <f>SUM(E16+E17)</f>
        <v>845.8</v>
      </c>
      <c r="F18" s="91">
        <f>SUM(E18*24/100)</f>
        <v>202.99199999999996</v>
      </c>
      <c r="G18" s="91">
        <v>504.5</v>
      </c>
      <c r="H18" s="92">
        <f t="shared" si="0"/>
        <v>102.40946399999997</v>
      </c>
      <c r="I18" s="12">
        <f>F18/12*G18</f>
        <v>8534.1219999999976</v>
      </c>
      <c r="J18" s="63"/>
      <c r="K18" s="62"/>
      <c r="L18" s="62"/>
      <c r="M18" s="62"/>
    </row>
    <row r="19" spans="1:13" s="35" customFormat="1" ht="15.75" hidden="1" customHeight="1">
      <c r="A19" s="26"/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v>0</v>
      </c>
      <c r="J19" s="63"/>
      <c r="K19" s="62"/>
      <c r="L19" s="62"/>
      <c r="M19" s="62"/>
    </row>
    <row r="20" spans="1:13" s="35" customFormat="1" ht="15.75" hidden="1" customHeight="1">
      <c r="A20" s="26">
        <v>4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v>0</v>
      </c>
      <c r="J20" s="63"/>
      <c r="K20" s="62"/>
      <c r="L20" s="62"/>
      <c r="M20" s="62"/>
    </row>
    <row r="21" spans="1:13" s="35" customFormat="1" ht="15.75" hidden="1" customHeight="1">
      <c r="A21" s="26">
        <v>5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v>0</v>
      </c>
      <c r="J21" s="63"/>
      <c r="K21" s="62"/>
      <c r="L21" s="62"/>
      <c r="M21" s="62"/>
    </row>
    <row r="22" spans="1:13" s="35" customFormat="1" ht="15.75" hidden="1" customHeight="1">
      <c r="A22" s="26"/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v>0</v>
      </c>
      <c r="J22" s="63"/>
      <c r="K22" s="62"/>
      <c r="L22" s="62"/>
      <c r="M22" s="62"/>
    </row>
    <row r="23" spans="1:13" s="35" customFormat="1" ht="15.75" hidden="1" customHeight="1">
      <c r="A23" s="26"/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v>0</v>
      </c>
      <c r="J23" s="63"/>
      <c r="K23" s="62"/>
      <c r="L23" s="62"/>
      <c r="M23" s="62"/>
    </row>
    <row r="24" spans="1:13" s="35" customFormat="1" ht="15.75" hidden="1" customHeight="1">
      <c r="A24" s="26"/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v>0</v>
      </c>
      <c r="J24" s="63"/>
      <c r="K24" s="62"/>
      <c r="L24" s="62"/>
      <c r="M24" s="62"/>
    </row>
    <row r="25" spans="1:13" s="35" customFormat="1" ht="31.5" hidden="1" customHeight="1">
      <c r="A25" s="40">
        <v>6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v>0</v>
      </c>
      <c r="J25" s="63"/>
      <c r="K25" s="62"/>
      <c r="L25" s="62"/>
      <c r="M25" s="62"/>
    </row>
    <row r="26" spans="1:13" s="35" customFormat="1" ht="15.75" hidden="1" customHeight="1">
      <c r="A26" s="40">
        <v>7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v>0</v>
      </c>
      <c r="J26" s="63"/>
      <c r="K26" s="62"/>
      <c r="L26" s="62"/>
      <c r="M26" s="62"/>
    </row>
    <row r="27" spans="1:13" s="35" customFormat="1" ht="15.75" customHeight="1">
      <c r="A27" s="40">
        <v>4</v>
      </c>
      <c r="B27" s="88" t="s">
        <v>64</v>
      </c>
      <c r="C27" s="89" t="s">
        <v>33</v>
      </c>
      <c r="D27" s="88"/>
      <c r="E27" s="90">
        <v>0.1</v>
      </c>
      <c r="F27" s="91">
        <f>SUM(E27*365)</f>
        <v>36.5</v>
      </c>
      <c r="G27" s="91">
        <v>147.03</v>
      </c>
      <c r="H27" s="92">
        <f t="shared" ref="H27:H28" si="1">SUM(F27*G27/1000)</f>
        <v>5.3665950000000002</v>
      </c>
      <c r="I27" s="12">
        <f>F27/12*G27</f>
        <v>447.21625</v>
      </c>
      <c r="J27" s="63"/>
      <c r="K27" s="62"/>
      <c r="L27" s="62"/>
      <c r="M27" s="62"/>
    </row>
    <row r="28" spans="1:13" s="35" customFormat="1" ht="15.75" customHeight="1">
      <c r="A28" s="40">
        <v>5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1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hidden="1" customHeight="1">
      <c r="A31" s="40">
        <v>2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2">SUM(F31*G31/1000)</f>
        <v>7.2964626280000004</v>
      </c>
      <c r="I31" s="12">
        <v>0</v>
      </c>
      <c r="J31" s="63"/>
      <c r="K31" s="62"/>
      <c r="L31" s="62"/>
      <c r="M31" s="62"/>
    </row>
    <row r="32" spans="1:13" s="35" customFormat="1" ht="31.5" hidden="1" customHeight="1">
      <c r="A32" s="40">
        <v>3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2"/>
        <v>5.8381067159999995</v>
      </c>
      <c r="I32" s="12">
        <v>0</v>
      </c>
      <c r="J32" s="63"/>
      <c r="K32" s="62"/>
      <c r="L32" s="62"/>
      <c r="M32" s="62"/>
    </row>
    <row r="33" spans="1:14" s="35" customFormat="1" ht="15.75" hidden="1" customHeight="1">
      <c r="A33" s="40">
        <v>4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2"/>
        <v>2.7185990329999998</v>
      </c>
      <c r="I33" s="12">
        <v>0</v>
      </c>
      <c r="J33" s="63"/>
      <c r="K33" s="62"/>
      <c r="L33" s="62"/>
      <c r="M33" s="62"/>
    </row>
    <row r="34" spans="1:14" s="35" customFormat="1" ht="15.75" hidden="1" customHeight="1">
      <c r="A34" s="40"/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v>0</v>
      </c>
      <c r="J34" s="63"/>
      <c r="K34" s="62"/>
      <c r="L34" s="62"/>
      <c r="M34" s="62"/>
    </row>
    <row r="35" spans="1:14" s="35" customFormat="1" ht="15.75" hidden="1" customHeight="1">
      <c r="A35" s="40">
        <v>5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v>0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3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3"/>
        <v>2.27264</v>
      </c>
      <c r="I37" s="12">
        <v>0</v>
      </c>
      <c r="J37" s="64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4">SUM(F39*G39/1000)</f>
        <v>15.272200000000002</v>
      </c>
      <c r="I39" s="12">
        <f t="shared" ref="I39:I43" si="5">F39/6*G39</f>
        <v>2545.3666666666668</v>
      </c>
      <c r="J39" s="64"/>
    </row>
    <row r="40" spans="1:14" s="35" customFormat="1" ht="15.75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4"/>
        <v>15.997417679999998</v>
      </c>
      <c r="I40" s="12">
        <f t="shared" si="5"/>
        <v>2666.2362800000001</v>
      </c>
      <c r="J40" s="64"/>
    </row>
    <row r="41" spans="1:14" s="35" customFormat="1" ht="15.75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4"/>
        <v>18.255728220000002</v>
      </c>
      <c r="I41" s="12">
        <f t="shared" si="5"/>
        <v>3042.6213700000003</v>
      </c>
      <c r="J41" s="64"/>
    </row>
    <row r="42" spans="1:14" s="35" customFormat="1" ht="15.75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4"/>
        <v>15.73359275</v>
      </c>
      <c r="I42" s="12">
        <f t="shared" si="5"/>
        <v>2622.2654583333333</v>
      </c>
      <c r="J42" s="64"/>
    </row>
    <row r="43" spans="1:14" s="35" customFormat="1" ht="47.25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4"/>
        <v>15.04210176</v>
      </c>
      <c r="I43" s="12">
        <f t="shared" si="5"/>
        <v>2507.0169599999999</v>
      </c>
      <c r="J43" s="64"/>
    </row>
    <row r="44" spans="1:14" s="35" customFormat="1" ht="15.75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4"/>
        <v>2.5927775999999998</v>
      </c>
      <c r="I44" s="12">
        <f>(F44/7.5*1.5)*G44</f>
        <v>518.55552</v>
      </c>
      <c r="J44" s="64"/>
      <c r="L44" s="19"/>
      <c r="M44" s="20"/>
      <c r="N44" s="28"/>
    </row>
    <row r="45" spans="1:14" s="35" customFormat="1" ht="15.75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4"/>
        <v>0.71820000000000006</v>
      </c>
      <c r="I45" s="12">
        <f>(F45/7.5*1.5)*G45</f>
        <v>143.64000000000001</v>
      </c>
      <c r="J45" s="64"/>
      <c r="L45" s="19"/>
      <c r="M45" s="20"/>
      <c r="N45" s="28"/>
    </row>
    <row r="46" spans="1:14" s="35" customFormat="1" ht="15.75" hidden="1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hidden="1" customHeight="1">
      <c r="A47" s="40">
        <v>15</v>
      </c>
      <c r="B47" s="88" t="s">
        <v>121</v>
      </c>
      <c r="C47" s="89" t="s">
        <v>115</v>
      </c>
      <c r="D47" s="88" t="s">
        <v>41</v>
      </c>
      <c r="E47" s="90">
        <v>1662.5</v>
      </c>
      <c r="F47" s="91">
        <f>SUM(E47*2/1000)</f>
        <v>3.3250000000000002</v>
      </c>
      <c r="G47" s="12">
        <v>849.49</v>
      </c>
      <c r="H47" s="92">
        <f t="shared" ref="H47:H55" si="6">SUM(F47*G47/1000)</f>
        <v>2.8245542500000003</v>
      </c>
      <c r="I47" s="12">
        <v>0</v>
      </c>
      <c r="J47" s="64"/>
      <c r="L47" s="19"/>
      <c r="M47" s="20"/>
      <c r="N47" s="28"/>
    </row>
    <row r="48" spans="1:14" s="35" customFormat="1" ht="15.75" hidden="1" customHeight="1">
      <c r="A48" s="40"/>
      <c r="B48" s="88" t="s">
        <v>34</v>
      </c>
      <c r="C48" s="89" t="s">
        <v>115</v>
      </c>
      <c r="D48" s="88" t="s">
        <v>41</v>
      </c>
      <c r="E48" s="90">
        <v>92.8</v>
      </c>
      <c r="F48" s="91">
        <f>SUM(E48*2/1000)</f>
        <v>0.18559999999999999</v>
      </c>
      <c r="G48" s="12">
        <v>579.48</v>
      </c>
      <c r="H48" s="92">
        <f t="shared" si="6"/>
        <v>0.10755148799999999</v>
      </c>
      <c r="I48" s="12">
        <v>0</v>
      </c>
      <c r="J48" s="64"/>
      <c r="L48" s="19"/>
      <c r="M48" s="20"/>
      <c r="N48" s="28"/>
    </row>
    <row r="49" spans="1:14" s="35" customFormat="1" ht="15.75" hidden="1" customHeight="1">
      <c r="A49" s="40">
        <v>16</v>
      </c>
      <c r="B49" s="88" t="s">
        <v>35</v>
      </c>
      <c r="C49" s="89" t="s">
        <v>115</v>
      </c>
      <c r="D49" s="88" t="s">
        <v>41</v>
      </c>
      <c r="E49" s="90">
        <v>4750.7</v>
      </c>
      <c r="F49" s="91">
        <f>SUM(E49*2/1000)</f>
        <v>9.5014000000000003</v>
      </c>
      <c r="G49" s="12">
        <v>579.48</v>
      </c>
      <c r="H49" s="92">
        <f t="shared" si="6"/>
        <v>5.5058712720000003</v>
      </c>
      <c r="I49" s="12">
        <v>0</v>
      </c>
      <c r="J49" s="64"/>
      <c r="L49" s="19"/>
      <c r="M49" s="20"/>
      <c r="N49" s="28"/>
    </row>
    <row r="50" spans="1:14" s="35" customFormat="1" ht="15.75" hidden="1" customHeight="1">
      <c r="A50" s="40">
        <v>17</v>
      </c>
      <c r="B50" s="88" t="s">
        <v>36</v>
      </c>
      <c r="C50" s="89" t="s">
        <v>115</v>
      </c>
      <c r="D50" s="88" t="s">
        <v>41</v>
      </c>
      <c r="E50" s="90">
        <v>2840.99</v>
      </c>
      <c r="F50" s="91">
        <f>SUM(E50*2/1000)</f>
        <v>5.6819799999999994</v>
      </c>
      <c r="G50" s="12">
        <v>606.77</v>
      </c>
      <c r="H50" s="92">
        <f t="shared" si="6"/>
        <v>3.4476550045999992</v>
      </c>
      <c r="I50" s="12">
        <v>0</v>
      </c>
      <c r="J50" s="64"/>
      <c r="L50" s="19"/>
      <c r="M50" s="20"/>
      <c r="N50" s="28"/>
    </row>
    <row r="51" spans="1:14" s="35" customFormat="1" ht="15.75" hidden="1" customHeight="1">
      <c r="A51" s="40">
        <v>13</v>
      </c>
      <c r="B51" s="88" t="s">
        <v>56</v>
      </c>
      <c r="C51" s="89" t="s">
        <v>115</v>
      </c>
      <c r="D51" s="88" t="s">
        <v>146</v>
      </c>
      <c r="E51" s="90">
        <v>1652.5</v>
      </c>
      <c r="F51" s="91">
        <f>SUM(E51*5/1000)</f>
        <v>8.2624999999999993</v>
      </c>
      <c r="G51" s="12">
        <v>1213.55</v>
      </c>
      <c r="H51" s="92">
        <f t="shared" si="6"/>
        <v>10.026956874999998</v>
      </c>
      <c r="I51" s="12">
        <f>F51/5*G51</f>
        <v>2005.3913749999997</v>
      </c>
      <c r="J51" s="64"/>
      <c r="L51" s="19"/>
      <c r="M51" s="20"/>
      <c r="N51" s="28"/>
    </row>
    <row r="52" spans="1:14" s="35" customFormat="1" ht="31.5" hidden="1" customHeight="1">
      <c r="A52" s="40">
        <v>13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6"/>
        <v>4.0107827499999997</v>
      </c>
      <c r="I52" s="12">
        <v>0</v>
      </c>
      <c r="J52" s="64"/>
      <c r="L52" s="19"/>
      <c r="M52" s="20"/>
      <c r="N52" s="28"/>
    </row>
    <row r="53" spans="1:14" s="35" customFormat="1" ht="31.5" hidden="1" customHeight="1">
      <c r="A53" s="40">
        <v>14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6"/>
        <v>2.1843919999999999</v>
      </c>
      <c r="I53" s="12">
        <v>0</v>
      </c>
      <c r="J53" s="64"/>
      <c r="L53" s="19"/>
      <c r="M53" s="20"/>
      <c r="N53" s="28"/>
    </row>
    <row r="54" spans="1:14" s="35" customFormat="1" ht="15.75" hidden="1" customHeight="1">
      <c r="A54" s="40">
        <v>15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6"/>
        <v>0.11304260000000001</v>
      </c>
      <c r="I54" s="12">
        <v>0</v>
      </c>
      <c r="J54" s="64"/>
      <c r="L54" s="19"/>
      <c r="M54" s="20"/>
      <c r="N54" s="28"/>
    </row>
    <row r="55" spans="1:14" s="35" customFormat="1" ht="15.75" hidden="1" customHeight="1">
      <c r="A55" s="40">
        <v>14</v>
      </c>
      <c r="B55" s="88" t="s">
        <v>40</v>
      </c>
      <c r="C55" s="89" t="s">
        <v>124</v>
      </c>
      <c r="D55" s="88" t="s">
        <v>71</v>
      </c>
      <c r="E55" s="90">
        <v>236</v>
      </c>
      <c r="F55" s="91">
        <f>SUM(E55)*3</f>
        <v>708</v>
      </c>
      <c r="G55" s="12">
        <v>65.67</v>
      </c>
      <c r="H55" s="92">
        <f t="shared" si="6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182" t="s">
        <v>156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customHeight="1">
      <c r="A57" s="52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customHeight="1">
      <c r="A58" s="40">
        <v>13</v>
      </c>
      <c r="B58" s="88" t="s">
        <v>139</v>
      </c>
      <c r="C58" s="89" t="s">
        <v>105</v>
      </c>
      <c r="D58" s="88" t="s">
        <v>212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G58*1.203</f>
        <v>1861.3778400000001</v>
      </c>
      <c r="J58" s="64"/>
      <c r="L58" s="19"/>
      <c r="M58" s="20"/>
      <c r="N58" s="28"/>
    </row>
    <row r="59" spans="1:14" s="35" customFormat="1" ht="15.75" customHeight="1">
      <c r="A59" s="40">
        <v>14</v>
      </c>
      <c r="B59" s="99" t="s">
        <v>95</v>
      </c>
      <c r="C59" s="100" t="s">
        <v>105</v>
      </c>
      <c r="D59" s="99" t="s">
        <v>140</v>
      </c>
      <c r="E59" s="101">
        <v>56</v>
      </c>
      <c r="F59" s="102">
        <f>E59*6/100</f>
        <v>3.36</v>
      </c>
      <c r="G59" s="98">
        <v>1547.28</v>
      </c>
      <c r="H59" s="103">
        <f>F59*G59/1000</f>
        <v>5.1988607999999994</v>
      </c>
      <c r="I59" s="12">
        <f>F59/6*G59</f>
        <v>866.47679999999991</v>
      </c>
      <c r="J59" s="64"/>
      <c r="L59" s="19"/>
      <c r="M59" s="20"/>
      <c r="N59" s="28"/>
    </row>
    <row r="60" spans="1:14" s="35" customFormat="1" ht="15.75" customHeight="1">
      <c r="A60" s="40">
        <v>15</v>
      </c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f>F60/2*G60</f>
        <v>1446.24</v>
      </c>
      <c r="J60" s="64"/>
      <c r="L60" s="19"/>
      <c r="M60" s="20"/>
      <c r="N60" s="28"/>
    </row>
    <row r="61" spans="1:14" s="35" customFormat="1" ht="15.75" customHeight="1">
      <c r="A61" s="40"/>
      <c r="B61" s="73" t="s">
        <v>43</v>
      </c>
      <c r="C61" s="73"/>
      <c r="D61" s="73"/>
      <c r="E61" s="73"/>
      <c r="F61" s="73"/>
      <c r="G61" s="73"/>
      <c r="H61" s="73"/>
      <c r="I61" s="33"/>
      <c r="J61" s="64"/>
      <c r="L61" s="19"/>
      <c r="M61" s="20"/>
      <c r="N61" s="28"/>
    </row>
    <row r="62" spans="1:14" s="35" customFormat="1" ht="15.75" customHeight="1">
      <c r="A62" s="40">
        <v>16</v>
      </c>
      <c r="B62" s="99" t="s">
        <v>96</v>
      </c>
      <c r="C62" s="100" t="s">
        <v>25</v>
      </c>
      <c r="D62" s="99" t="s">
        <v>147</v>
      </c>
      <c r="E62" s="101">
        <v>200</v>
      </c>
      <c r="F62" s="102">
        <f>E62*12</f>
        <v>2400</v>
      </c>
      <c r="G62" s="105">
        <v>1.2</v>
      </c>
      <c r="H62" s="103">
        <f>G62*F62/1000</f>
        <v>2.88</v>
      </c>
      <c r="I62" s="12">
        <f>F62/12*G62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customHeight="1">
      <c r="A64" s="40"/>
      <c r="B64" s="73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customHeight="1">
      <c r="A65" s="40">
        <v>17</v>
      </c>
      <c r="B65" s="14" t="s">
        <v>46</v>
      </c>
      <c r="C65" s="16" t="s">
        <v>124</v>
      </c>
      <c r="D65" s="14" t="s">
        <v>67</v>
      </c>
      <c r="E65" s="18">
        <v>10</v>
      </c>
      <c r="F65" s="91">
        <v>10</v>
      </c>
      <c r="G65" s="12">
        <v>222.4</v>
      </c>
      <c r="H65" s="81">
        <f t="shared" ref="H65:H72" si="7">SUM(F65*G65/1000)</f>
        <v>2.2240000000000002</v>
      </c>
      <c r="I65" s="12">
        <f>G65*2</f>
        <v>444.8</v>
      </c>
      <c r="J65" s="64"/>
      <c r="L65" s="19"/>
      <c r="M65" s="20"/>
      <c r="N65" s="28"/>
    </row>
    <row r="66" spans="1:22" s="35" customFormat="1" ht="15.75" hidden="1" customHeight="1">
      <c r="A66" s="26">
        <v>29</v>
      </c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7"/>
        <v>0.61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8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7"/>
        <v>49.360940499999998</v>
      </c>
      <c r="I67" s="12">
        <v>0</v>
      </c>
      <c r="J67" s="64"/>
      <c r="L67" s="19"/>
      <c r="M67" s="20"/>
      <c r="N67" s="28"/>
    </row>
    <row r="68" spans="1:22" s="35" customFormat="1" ht="15.75" hidden="1" customHeight="1">
      <c r="A68" s="26">
        <v>9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7"/>
        <v>3.8439410700000005</v>
      </c>
      <c r="I68" s="12">
        <v>0</v>
      </c>
      <c r="J68" s="64"/>
      <c r="L68" s="19"/>
      <c r="M68" s="20"/>
      <c r="N68" s="28"/>
    </row>
    <row r="69" spans="1:22" s="35" customFormat="1" ht="15.75" hidden="1" customHeight="1">
      <c r="A69" s="26">
        <v>10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7"/>
        <v>65.247113499999998</v>
      </c>
      <c r="I69" s="12">
        <v>0</v>
      </c>
      <c r="J69" s="64"/>
      <c r="L69" s="19"/>
    </row>
    <row r="70" spans="1:22" s="35" customFormat="1" ht="15.75" hidden="1" customHeight="1">
      <c r="A70" s="26">
        <v>11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7"/>
        <v>0.88156220000000007</v>
      </c>
      <c r="I70" s="12">
        <v>0</v>
      </c>
    </row>
    <row r="71" spans="1:22" s="35" customFormat="1" ht="15.75" hidden="1" customHeight="1">
      <c r="A71" s="26">
        <v>12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7"/>
        <v>0.82247460000000006</v>
      </c>
      <c r="I71" s="12">
        <v>0</v>
      </c>
    </row>
    <row r="72" spans="1:22" s="35" customFormat="1" ht="19.5" hidden="1" customHeight="1">
      <c r="A72" s="26">
        <v>13</v>
      </c>
      <c r="B72" s="14" t="s">
        <v>57</v>
      </c>
      <c r="C72" s="16" t="s">
        <v>58</v>
      </c>
      <c r="D72" s="14" t="s">
        <v>53</v>
      </c>
      <c r="E72" s="18">
        <v>5</v>
      </c>
      <c r="F72" s="91">
        <f>SUM(E72)</f>
        <v>5</v>
      </c>
      <c r="G72" s="12">
        <v>49.88</v>
      </c>
      <c r="H72" s="81">
        <f t="shared" si="7"/>
        <v>0.24940000000000001</v>
      </c>
      <c r="I72" s="12">
        <v>0</v>
      </c>
    </row>
    <row r="73" spans="1:22" s="35" customFormat="1" ht="19.5" hidden="1" customHeight="1">
      <c r="A73" s="52"/>
      <c r="B73" s="73" t="s">
        <v>128</v>
      </c>
      <c r="C73" s="73"/>
      <c r="D73" s="73"/>
      <c r="E73" s="73"/>
      <c r="F73" s="73"/>
      <c r="G73" s="73"/>
      <c r="H73" s="73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16.5" hidden="1" customHeight="1">
      <c r="A74" s="26">
        <v>18</v>
      </c>
      <c r="B74" s="88" t="s">
        <v>129</v>
      </c>
      <c r="C74" s="16"/>
      <c r="D74" s="14"/>
      <c r="E74" s="77"/>
      <c r="F74" s="12">
        <v>1</v>
      </c>
      <c r="G74" s="12">
        <v>27750</v>
      </c>
      <c r="H74" s="81">
        <f>G74*F74/1000</f>
        <v>27.75</v>
      </c>
      <c r="I74" s="12">
        <f>G74</f>
        <v>27750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8" hidden="1" customHeight="1">
      <c r="A75" s="26"/>
      <c r="B75" s="48" t="s">
        <v>72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15" hidden="1" customHeight="1">
      <c r="A76" s="26">
        <v>19</v>
      </c>
      <c r="B76" s="14" t="s">
        <v>73</v>
      </c>
      <c r="C76" s="16" t="s">
        <v>31</v>
      </c>
      <c r="D76" s="14"/>
      <c r="E76" s="18">
        <v>10</v>
      </c>
      <c r="F76" s="76">
        <v>1</v>
      </c>
      <c r="G76" s="12">
        <v>501.62</v>
      </c>
      <c r="H76" s="81">
        <f>F76*G76/1000</f>
        <v>0.50161999999999995</v>
      </c>
      <c r="I76" s="12">
        <f>G76*0.2</f>
        <v>100.32400000000001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5" hidden="1" customHeight="1">
      <c r="A77" s="26">
        <v>20</v>
      </c>
      <c r="B77" s="14" t="s">
        <v>88</v>
      </c>
      <c r="C77" s="16" t="s">
        <v>30</v>
      </c>
      <c r="D77" s="14"/>
      <c r="E77" s="18">
        <v>1</v>
      </c>
      <c r="F77" s="91">
        <v>1</v>
      </c>
      <c r="G77" s="12">
        <v>358.51</v>
      </c>
      <c r="H77" s="81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172"/>
      <c r="S77" s="172"/>
      <c r="T77" s="172"/>
      <c r="U77" s="172"/>
    </row>
    <row r="78" spans="1:22" s="35" customFormat="1" ht="13.5" hidden="1" customHeight="1">
      <c r="A78" s="26">
        <v>20</v>
      </c>
      <c r="B78" s="14" t="s">
        <v>74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81">
        <f>F78*G78/1000</f>
        <v>0.85299000000000003</v>
      </c>
      <c r="I78" s="12">
        <v>0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2" s="35" customFormat="1" ht="14.25" hidden="1" customHeight="1">
      <c r="A79" s="26"/>
      <c r="B79" s="49" t="s">
        <v>75</v>
      </c>
      <c r="C79" s="37"/>
      <c r="D79" s="26"/>
      <c r="E79" s="18"/>
      <c r="F79" s="18"/>
      <c r="G79" s="34" t="s">
        <v>141</v>
      </c>
      <c r="H79" s="34"/>
      <c r="I79" s="18"/>
    </row>
    <row r="80" spans="1:22" s="35" customFormat="1" ht="15.75" hidden="1" customHeight="1">
      <c r="A80" s="26">
        <v>39</v>
      </c>
      <c r="B80" s="51" t="s">
        <v>130</v>
      </c>
      <c r="C80" s="16" t="s">
        <v>76</v>
      </c>
      <c r="D80" s="14"/>
      <c r="E80" s="18"/>
      <c r="F80" s="12">
        <v>1.35</v>
      </c>
      <c r="G80" s="12">
        <v>2759.44</v>
      </c>
      <c r="H80" s="81">
        <f t="shared" ref="H80" si="8">SUM(F80*G80/1000)</f>
        <v>3.725244</v>
      </c>
      <c r="I80" s="12">
        <v>0</v>
      </c>
    </row>
    <row r="81" spans="1:9" s="35" customFormat="1" ht="15.75" customHeight="1">
      <c r="A81" s="186" t="s">
        <v>157</v>
      </c>
      <c r="B81" s="187"/>
      <c r="C81" s="187"/>
      <c r="D81" s="187"/>
      <c r="E81" s="187"/>
      <c r="F81" s="187"/>
      <c r="G81" s="187"/>
      <c r="H81" s="187"/>
      <c r="I81" s="188"/>
    </row>
    <row r="82" spans="1:9" s="35" customFormat="1" ht="15.75" customHeight="1">
      <c r="A82" s="26">
        <v>18</v>
      </c>
      <c r="B82" s="88" t="s">
        <v>131</v>
      </c>
      <c r="C82" s="16" t="s">
        <v>54</v>
      </c>
      <c r="D82" s="109" t="s">
        <v>55</v>
      </c>
      <c r="E82" s="12">
        <v>5916.3</v>
      </c>
      <c r="F82" s="12">
        <f>SUM(E82*12)</f>
        <v>70995.600000000006</v>
      </c>
      <c r="G82" s="12">
        <v>2.1</v>
      </c>
      <c r="H82" s="81">
        <f>SUM(F82*G82/1000)</f>
        <v>149.09076000000002</v>
      </c>
      <c r="I82" s="12">
        <f>F82/12*G82</f>
        <v>12424.230000000001</v>
      </c>
    </row>
    <row r="83" spans="1:9" s="35" customFormat="1" ht="31.5" customHeight="1">
      <c r="A83" s="26">
        <v>19</v>
      </c>
      <c r="B83" s="14" t="s">
        <v>77</v>
      </c>
      <c r="C83" s="16"/>
      <c r="D83" s="109" t="s">
        <v>55</v>
      </c>
      <c r="E83" s="90">
        <v>5916.3</v>
      </c>
      <c r="F83" s="12">
        <f>E83*12</f>
        <v>70995.600000000006</v>
      </c>
      <c r="G83" s="12">
        <v>1.63</v>
      </c>
      <c r="H83" s="81">
        <f>F83*G83/1000</f>
        <v>115.72282800000001</v>
      </c>
      <c r="I83" s="12">
        <f>F83/12*G83</f>
        <v>9643.5689999999995</v>
      </c>
    </row>
    <row r="84" spans="1:9" s="35" customFormat="1" ht="15.75" customHeight="1">
      <c r="A84" s="52"/>
      <c r="B84" s="38" t="s">
        <v>80</v>
      </c>
      <c r="C84" s="40"/>
      <c r="D84" s="15"/>
      <c r="E84" s="15"/>
      <c r="F84" s="15"/>
      <c r="G84" s="18"/>
      <c r="H84" s="18"/>
      <c r="I84" s="29">
        <f>I83+I82+I65+I62+I60+I59+I58+I45+I44+I43+I42+I41+I40+I39+I28+I27+I18+I17+I16</f>
        <v>83796.720985000007</v>
      </c>
    </row>
    <row r="85" spans="1:9" s="35" customFormat="1" ht="15.75" customHeight="1">
      <c r="A85" s="189" t="s">
        <v>60</v>
      </c>
      <c r="B85" s="190"/>
      <c r="C85" s="190"/>
      <c r="D85" s="190"/>
      <c r="E85" s="190"/>
      <c r="F85" s="190"/>
      <c r="G85" s="190"/>
      <c r="H85" s="190"/>
      <c r="I85" s="191"/>
    </row>
    <row r="86" spans="1:9" s="35" customFormat="1" ht="15" customHeight="1">
      <c r="A86" s="26">
        <v>20</v>
      </c>
      <c r="B86" s="57" t="s">
        <v>174</v>
      </c>
      <c r="C86" s="59" t="s">
        <v>175</v>
      </c>
      <c r="D86" s="14"/>
      <c r="E86" s="18"/>
      <c r="F86" s="12">
        <v>127</v>
      </c>
      <c r="G86" s="12">
        <v>134.12</v>
      </c>
      <c r="H86" s="81">
        <f t="shared" ref="H86" si="9">G86*F86/1000</f>
        <v>17.033240000000003</v>
      </c>
      <c r="I86" s="115">
        <f>G86*(10+7)</f>
        <v>2280.04</v>
      </c>
    </row>
    <row r="87" spans="1:9" s="35" customFormat="1" ht="31.5" customHeight="1">
      <c r="A87" s="31">
        <v>21</v>
      </c>
      <c r="B87" s="57" t="s">
        <v>158</v>
      </c>
      <c r="C87" s="59" t="s">
        <v>81</v>
      </c>
      <c r="D87" s="51"/>
      <c r="E87" s="34"/>
      <c r="F87" s="34">
        <v>3.5</v>
      </c>
      <c r="G87" s="34">
        <v>1187</v>
      </c>
      <c r="H87" s="111">
        <f>G87*F87/1000</f>
        <v>4.1544999999999996</v>
      </c>
      <c r="I87" s="12">
        <f>G87*3.5</f>
        <v>4154.5</v>
      </c>
    </row>
    <row r="88" spans="1:9" s="35" customFormat="1" ht="31.5" customHeight="1">
      <c r="A88" s="31">
        <v>22</v>
      </c>
      <c r="B88" s="57" t="s">
        <v>189</v>
      </c>
      <c r="C88" s="59" t="s">
        <v>186</v>
      </c>
      <c r="D88" s="51"/>
      <c r="E88" s="34"/>
      <c r="F88" s="34">
        <v>1</v>
      </c>
      <c r="G88" s="34">
        <v>1078.9000000000001</v>
      </c>
      <c r="H88" s="111">
        <f t="shared" ref="H88:H91" si="10">G88*F88/1000</f>
        <v>1.0789000000000002</v>
      </c>
      <c r="I88" s="12">
        <f t="shared" ref="I88" si="11">G88</f>
        <v>1078.9000000000001</v>
      </c>
    </row>
    <row r="89" spans="1:9" s="35" customFormat="1" ht="15.75" customHeight="1">
      <c r="A89" s="26">
        <v>23</v>
      </c>
      <c r="B89" s="57" t="s">
        <v>187</v>
      </c>
      <c r="C89" s="59" t="s">
        <v>124</v>
      </c>
      <c r="D89" s="36"/>
      <c r="E89" s="17"/>
      <c r="F89" s="34">
        <v>2</v>
      </c>
      <c r="G89" s="34">
        <v>140</v>
      </c>
      <c r="H89" s="111">
        <f t="shared" si="10"/>
        <v>0.28000000000000003</v>
      </c>
      <c r="I89" s="12">
        <f>G89*2</f>
        <v>280</v>
      </c>
    </row>
    <row r="90" spans="1:9" s="35" customFormat="1" ht="15.75" customHeight="1">
      <c r="A90" s="31">
        <v>24</v>
      </c>
      <c r="B90" s="57" t="s">
        <v>188</v>
      </c>
      <c r="C90" s="59" t="s">
        <v>124</v>
      </c>
      <c r="D90" s="58"/>
      <c r="E90" s="34"/>
      <c r="F90" s="34">
        <v>1</v>
      </c>
      <c r="G90" s="34">
        <v>70</v>
      </c>
      <c r="H90" s="111">
        <f t="shared" si="10"/>
        <v>7.0000000000000007E-2</v>
      </c>
      <c r="I90" s="12">
        <f t="shared" ref="I90:I91" si="12">G90</f>
        <v>70</v>
      </c>
    </row>
    <row r="91" spans="1:9" s="35" customFormat="1" ht="15.75" customHeight="1">
      <c r="A91" s="31">
        <v>25</v>
      </c>
      <c r="B91" s="57" t="s">
        <v>190</v>
      </c>
      <c r="C91" s="59" t="s">
        <v>124</v>
      </c>
      <c r="D91" s="51"/>
      <c r="E91" s="34"/>
      <c r="F91" s="34">
        <v>1</v>
      </c>
      <c r="G91" s="34">
        <v>108</v>
      </c>
      <c r="H91" s="111">
        <f t="shared" si="10"/>
        <v>0.108</v>
      </c>
      <c r="I91" s="12">
        <f t="shared" si="12"/>
        <v>108</v>
      </c>
    </row>
    <row r="92" spans="1:9" s="35" customFormat="1" ht="15.75" customHeight="1">
      <c r="A92" s="26"/>
      <c r="B92" s="45" t="s">
        <v>51</v>
      </c>
      <c r="C92" s="41"/>
      <c r="D92" s="53"/>
      <c r="E92" s="41">
        <v>1</v>
      </c>
      <c r="F92" s="41"/>
      <c r="G92" s="41"/>
      <c r="H92" s="41"/>
      <c r="I92" s="29">
        <f>SUM(I86:I91)</f>
        <v>7971.4400000000005</v>
      </c>
    </row>
    <row r="93" spans="1:9" s="35" customFormat="1" ht="15.75" customHeight="1">
      <c r="A93" s="26"/>
      <c r="B93" s="51" t="s">
        <v>78</v>
      </c>
      <c r="C93" s="15"/>
      <c r="D93" s="15"/>
      <c r="E93" s="42"/>
      <c r="F93" s="42"/>
      <c r="G93" s="43"/>
      <c r="H93" s="43"/>
      <c r="I93" s="17">
        <v>0</v>
      </c>
    </row>
    <row r="94" spans="1:9" s="35" customFormat="1" ht="15.75" customHeight="1">
      <c r="A94" s="54"/>
      <c r="B94" s="46" t="s">
        <v>152</v>
      </c>
      <c r="C94" s="32"/>
      <c r="D94" s="32"/>
      <c r="E94" s="32"/>
      <c r="F94" s="32"/>
      <c r="G94" s="32"/>
      <c r="H94" s="32"/>
      <c r="I94" s="44">
        <f>I84+I92</f>
        <v>91768.16098500001</v>
      </c>
    </row>
    <row r="95" spans="1:9" ht="15.75" customHeight="1">
      <c r="A95" s="173" t="s">
        <v>280</v>
      </c>
      <c r="B95" s="173"/>
      <c r="C95" s="173"/>
      <c r="D95" s="173"/>
      <c r="E95" s="173"/>
      <c r="F95" s="173"/>
      <c r="G95" s="173"/>
      <c r="H95" s="173"/>
      <c r="I95" s="173"/>
    </row>
    <row r="96" spans="1:9" ht="15.75" customHeight="1">
      <c r="A96" s="75"/>
      <c r="B96" s="197" t="s">
        <v>281</v>
      </c>
      <c r="C96" s="197"/>
      <c r="D96" s="197"/>
      <c r="E96" s="197"/>
      <c r="F96" s="197"/>
      <c r="G96" s="197"/>
      <c r="H96" s="80"/>
      <c r="I96" s="3"/>
    </row>
    <row r="97" spans="1:9" ht="15.75" customHeight="1">
      <c r="A97" s="69"/>
      <c r="B97" s="193" t="s">
        <v>6</v>
      </c>
      <c r="C97" s="193"/>
      <c r="D97" s="193"/>
      <c r="E97" s="193"/>
      <c r="F97" s="193"/>
      <c r="G97" s="193"/>
      <c r="H97" s="21"/>
      <c r="I97" s="5"/>
    </row>
    <row r="98" spans="1:9" ht="15.75" customHeight="1">
      <c r="A98" s="9"/>
      <c r="B98" s="9"/>
      <c r="C98" s="9"/>
      <c r="D98" s="9"/>
      <c r="E98" s="9"/>
      <c r="F98" s="9"/>
      <c r="G98" s="9"/>
      <c r="H98" s="9"/>
      <c r="I98" s="9"/>
    </row>
    <row r="99" spans="1:9" ht="15.75" customHeight="1">
      <c r="A99" s="198" t="s">
        <v>7</v>
      </c>
      <c r="B99" s="198"/>
      <c r="C99" s="198"/>
      <c r="D99" s="198"/>
      <c r="E99" s="198"/>
      <c r="F99" s="198"/>
      <c r="G99" s="198"/>
      <c r="H99" s="198"/>
      <c r="I99" s="198"/>
    </row>
    <row r="100" spans="1:9" ht="15.75" customHeight="1">
      <c r="A100" s="198" t="s">
        <v>8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 customHeight="1">
      <c r="A101" s="199" t="s">
        <v>61</v>
      </c>
      <c r="B101" s="199"/>
      <c r="C101" s="199"/>
      <c r="D101" s="199"/>
      <c r="E101" s="199"/>
      <c r="F101" s="199"/>
      <c r="G101" s="199"/>
      <c r="H101" s="199"/>
      <c r="I101" s="199"/>
    </row>
    <row r="102" spans="1:9" ht="15.75" customHeight="1">
      <c r="A102" s="10"/>
    </row>
    <row r="103" spans="1:9" ht="15.75" customHeight="1">
      <c r="A103" s="180" t="s">
        <v>9</v>
      </c>
      <c r="B103" s="180"/>
      <c r="C103" s="180"/>
      <c r="D103" s="180"/>
      <c r="E103" s="180"/>
      <c r="F103" s="180"/>
      <c r="G103" s="180"/>
      <c r="H103" s="180"/>
      <c r="I103" s="180"/>
    </row>
    <row r="104" spans="1:9" ht="15.75" customHeight="1">
      <c r="A104" s="4"/>
    </row>
    <row r="105" spans="1:9" ht="15.75" customHeight="1">
      <c r="B105" s="74" t="s">
        <v>10</v>
      </c>
      <c r="C105" s="192" t="s">
        <v>90</v>
      </c>
      <c r="D105" s="192"/>
      <c r="E105" s="192"/>
      <c r="F105" s="78"/>
      <c r="I105" s="71"/>
    </row>
    <row r="106" spans="1:9" ht="15.75" customHeight="1">
      <c r="A106" s="69"/>
      <c r="C106" s="193" t="s">
        <v>11</v>
      </c>
      <c r="D106" s="193"/>
      <c r="E106" s="193"/>
      <c r="F106" s="21"/>
      <c r="I106" s="70" t="s">
        <v>12</v>
      </c>
    </row>
    <row r="107" spans="1:9" ht="15.75" customHeight="1">
      <c r="A107" s="22"/>
      <c r="C107" s="11"/>
      <c r="D107" s="11"/>
      <c r="G107" s="11"/>
      <c r="H107" s="11"/>
    </row>
    <row r="108" spans="1:9" ht="15.75" customHeight="1">
      <c r="B108" s="74" t="s">
        <v>13</v>
      </c>
      <c r="C108" s="194"/>
      <c r="D108" s="194"/>
      <c r="E108" s="194"/>
      <c r="F108" s="79"/>
      <c r="I108" s="71"/>
    </row>
    <row r="109" spans="1:9" ht="15.75" customHeight="1">
      <c r="A109" s="69"/>
      <c r="C109" s="195" t="s">
        <v>11</v>
      </c>
      <c r="D109" s="195"/>
      <c r="E109" s="195"/>
      <c r="F109" s="69"/>
      <c r="I109" s="70" t="s">
        <v>12</v>
      </c>
    </row>
    <row r="110" spans="1:9" ht="15.75" customHeight="1">
      <c r="A110" s="4" t="s">
        <v>14</v>
      </c>
    </row>
    <row r="111" spans="1:9">
      <c r="A111" s="196" t="s">
        <v>15</v>
      </c>
      <c r="B111" s="196"/>
      <c r="C111" s="196"/>
      <c r="D111" s="196"/>
      <c r="E111" s="196"/>
      <c r="F111" s="196"/>
      <c r="G111" s="196"/>
      <c r="H111" s="196"/>
      <c r="I111" s="196"/>
    </row>
    <row r="112" spans="1:9" ht="45" customHeight="1">
      <c r="A112" s="185" t="s">
        <v>16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30" customHeight="1">
      <c r="A113" s="185" t="s">
        <v>17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30" customHeight="1">
      <c r="A114" s="185" t="s">
        <v>21</v>
      </c>
      <c r="B114" s="185"/>
      <c r="C114" s="185"/>
      <c r="D114" s="185"/>
      <c r="E114" s="185"/>
      <c r="F114" s="185"/>
      <c r="G114" s="185"/>
      <c r="H114" s="185"/>
      <c r="I114" s="185"/>
    </row>
    <row r="115" spans="1:9" ht="14.25" customHeight="1">
      <c r="A115" s="185" t="s">
        <v>20</v>
      </c>
      <c r="B115" s="185"/>
      <c r="C115" s="185"/>
      <c r="D115" s="185"/>
      <c r="E115" s="185"/>
      <c r="F115" s="185"/>
      <c r="G115" s="185"/>
      <c r="H115" s="185"/>
      <c r="I115" s="185"/>
    </row>
  </sheetData>
  <autoFilter ref="I12:I71"/>
  <mergeCells count="29">
    <mergeCell ref="A111:I111"/>
    <mergeCell ref="A112:I112"/>
    <mergeCell ref="A113:I113"/>
    <mergeCell ref="A114:I114"/>
    <mergeCell ref="A115:I115"/>
    <mergeCell ref="R77:U77"/>
    <mergeCell ref="C109:E109"/>
    <mergeCell ref="A85:I85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1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4"/>
  <sheetViews>
    <sheetView view="pageBreakPreview" topLeftCell="A80" zoomScale="60" workbookViewId="0">
      <selection activeCell="J94" sqref="J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86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162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191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72"/>
      <c r="C6" s="72"/>
      <c r="D6" s="72"/>
      <c r="E6" s="72"/>
      <c r="F6" s="72"/>
      <c r="G6" s="72"/>
      <c r="H6" s="72"/>
      <c r="I6" s="27">
        <v>43220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133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90">
        <v>169.2</v>
      </c>
      <c r="F16" s="91">
        <f>SUM(E16*156/100)</f>
        <v>263.952</v>
      </c>
      <c r="G16" s="91">
        <v>175.38</v>
      </c>
      <c r="H16" s="92">
        <f t="shared" ref="H16:H26" si="0">SUM(F16*G16/1000)</f>
        <v>46.291901760000002</v>
      </c>
      <c r="I16" s="12">
        <f>F16/12*G16</f>
        <v>3857.6584799999996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90">
        <v>676.6</v>
      </c>
      <c r="F17" s="91">
        <f>SUM(E17*104/100)</f>
        <v>703.6640000000001</v>
      </c>
      <c r="G17" s="91">
        <v>175.38</v>
      </c>
      <c r="H17" s="92">
        <f t="shared" si="0"/>
        <v>123.40859232000001</v>
      </c>
      <c r="I17" s="12">
        <f>F17/12*G17</f>
        <v>10284.049360000001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90">
        <f>SUM(E16+E17)</f>
        <v>845.8</v>
      </c>
      <c r="F18" s="91">
        <f>SUM(E18*24/100)</f>
        <v>202.99199999999996</v>
      </c>
      <c r="G18" s="91">
        <v>504.5</v>
      </c>
      <c r="H18" s="92">
        <f t="shared" si="0"/>
        <v>102.40946399999997</v>
      </c>
      <c r="I18" s="12">
        <f>F18/12*G18</f>
        <v>8534.1219999999976</v>
      </c>
      <c r="J18" s="63"/>
      <c r="K18" s="62"/>
      <c r="L18" s="62"/>
      <c r="M18" s="62"/>
    </row>
    <row r="19" spans="1:13" s="35" customFormat="1" ht="15.75" hidden="1" customHeight="1">
      <c r="A19" s="26"/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v>0</v>
      </c>
      <c r="J19" s="63"/>
      <c r="K19" s="62"/>
      <c r="L19" s="62"/>
      <c r="M19" s="62"/>
    </row>
    <row r="20" spans="1:13" s="35" customFormat="1" ht="15.75" hidden="1" customHeight="1">
      <c r="A20" s="26">
        <v>4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v>0</v>
      </c>
      <c r="J20" s="63"/>
      <c r="K20" s="62"/>
      <c r="L20" s="62"/>
      <c r="M20" s="62"/>
    </row>
    <row r="21" spans="1:13" s="35" customFormat="1" ht="15.75" hidden="1" customHeight="1">
      <c r="A21" s="26">
        <v>5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v>0</v>
      </c>
      <c r="J21" s="63"/>
      <c r="K21" s="62"/>
      <c r="L21" s="62"/>
      <c r="M21" s="62"/>
    </row>
    <row r="22" spans="1:13" s="35" customFormat="1" ht="15.75" hidden="1" customHeight="1">
      <c r="A22" s="26"/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v>0</v>
      </c>
      <c r="J22" s="63"/>
      <c r="K22" s="62"/>
      <c r="L22" s="62"/>
      <c r="M22" s="62"/>
    </row>
    <row r="23" spans="1:13" s="35" customFormat="1" ht="15.75" hidden="1" customHeight="1">
      <c r="A23" s="26"/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v>0</v>
      </c>
      <c r="J23" s="63"/>
      <c r="K23" s="62"/>
      <c r="L23" s="62"/>
      <c r="M23" s="62"/>
    </row>
    <row r="24" spans="1:13" s="35" customFormat="1" ht="15.75" hidden="1" customHeight="1">
      <c r="A24" s="26"/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v>0</v>
      </c>
      <c r="J24" s="63"/>
      <c r="K24" s="62"/>
      <c r="L24" s="62"/>
      <c r="M24" s="62"/>
    </row>
    <row r="25" spans="1:13" s="35" customFormat="1" ht="31.5" hidden="1" customHeight="1">
      <c r="A25" s="40">
        <v>6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v>0</v>
      </c>
      <c r="J25" s="63"/>
      <c r="K25" s="62"/>
      <c r="L25" s="62"/>
      <c r="M25" s="62"/>
    </row>
    <row r="26" spans="1:13" s="35" customFormat="1" ht="15.75" hidden="1" customHeight="1">
      <c r="A26" s="40">
        <v>7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v>0</v>
      </c>
      <c r="J26" s="63"/>
      <c r="K26" s="62"/>
      <c r="L26" s="62"/>
      <c r="M26" s="62"/>
    </row>
    <row r="27" spans="1:13" s="35" customFormat="1" ht="15.75" customHeight="1">
      <c r="A27" s="40">
        <v>4</v>
      </c>
      <c r="B27" s="88" t="s">
        <v>64</v>
      </c>
      <c r="C27" s="89" t="s">
        <v>33</v>
      </c>
      <c r="D27" s="88"/>
      <c r="E27" s="90">
        <v>0.1</v>
      </c>
      <c r="F27" s="91">
        <f>SUM(E27*365)</f>
        <v>36.5</v>
      </c>
      <c r="G27" s="91">
        <v>147.03</v>
      </c>
      <c r="H27" s="92">
        <f t="shared" ref="H27:H28" si="1">SUM(F27*G27/1000)</f>
        <v>5.3665950000000002</v>
      </c>
      <c r="I27" s="12">
        <f>F27/12*G27</f>
        <v>447.21625</v>
      </c>
      <c r="J27" s="63"/>
      <c r="K27" s="62"/>
      <c r="L27" s="62"/>
      <c r="M27" s="62"/>
    </row>
    <row r="28" spans="1:13" s="35" customFormat="1" ht="15.75" customHeight="1">
      <c r="A28" s="40">
        <v>5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1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hidden="1" customHeight="1">
      <c r="A31" s="40">
        <v>2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2">SUM(F31*G31/1000)</f>
        <v>7.2964626280000004</v>
      </c>
      <c r="I31" s="12">
        <v>0</v>
      </c>
      <c r="J31" s="63"/>
      <c r="K31" s="62"/>
      <c r="L31" s="62"/>
      <c r="M31" s="62"/>
    </row>
    <row r="32" spans="1:13" s="35" customFormat="1" ht="31.5" hidden="1" customHeight="1">
      <c r="A32" s="40">
        <v>3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2"/>
        <v>5.8381067159999995</v>
      </c>
      <c r="I32" s="12">
        <v>0</v>
      </c>
      <c r="J32" s="63"/>
      <c r="K32" s="62"/>
      <c r="L32" s="62"/>
      <c r="M32" s="62"/>
    </row>
    <row r="33" spans="1:14" s="35" customFormat="1" ht="15.75" hidden="1" customHeight="1">
      <c r="A33" s="40">
        <v>4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2"/>
        <v>2.7185990329999998</v>
      </c>
      <c r="I33" s="12">
        <v>0</v>
      </c>
      <c r="J33" s="63"/>
      <c r="K33" s="62"/>
      <c r="L33" s="62"/>
      <c r="M33" s="62"/>
    </row>
    <row r="34" spans="1:14" s="35" customFormat="1" ht="15.75" hidden="1" customHeight="1">
      <c r="A34" s="40"/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v>0</v>
      </c>
      <c r="J34" s="63"/>
      <c r="K34" s="62"/>
      <c r="L34" s="62"/>
      <c r="M34" s="62"/>
    </row>
    <row r="35" spans="1:14" s="35" customFormat="1" ht="15.75" hidden="1" customHeight="1">
      <c r="A35" s="40">
        <v>5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v>0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3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3"/>
        <v>2.27264</v>
      </c>
      <c r="I37" s="12">
        <v>0</v>
      </c>
      <c r="J37" s="64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4">SUM(F39*G39/1000)</f>
        <v>15.272200000000002</v>
      </c>
      <c r="I39" s="12">
        <f t="shared" ref="I39:I43" si="5">F39/6*G39</f>
        <v>2545.3666666666668</v>
      </c>
      <c r="J39" s="64"/>
    </row>
    <row r="40" spans="1:14" s="35" customFormat="1" ht="15.75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4"/>
        <v>15.997417679999998</v>
      </c>
      <c r="I40" s="12">
        <f t="shared" si="5"/>
        <v>2666.2362800000001</v>
      </c>
      <c r="J40" s="64"/>
    </row>
    <row r="41" spans="1:14" s="35" customFormat="1" ht="15.75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4"/>
        <v>18.255728220000002</v>
      </c>
      <c r="I41" s="12">
        <f t="shared" si="5"/>
        <v>3042.6213700000003</v>
      </c>
      <c r="J41" s="64"/>
    </row>
    <row r="42" spans="1:14" s="35" customFormat="1" ht="15.75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4"/>
        <v>15.73359275</v>
      </c>
      <c r="I42" s="12">
        <f t="shared" si="5"/>
        <v>2622.2654583333333</v>
      </c>
      <c r="J42" s="64"/>
    </row>
    <row r="43" spans="1:14" s="35" customFormat="1" ht="47.25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4"/>
        <v>15.04210176</v>
      </c>
      <c r="I43" s="12">
        <f t="shared" si="5"/>
        <v>2507.0169599999999</v>
      </c>
      <c r="J43" s="64"/>
    </row>
    <row r="44" spans="1:14" s="35" customFormat="1" ht="15.75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4"/>
        <v>2.5927775999999998</v>
      </c>
      <c r="I44" s="12">
        <f>F44/7.5*1.5*G44</f>
        <v>518.55552</v>
      </c>
      <c r="J44" s="64"/>
      <c r="L44" s="19"/>
      <c r="M44" s="20"/>
      <c r="N44" s="28"/>
    </row>
    <row r="45" spans="1:14" s="35" customFormat="1" ht="15.75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4"/>
        <v>0.71820000000000006</v>
      </c>
      <c r="I45" s="12">
        <f>F45/7.5*1.5*G45</f>
        <v>143.64000000000001</v>
      </c>
      <c r="J45" s="64"/>
      <c r="L45" s="19"/>
      <c r="M45" s="20"/>
      <c r="N45" s="28"/>
    </row>
    <row r="46" spans="1:14" s="35" customFormat="1" ht="26.25" hidden="1" customHeight="1">
      <c r="A46" s="118">
        <v>14</v>
      </c>
      <c r="B46" s="99" t="s">
        <v>40</v>
      </c>
      <c r="C46" s="100" t="s">
        <v>124</v>
      </c>
      <c r="D46" s="99" t="s">
        <v>71</v>
      </c>
      <c r="E46" s="101">
        <v>236</v>
      </c>
      <c r="F46" s="102">
        <f>SUM(E46)*3</f>
        <v>708</v>
      </c>
      <c r="G46" s="115">
        <v>65.67</v>
      </c>
      <c r="H46" s="103">
        <f t="shared" ref="H46" si="6">SUM(F46*G46/1000)</f>
        <v>46.49436</v>
      </c>
      <c r="I46" s="115">
        <f>E46*G46</f>
        <v>15498.12</v>
      </c>
      <c r="J46" s="64"/>
      <c r="L46" s="19"/>
      <c r="M46" s="20"/>
      <c r="N46" s="28"/>
    </row>
    <row r="47" spans="1:14" s="35" customFormat="1" ht="21" customHeight="1">
      <c r="A47" s="182" t="s">
        <v>149</v>
      </c>
      <c r="B47" s="183"/>
      <c r="C47" s="183"/>
      <c r="D47" s="183"/>
      <c r="E47" s="183"/>
      <c r="F47" s="183"/>
      <c r="G47" s="183"/>
      <c r="H47" s="183"/>
      <c r="I47" s="184"/>
      <c r="J47" s="64"/>
      <c r="L47" s="19"/>
      <c r="M47" s="20"/>
      <c r="N47" s="28"/>
    </row>
    <row r="48" spans="1:14" s="35" customFormat="1" ht="35.25" customHeight="1">
      <c r="A48" s="40">
        <v>13</v>
      </c>
      <c r="B48" s="30" t="s">
        <v>122</v>
      </c>
      <c r="C48" s="39" t="s">
        <v>115</v>
      </c>
      <c r="D48" s="30" t="s">
        <v>41</v>
      </c>
      <c r="E48" s="18"/>
      <c r="F48" s="119">
        <f>SUM(E48*2/1000)</f>
        <v>0</v>
      </c>
      <c r="G48" s="34">
        <v>1213.55</v>
      </c>
      <c r="H48" s="12"/>
      <c r="I48" s="12">
        <f>3.305/2*G48</f>
        <v>2005.3913749999999</v>
      </c>
      <c r="J48" s="64"/>
      <c r="L48" s="19"/>
      <c r="M48" s="20"/>
      <c r="N48" s="28"/>
    </row>
    <row r="49" spans="1:14" s="35" customFormat="1" ht="32.25" customHeight="1">
      <c r="A49" s="40">
        <v>14</v>
      </c>
      <c r="B49" s="30" t="s">
        <v>123</v>
      </c>
      <c r="C49" s="39" t="s">
        <v>37</v>
      </c>
      <c r="D49" s="30" t="s">
        <v>41</v>
      </c>
      <c r="E49" s="18"/>
      <c r="F49" s="119">
        <f>SUM(E49*2/100)</f>
        <v>0</v>
      </c>
      <c r="G49" s="34">
        <v>2730.49</v>
      </c>
      <c r="H49" s="12"/>
      <c r="I49" s="12">
        <f>0.8/2*G49</f>
        <v>1092.1959999999999</v>
      </c>
      <c r="J49" s="64"/>
      <c r="L49" s="19"/>
      <c r="M49" s="20"/>
      <c r="N49" s="28"/>
    </row>
    <row r="50" spans="1:14" s="35" customFormat="1" ht="16.5" customHeight="1">
      <c r="A50" s="40">
        <v>15</v>
      </c>
      <c r="B50" s="30" t="s">
        <v>38</v>
      </c>
      <c r="C50" s="39" t="s">
        <v>39</v>
      </c>
      <c r="D50" s="30" t="s">
        <v>41</v>
      </c>
      <c r="E50" s="18"/>
      <c r="F50" s="119">
        <v>0.02</v>
      </c>
      <c r="G50" s="34">
        <v>5652.13</v>
      </c>
      <c r="H50" s="12"/>
      <c r="I50" s="12">
        <f>F50/2*G50</f>
        <v>56.521300000000004</v>
      </c>
      <c r="J50" s="64"/>
      <c r="L50" s="19"/>
      <c r="M50" s="20"/>
      <c r="N50" s="28"/>
    </row>
    <row r="51" spans="1:14" s="35" customFormat="1" ht="15.75" customHeight="1">
      <c r="A51" s="182" t="s">
        <v>150</v>
      </c>
      <c r="B51" s="183"/>
      <c r="C51" s="183"/>
      <c r="D51" s="183"/>
      <c r="E51" s="183"/>
      <c r="F51" s="183"/>
      <c r="G51" s="183"/>
      <c r="H51" s="183"/>
      <c r="I51" s="184"/>
      <c r="J51" s="64"/>
      <c r="L51" s="19"/>
      <c r="M51" s="20"/>
      <c r="N51" s="28"/>
    </row>
    <row r="52" spans="1:14" s="35" customFormat="1" ht="15.75" customHeight="1">
      <c r="A52" s="52"/>
      <c r="B52" s="47" t="s">
        <v>42</v>
      </c>
      <c r="C52" s="16"/>
      <c r="D52" s="15"/>
      <c r="E52" s="15"/>
      <c r="F52" s="15"/>
      <c r="G52" s="26"/>
      <c r="H52" s="26"/>
      <c r="I52" s="18"/>
      <c r="J52" s="64"/>
      <c r="L52" s="19"/>
      <c r="M52" s="20"/>
      <c r="N52" s="28"/>
    </row>
    <row r="53" spans="1:14" s="35" customFormat="1" ht="31.5" customHeight="1">
      <c r="A53" s="40">
        <v>16</v>
      </c>
      <c r="B53" s="88" t="s">
        <v>139</v>
      </c>
      <c r="C53" s="89" t="s">
        <v>105</v>
      </c>
      <c r="D53" s="88" t="s">
        <v>213</v>
      </c>
      <c r="E53" s="90">
        <v>166.25</v>
      </c>
      <c r="F53" s="91">
        <f>E53*6/100</f>
        <v>9.9749999999999996</v>
      </c>
      <c r="G53" s="98">
        <v>1547.28</v>
      </c>
      <c r="H53" s="92">
        <f>F53*G53/1000</f>
        <v>15.434117999999998</v>
      </c>
      <c r="I53" s="12">
        <f>G53*2.476</f>
        <v>3831.0652799999998</v>
      </c>
      <c r="J53" s="64"/>
      <c r="L53" s="19"/>
      <c r="M53" s="20"/>
      <c r="N53" s="28"/>
    </row>
    <row r="54" spans="1:14" s="35" customFormat="1" ht="15.75" customHeight="1">
      <c r="A54" s="40">
        <v>17</v>
      </c>
      <c r="B54" s="99" t="s">
        <v>95</v>
      </c>
      <c r="C54" s="100" t="s">
        <v>105</v>
      </c>
      <c r="D54" s="99" t="s">
        <v>140</v>
      </c>
      <c r="E54" s="101">
        <v>56</v>
      </c>
      <c r="F54" s="102">
        <f>E54*6/100</f>
        <v>3.36</v>
      </c>
      <c r="G54" s="98">
        <v>1547.28</v>
      </c>
      <c r="H54" s="103">
        <f>F54*G54/1000</f>
        <v>5.1988607999999994</v>
      </c>
      <c r="I54" s="12">
        <f>F54/6*G54</f>
        <v>866.47679999999991</v>
      </c>
      <c r="J54" s="64"/>
      <c r="L54" s="19"/>
      <c r="M54" s="20"/>
      <c r="N54" s="28"/>
    </row>
    <row r="55" spans="1:14" s="35" customFormat="1" ht="15.75" hidden="1" customHeight="1">
      <c r="A55" s="40"/>
      <c r="B55" s="99" t="s">
        <v>99</v>
      </c>
      <c r="C55" s="100" t="s">
        <v>100</v>
      </c>
      <c r="D55" s="99" t="s">
        <v>41</v>
      </c>
      <c r="E55" s="101">
        <v>8</v>
      </c>
      <c r="F55" s="102">
        <v>16</v>
      </c>
      <c r="G55" s="104">
        <v>180.78</v>
      </c>
      <c r="H55" s="103">
        <f>F55*G55/1000</f>
        <v>2.8924799999999999</v>
      </c>
      <c r="I55" s="12">
        <v>0</v>
      </c>
      <c r="J55" s="64"/>
      <c r="L55" s="19"/>
      <c r="M55" s="20"/>
      <c r="N55" s="28"/>
    </row>
    <row r="56" spans="1:14" s="35" customFormat="1" ht="15.75" customHeight="1">
      <c r="A56" s="40"/>
      <c r="B56" s="73" t="s">
        <v>43</v>
      </c>
      <c r="C56" s="73"/>
      <c r="D56" s="73"/>
      <c r="E56" s="73"/>
      <c r="F56" s="73"/>
      <c r="G56" s="73"/>
      <c r="H56" s="73"/>
      <c r="I56" s="33"/>
      <c r="J56" s="64"/>
      <c r="L56" s="19"/>
      <c r="M56" s="20"/>
      <c r="N56" s="28"/>
    </row>
    <row r="57" spans="1:14" s="35" customFormat="1" ht="15.75" customHeight="1">
      <c r="A57" s="40">
        <v>18</v>
      </c>
      <c r="B57" s="99" t="s">
        <v>96</v>
      </c>
      <c r="C57" s="100" t="s">
        <v>25</v>
      </c>
      <c r="D57" s="99" t="s">
        <v>147</v>
      </c>
      <c r="E57" s="101">
        <v>330.5</v>
      </c>
      <c r="F57" s="102">
        <f>E57*12</f>
        <v>3966</v>
      </c>
      <c r="G57" s="105">
        <v>1.2</v>
      </c>
      <c r="H57" s="103">
        <f>G57*F57/1000</f>
        <v>4.7591999999999999</v>
      </c>
      <c r="I57" s="12">
        <f>2400/12*G57</f>
        <v>240</v>
      </c>
      <c r="J57" s="64"/>
      <c r="L57" s="19"/>
      <c r="M57" s="20"/>
      <c r="N57" s="28"/>
    </row>
    <row r="58" spans="1:14" s="35" customFormat="1" ht="15.75" hidden="1" customHeight="1">
      <c r="A58" s="40"/>
      <c r="B58" s="99" t="s">
        <v>44</v>
      </c>
      <c r="C58" s="100" t="s">
        <v>25</v>
      </c>
      <c r="D58" s="99" t="s">
        <v>53</v>
      </c>
      <c r="E58" s="101">
        <v>1652.5</v>
      </c>
      <c r="F58" s="102">
        <f>E58/100</f>
        <v>16.524999999999999</v>
      </c>
      <c r="G58" s="106">
        <v>793.61</v>
      </c>
      <c r="H58" s="103">
        <f>G58*F58/1000</f>
        <v>13.114405249999999</v>
      </c>
      <c r="I58" s="12">
        <v>0</v>
      </c>
      <c r="J58" s="64"/>
      <c r="L58" s="19"/>
      <c r="M58" s="20"/>
      <c r="N58" s="28"/>
    </row>
    <row r="59" spans="1:14" s="35" customFormat="1" ht="15.75" hidden="1" customHeight="1">
      <c r="A59" s="26">
        <v>29</v>
      </c>
      <c r="B59" s="14" t="s">
        <v>47</v>
      </c>
      <c r="C59" s="16" t="s">
        <v>124</v>
      </c>
      <c r="D59" s="14" t="s">
        <v>67</v>
      </c>
      <c r="E59" s="18">
        <v>8</v>
      </c>
      <c r="F59" s="91">
        <v>8</v>
      </c>
      <c r="G59" s="12">
        <v>76.25</v>
      </c>
      <c r="H59" s="81">
        <f t="shared" ref="H59:H65" si="7">SUM(F59*G59/1000)</f>
        <v>0.61</v>
      </c>
      <c r="I59" s="12">
        <v>0</v>
      </c>
      <c r="J59" s="64"/>
      <c r="L59" s="19"/>
      <c r="M59" s="20"/>
      <c r="N59" s="28"/>
    </row>
    <row r="60" spans="1:14" s="35" customFormat="1" ht="15.75" hidden="1" customHeight="1">
      <c r="A60" s="26">
        <v>8</v>
      </c>
      <c r="B60" s="14" t="s">
        <v>48</v>
      </c>
      <c r="C60" s="16" t="s">
        <v>125</v>
      </c>
      <c r="D60" s="14" t="s">
        <v>53</v>
      </c>
      <c r="E60" s="90">
        <v>23267</v>
      </c>
      <c r="F60" s="12">
        <f>SUM(E60/100)</f>
        <v>232.67</v>
      </c>
      <c r="G60" s="12">
        <v>212.15</v>
      </c>
      <c r="H60" s="81">
        <f t="shared" si="7"/>
        <v>49.360940499999998</v>
      </c>
      <c r="I60" s="12">
        <v>0</v>
      </c>
      <c r="J60" s="64"/>
      <c r="L60" s="19"/>
      <c r="M60" s="20"/>
      <c r="N60" s="28"/>
    </row>
    <row r="61" spans="1:14" s="35" customFormat="1" ht="15.75" hidden="1" customHeight="1">
      <c r="A61" s="26">
        <v>9</v>
      </c>
      <c r="B61" s="14" t="s">
        <v>49</v>
      </c>
      <c r="C61" s="16" t="s">
        <v>126</v>
      </c>
      <c r="D61" s="14"/>
      <c r="E61" s="90">
        <v>23267</v>
      </c>
      <c r="F61" s="12">
        <f>SUM(E61/1000)</f>
        <v>23.266999999999999</v>
      </c>
      <c r="G61" s="12">
        <v>165.21</v>
      </c>
      <c r="H61" s="81">
        <f t="shared" si="7"/>
        <v>3.8439410700000005</v>
      </c>
      <c r="I61" s="12">
        <v>0</v>
      </c>
      <c r="J61" s="64"/>
      <c r="L61" s="19"/>
      <c r="M61" s="20"/>
      <c r="N61" s="28"/>
    </row>
    <row r="62" spans="1:14" s="35" customFormat="1" ht="15.75" hidden="1" customHeight="1">
      <c r="A62" s="26">
        <v>10</v>
      </c>
      <c r="B62" s="14" t="s">
        <v>50</v>
      </c>
      <c r="C62" s="16" t="s">
        <v>76</v>
      </c>
      <c r="D62" s="14" t="s">
        <v>53</v>
      </c>
      <c r="E62" s="90">
        <v>3145</v>
      </c>
      <c r="F62" s="12">
        <f>SUM(E62/100)</f>
        <v>31.45</v>
      </c>
      <c r="G62" s="12">
        <v>2074.63</v>
      </c>
      <c r="H62" s="81">
        <f t="shared" si="7"/>
        <v>65.247113499999998</v>
      </c>
      <c r="I62" s="12">
        <v>0</v>
      </c>
      <c r="J62" s="64"/>
      <c r="L62" s="19"/>
    </row>
    <row r="63" spans="1:14" s="35" customFormat="1" ht="15.75" hidden="1" customHeight="1">
      <c r="A63" s="26">
        <v>11</v>
      </c>
      <c r="B63" s="108" t="s">
        <v>127</v>
      </c>
      <c r="C63" s="16" t="s">
        <v>33</v>
      </c>
      <c r="D63" s="14"/>
      <c r="E63" s="90">
        <v>20.66</v>
      </c>
      <c r="F63" s="12">
        <f>SUM(E63)</f>
        <v>20.66</v>
      </c>
      <c r="G63" s="12">
        <v>42.67</v>
      </c>
      <c r="H63" s="81">
        <f t="shared" si="7"/>
        <v>0.88156220000000007</v>
      </c>
      <c r="I63" s="12">
        <v>0</v>
      </c>
    </row>
    <row r="64" spans="1:14" s="35" customFormat="1" ht="15.75" hidden="1" customHeight="1">
      <c r="A64" s="26">
        <v>12</v>
      </c>
      <c r="B64" s="108" t="s">
        <v>148</v>
      </c>
      <c r="C64" s="16" t="s">
        <v>33</v>
      </c>
      <c r="D64" s="14"/>
      <c r="E64" s="90">
        <v>20.66</v>
      </c>
      <c r="F64" s="12">
        <f>SUM(E64)</f>
        <v>20.66</v>
      </c>
      <c r="G64" s="12">
        <v>39.81</v>
      </c>
      <c r="H64" s="81">
        <f t="shared" si="7"/>
        <v>0.82247460000000006</v>
      </c>
      <c r="I64" s="12">
        <v>0</v>
      </c>
    </row>
    <row r="65" spans="1:22" s="35" customFormat="1" ht="15.75" hidden="1" customHeight="1">
      <c r="A65" s="26">
        <v>13</v>
      </c>
      <c r="B65" s="14" t="s">
        <v>57</v>
      </c>
      <c r="C65" s="16" t="s">
        <v>58</v>
      </c>
      <c r="D65" s="14" t="s">
        <v>53</v>
      </c>
      <c r="E65" s="18">
        <v>5</v>
      </c>
      <c r="F65" s="91">
        <f>SUM(E65)</f>
        <v>5</v>
      </c>
      <c r="G65" s="12">
        <v>49.88</v>
      </c>
      <c r="H65" s="81">
        <f t="shared" si="7"/>
        <v>0.24940000000000001</v>
      </c>
      <c r="I65" s="12">
        <v>0</v>
      </c>
    </row>
    <row r="66" spans="1:22" s="35" customFormat="1" ht="18" hidden="1" customHeight="1">
      <c r="A66" s="52"/>
      <c r="B66" s="73" t="s">
        <v>128</v>
      </c>
      <c r="C66" s="73"/>
      <c r="D66" s="73"/>
      <c r="E66" s="73"/>
      <c r="F66" s="73"/>
      <c r="G66" s="73"/>
      <c r="H66" s="73"/>
      <c r="I66" s="18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65"/>
    </row>
    <row r="67" spans="1:22" s="35" customFormat="1" ht="26.25" hidden="1" customHeight="1">
      <c r="A67" s="26">
        <v>18</v>
      </c>
      <c r="B67" s="88" t="s">
        <v>129</v>
      </c>
      <c r="C67" s="16"/>
      <c r="D67" s="14"/>
      <c r="E67" s="77"/>
      <c r="F67" s="12">
        <v>1</v>
      </c>
      <c r="G67" s="12">
        <v>27750</v>
      </c>
      <c r="H67" s="81">
        <f>G67*F67/1000</f>
        <v>27.75</v>
      </c>
      <c r="I67" s="12">
        <f>G67</f>
        <v>27750</v>
      </c>
      <c r="J67" s="66"/>
      <c r="K67" s="66"/>
      <c r="L67" s="55"/>
      <c r="M67" s="55"/>
      <c r="N67" s="55"/>
      <c r="O67" s="55"/>
      <c r="P67" s="55"/>
      <c r="Q67" s="55"/>
      <c r="R67" s="55"/>
      <c r="S67" s="55"/>
      <c r="T67" s="55"/>
      <c r="U67" s="55"/>
    </row>
    <row r="68" spans="1:22" s="35" customFormat="1" ht="27" hidden="1" customHeight="1">
      <c r="A68" s="26"/>
      <c r="B68" s="48" t="s">
        <v>72</v>
      </c>
      <c r="C68" s="48"/>
      <c r="D68" s="48"/>
      <c r="E68" s="18"/>
      <c r="F68" s="18"/>
      <c r="G68" s="26"/>
      <c r="H68" s="26"/>
      <c r="I68" s="18"/>
      <c r="J68" s="55"/>
      <c r="K68" s="55"/>
      <c r="L68" s="55"/>
      <c r="M68" s="55"/>
      <c r="N68" s="55"/>
      <c r="O68" s="55"/>
      <c r="P68" s="55"/>
      <c r="Q68" s="55"/>
      <c r="S68" s="55"/>
      <c r="T68" s="55"/>
      <c r="U68" s="55"/>
    </row>
    <row r="69" spans="1:22" s="35" customFormat="1" ht="30" hidden="1" customHeight="1">
      <c r="A69" s="26">
        <v>19</v>
      </c>
      <c r="B69" s="14" t="s">
        <v>73</v>
      </c>
      <c r="C69" s="16" t="s">
        <v>31</v>
      </c>
      <c r="D69" s="14"/>
      <c r="E69" s="18">
        <v>10</v>
      </c>
      <c r="F69" s="76">
        <v>1</v>
      </c>
      <c r="G69" s="12">
        <v>501.62</v>
      </c>
      <c r="H69" s="81">
        <f>F69*G69/1000</f>
        <v>0.50161999999999995</v>
      </c>
      <c r="I69" s="12">
        <f>G69*0.2</f>
        <v>100.32400000000001</v>
      </c>
      <c r="J69" s="55"/>
      <c r="K69" s="55"/>
      <c r="L69" s="55"/>
      <c r="M69" s="55"/>
      <c r="N69" s="55"/>
      <c r="O69" s="55"/>
      <c r="P69" s="55"/>
      <c r="Q69" s="55"/>
      <c r="S69" s="55"/>
      <c r="T69" s="55"/>
      <c r="U69" s="55"/>
    </row>
    <row r="70" spans="1:22" s="35" customFormat="1" ht="30" hidden="1" customHeight="1">
      <c r="A70" s="26">
        <v>20</v>
      </c>
      <c r="B70" s="14" t="s">
        <v>88</v>
      </c>
      <c r="C70" s="16" t="s">
        <v>30</v>
      </c>
      <c r="D70" s="14"/>
      <c r="E70" s="18">
        <v>1</v>
      </c>
      <c r="F70" s="91">
        <v>1</v>
      </c>
      <c r="G70" s="12">
        <v>358.51</v>
      </c>
      <c r="H70" s="81">
        <f>F70*G70/1000</f>
        <v>0.35851</v>
      </c>
      <c r="I70" s="12">
        <f>G70</f>
        <v>358.51</v>
      </c>
      <c r="J70" s="56"/>
      <c r="K70" s="56"/>
      <c r="L70" s="56"/>
      <c r="M70" s="56"/>
      <c r="N70" s="56"/>
      <c r="O70" s="56"/>
      <c r="P70" s="56"/>
      <c r="Q70" s="56"/>
      <c r="R70" s="172"/>
      <c r="S70" s="172"/>
      <c r="T70" s="172"/>
      <c r="U70" s="172"/>
    </row>
    <row r="71" spans="1:22" s="35" customFormat="1" ht="19.5" hidden="1" customHeight="1">
      <c r="A71" s="26">
        <v>20</v>
      </c>
      <c r="B71" s="14" t="s">
        <v>74</v>
      </c>
      <c r="C71" s="16" t="s">
        <v>30</v>
      </c>
      <c r="D71" s="14"/>
      <c r="E71" s="18">
        <v>1</v>
      </c>
      <c r="F71" s="12">
        <v>1</v>
      </c>
      <c r="G71" s="12">
        <v>852.99</v>
      </c>
      <c r="H71" s="81">
        <f>F71*G71/1000</f>
        <v>0.85299000000000003</v>
      </c>
      <c r="I71" s="12">
        <v>0</v>
      </c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</row>
    <row r="72" spans="1:22" s="35" customFormat="1" ht="20.25" hidden="1" customHeight="1">
      <c r="A72" s="26"/>
      <c r="B72" s="49" t="s">
        <v>75</v>
      </c>
      <c r="C72" s="37"/>
      <c r="D72" s="26"/>
      <c r="E72" s="18"/>
      <c r="F72" s="18"/>
      <c r="G72" s="34" t="s">
        <v>141</v>
      </c>
      <c r="H72" s="34"/>
      <c r="I72" s="18"/>
    </row>
    <row r="73" spans="1:22" s="35" customFormat="1" ht="22.5" hidden="1" customHeight="1">
      <c r="A73" s="26">
        <v>39</v>
      </c>
      <c r="B73" s="51" t="s">
        <v>130</v>
      </c>
      <c r="C73" s="16" t="s">
        <v>76</v>
      </c>
      <c r="D73" s="14"/>
      <c r="E73" s="18"/>
      <c r="F73" s="12">
        <v>1.35</v>
      </c>
      <c r="G73" s="12">
        <v>2759.44</v>
      </c>
      <c r="H73" s="81">
        <f t="shared" ref="H73" si="8">SUM(F73*G73/1000)</f>
        <v>3.725244</v>
      </c>
      <c r="I73" s="12">
        <v>0</v>
      </c>
    </row>
    <row r="74" spans="1:22" s="35" customFormat="1" ht="15.75" customHeight="1">
      <c r="A74" s="186" t="s">
        <v>151</v>
      </c>
      <c r="B74" s="187"/>
      <c r="C74" s="187"/>
      <c r="D74" s="187"/>
      <c r="E74" s="187"/>
      <c r="F74" s="187"/>
      <c r="G74" s="187"/>
      <c r="H74" s="187"/>
      <c r="I74" s="188"/>
    </row>
    <row r="75" spans="1:22" s="35" customFormat="1" ht="15.75" customHeight="1">
      <c r="A75" s="26">
        <v>19</v>
      </c>
      <c r="B75" s="88" t="s">
        <v>131</v>
      </c>
      <c r="C75" s="16" t="s">
        <v>54</v>
      </c>
      <c r="D75" s="109" t="s">
        <v>55</v>
      </c>
      <c r="E75" s="12">
        <v>5916.3</v>
      </c>
      <c r="F75" s="12">
        <f>SUM(E75*12)</f>
        <v>70995.600000000006</v>
      </c>
      <c r="G75" s="12">
        <v>2.1</v>
      </c>
      <c r="H75" s="81">
        <f>SUM(F75*G75/1000)</f>
        <v>149.09076000000002</v>
      </c>
      <c r="I75" s="12">
        <f>F75/12*G75</f>
        <v>12424.230000000001</v>
      </c>
    </row>
    <row r="76" spans="1:22" s="35" customFormat="1" ht="31.5" customHeight="1">
      <c r="A76" s="26">
        <v>20</v>
      </c>
      <c r="B76" s="14" t="s">
        <v>77</v>
      </c>
      <c r="C76" s="16"/>
      <c r="D76" s="109" t="s">
        <v>55</v>
      </c>
      <c r="E76" s="90">
        <v>5916.3</v>
      </c>
      <c r="F76" s="12">
        <f>E76*12</f>
        <v>70995.600000000006</v>
      </c>
      <c r="G76" s="12">
        <v>1.63</v>
      </c>
      <c r="H76" s="81">
        <f>F76*G76/1000</f>
        <v>115.72282800000001</v>
      </c>
      <c r="I76" s="12">
        <f>F76/12*G76</f>
        <v>9643.5689999999995</v>
      </c>
    </row>
    <row r="77" spans="1:22" s="35" customFormat="1" ht="15.75" customHeight="1">
      <c r="A77" s="52"/>
      <c r="B77" s="38" t="s">
        <v>80</v>
      </c>
      <c r="C77" s="40"/>
      <c r="D77" s="15"/>
      <c r="E77" s="15"/>
      <c r="F77" s="15"/>
      <c r="G77" s="18"/>
      <c r="H77" s="18"/>
      <c r="I77" s="29">
        <f>I76+I75+I57+I54+I53+I50+I49+I48+I45+I44+I43+I42+I41+I40+I39+I28+I27+I18+I17+I16</f>
        <v>87029.477100000004</v>
      </c>
    </row>
    <row r="78" spans="1:22" s="35" customFormat="1" ht="15.75" customHeight="1">
      <c r="A78" s="189" t="s">
        <v>60</v>
      </c>
      <c r="B78" s="190"/>
      <c r="C78" s="190"/>
      <c r="D78" s="190"/>
      <c r="E78" s="190"/>
      <c r="F78" s="190"/>
      <c r="G78" s="190"/>
      <c r="H78" s="190"/>
      <c r="I78" s="191"/>
    </row>
    <row r="79" spans="1:22" s="35" customFormat="1" ht="31.5" customHeight="1">
      <c r="A79" s="26">
        <v>21</v>
      </c>
      <c r="B79" s="57" t="s">
        <v>89</v>
      </c>
      <c r="C79" s="59" t="s">
        <v>92</v>
      </c>
      <c r="D79" s="14"/>
      <c r="E79" s="18"/>
      <c r="F79" s="12">
        <f>(3+3+3+15+10+10+10+15+10+3+10+10+15+5)/3</f>
        <v>40.666666666666664</v>
      </c>
      <c r="G79" s="12">
        <v>613.44000000000005</v>
      </c>
      <c r="H79" s="12">
        <f t="shared" ref="H79:H80" si="9">G79*F79/1000</f>
        <v>24.946560000000002</v>
      </c>
      <c r="I79" s="12">
        <f>G79*1</f>
        <v>613.44000000000005</v>
      </c>
    </row>
    <row r="80" spans="1:22" s="35" customFormat="1" ht="14.25" customHeight="1">
      <c r="A80" s="26">
        <v>22</v>
      </c>
      <c r="B80" s="60" t="s">
        <v>174</v>
      </c>
      <c r="C80" s="61" t="s">
        <v>175</v>
      </c>
      <c r="D80" s="14"/>
      <c r="E80" s="18"/>
      <c r="F80" s="12">
        <v>1</v>
      </c>
      <c r="G80" s="34">
        <v>134.12</v>
      </c>
      <c r="H80" s="12">
        <f t="shared" si="9"/>
        <v>0.13412000000000002</v>
      </c>
      <c r="I80" s="12">
        <f>G80*75</f>
        <v>10059</v>
      </c>
    </row>
    <row r="81" spans="1:9" s="35" customFormat="1" ht="34.5" customHeight="1">
      <c r="A81" s="31">
        <v>23</v>
      </c>
      <c r="B81" s="57" t="s">
        <v>164</v>
      </c>
      <c r="C81" s="59" t="s">
        <v>37</v>
      </c>
      <c r="D81" s="58"/>
      <c r="E81" s="34"/>
      <c r="F81" s="34">
        <v>2</v>
      </c>
      <c r="G81" s="34">
        <v>3724.37</v>
      </c>
      <c r="H81" s="34">
        <f>G81*F81/1000</f>
        <v>7.4487399999999999</v>
      </c>
      <c r="I81" s="12">
        <f>G81*0.01</f>
        <v>37.243699999999997</v>
      </c>
    </row>
    <row r="82" spans="1:9" s="35" customFormat="1" ht="34.5" customHeight="1">
      <c r="A82" s="31">
        <v>24</v>
      </c>
      <c r="B82" s="57" t="s">
        <v>192</v>
      </c>
      <c r="C82" s="59" t="s">
        <v>175</v>
      </c>
      <c r="D82" s="58"/>
      <c r="E82" s="34"/>
      <c r="F82" s="34"/>
      <c r="G82" s="34">
        <v>1206</v>
      </c>
      <c r="H82" s="34"/>
      <c r="I82" s="12">
        <f>G82*4</f>
        <v>4824</v>
      </c>
    </row>
    <row r="83" spans="1:9" s="35" customFormat="1" ht="15.75" customHeight="1">
      <c r="A83" s="31">
        <v>25</v>
      </c>
      <c r="B83" s="57" t="s">
        <v>193</v>
      </c>
      <c r="C83" s="59" t="s">
        <v>124</v>
      </c>
      <c r="D83" s="58"/>
      <c r="E83" s="34"/>
      <c r="F83" s="34"/>
      <c r="G83" s="34">
        <v>169.24</v>
      </c>
      <c r="H83" s="34"/>
      <c r="I83" s="12">
        <f>G83*2</f>
        <v>338.48</v>
      </c>
    </row>
    <row r="84" spans="1:9" s="35" customFormat="1" ht="15" customHeight="1">
      <c r="A84" s="31">
        <v>26</v>
      </c>
      <c r="B84" s="57" t="s">
        <v>194</v>
      </c>
      <c r="C84" s="59" t="s">
        <v>124</v>
      </c>
      <c r="D84" s="58"/>
      <c r="E84" s="34"/>
      <c r="F84" s="34"/>
      <c r="G84" s="34">
        <v>12.8</v>
      </c>
      <c r="H84" s="34"/>
      <c r="I84" s="12">
        <f>G84*1</f>
        <v>12.8</v>
      </c>
    </row>
    <row r="85" spans="1:9" s="35" customFormat="1" ht="15.75" customHeight="1">
      <c r="A85" s="31">
        <v>27</v>
      </c>
      <c r="B85" s="57" t="s">
        <v>195</v>
      </c>
      <c r="C85" s="59" t="s">
        <v>124</v>
      </c>
      <c r="D85" s="58"/>
      <c r="E85" s="34"/>
      <c r="F85" s="34"/>
      <c r="G85" s="34">
        <v>55.46</v>
      </c>
      <c r="H85" s="34"/>
      <c r="I85" s="12">
        <f>G85*2</f>
        <v>110.92</v>
      </c>
    </row>
    <row r="86" spans="1:9" s="35" customFormat="1" ht="15.75" customHeight="1">
      <c r="A86" s="31">
        <v>28</v>
      </c>
      <c r="B86" s="57" t="s">
        <v>160</v>
      </c>
      <c r="C86" s="59" t="s">
        <v>175</v>
      </c>
      <c r="D86" s="58"/>
      <c r="E86" s="34"/>
      <c r="F86" s="34"/>
      <c r="G86" s="34">
        <v>1146</v>
      </c>
      <c r="H86" s="34"/>
      <c r="I86" s="12">
        <f>G86*2</f>
        <v>2292</v>
      </c>
    </row>
    <row r="87" spans="1:9" s="35" customFormat="1" ht="15.75" customHeight="1">
      <c r="A87" s="31">
        <v>29</v>
      </c>
      <c r="B87" s="57" t="s">
        <v>196</v>
      </c>
      <c r="C87" s="59" t="s">
        <v>124</v>
      </c>
      <c r="D87" s="58"/>
      <c r="E87" s="34"/>
      <c r="F87" s="34"/>
      <c r="G87" s="34">
        <v>4.46</v>
      </c>
      <c r="H87" s="34"/>
      <c r="I87" s="12">
        <f>G87*1</f>
        <v>4.46</v>
      </c>
    </row>
    <row r="88" spans="1:9" s="35" customFormat="1" ht="15.75" customHeight="1">
      <c r="A88" s="31">
        <v>30</v>
      </c>
      <c r="B88" s="57" t="s">
        <v>197</v>
      </c>
      <c r="C88" s="59" t="s">
        <v>124</v>
      </c>
      <c r="D88" s="58"/>
      <c r="E88" s="34"/>
      <c r="F88" s="34"/>
      <c r="G88" s="34">
        <v>1503.2</v>
      </c>
      <c r="H88" s="34"/>
      <c r="I88" s="12">
        <f>G88*1</f>
        <v>1503.2</v>
      </c>
    </row>
    <row r="89" spans="1:9" s="35" customFormat="1" ht="15.75" customHeight="1">
      <c r="A89" s="31">
        <v>31</v>
      </c>
      <c r="B89" s="57" t="s">
        <v>79</v>
      </c>
      <c r="C89" s="59" t="s">
        <v>124</v>
      </c>
      <c r="D89" s="58"/>
      <c r="E89" s="34"/>
      <c r="F89" s="34"/>
      <c r="G89" s="34">
        <v>86.69</v>
      </c>
      <c r="H89" s="34"/>
      <c r="I89" s="12">
        <f>G89*1</f>
        <v>86.69</v>
      </c>
    </row>
    <row r="90" spans="1:9" s="35" customFormat="1" ht="15.75" customHeight="1">
      <c r="A90" s="31">
        <v>32</v>
      </c>
      <c r="B90" s="57" t="s">
        <v>82</v>
      </c>
      <c r="C90" s="59" t="s">
        <v>30</v>
      </c>
      <c r="D90" s="58"/>
      <c r="E90" s="34"/>
      <c r="F90" s="34"/>
      <c r="G90" s="34">
        <v>197.48</v>
      </c>
      <c r="H90" s="34"/>
      <c r="I90" s="12">
        <f>G90*1</f>
        <v>197.48</v>
      </c>
    </row>
    <row r="91" spans="1:9" s="35" customFormat="1" ht="15.75" customHeight="1">
      <c r="A91" s="26"/>
      <c r="B91" s="45" t="s">
        <v>51</v>
      </c>
      <c r="C91" s="41"/>
      <c r="D91" s="53"/>
      <c r="E91" s="41">
        <v>1</v>
      </c>
      <c r="F91" s="41"/>
      <c r="G91" s="41"/>
      <c r="H91" s="41"/>
      <c r="I91" s="29">
        <f>SUM(I79:I90)</f>
        <v>20079.713699999997</v>
      </c>
    </row>
    <row r="92" spans="1:9" s="35" customFormat="1" ht="15.75" customHeight="1">
      <c r="A92" s="26"/>
      <c r="B92" s="51" t="s">
        <v>78</v>
      </c>
      <c r="C92" s="15"/>
      <c r="D92" s="15"/>
      <c r="E92" s="42"/>
      <c r="F92" s="42"/>
      <c r="G92" s="43"/>
      <c r="H92" s="43"/>
      <c r="I92" s="17">
        <v>0</v>
      </c>
    </row>
    <row r="93" spans="1:9" s="35" customFormat="1" ht="15.75" customHeight="1">
      <c r="A93" s="54"/>
      <c r="B93" s="46" t="s">
        <v>152</v>
      </c>
      <c r="C93" s="32"/>
      <c r="D93" s="32"/>
      <c r="E93" s="32"/>
      <c r="F93" s="32"/>
      <c r="G93" s="32"/>
      <c r="H93" s="32"/>
      <c r="I93" s="44">
        <f>I77+I91</f>
        <v>107109.1908</v>
      </c>
    </row>
    <row r="94" spans="1:9" ht="15.75" customHeight="1">
      <c r="A94" s="173" t="s">
        <v>282</v>
      </c>
      <c r="B94" s="173"/>
      <c r="C94" s="173"/>
      <c r="D94" s="173"/>
      <c r="E94" s="173"/>
      <c r="F94" s="173"/>
      <c r="G94" s="173"/>
      <c r="H94" s="173"/>
      <c r="I94" s="173"/>
    </row>
    <row r="95" spans="1:9" ht="15.75" customHeight="1">
      <c r="A95" s="75"/>
      <c r="B95" s="197" t="s">
        <v>283</v>
      </c>
      <c r="C95" s="197"/>
      <c r="D95" s="197"/>
      <c r="E95" s="197"/>
      <c r="F95" s="197"/>
      <c r="G95" s="197"/>
      <c r="H95" s="80"/>
      <c r="I95" s="3"/>
    </row>
    <row r="96" spans="1:9" ht="15.75" customHeight="1">
      <c r="A96" s="69"/>
      <c r="B96" s="193" t="s">
        <v>6</v>
      </c>
      <c r="C96" s="193"/>
      <c r="D96" s="193"/>
      <c r="E96" s="193"/>
      <c r="F96" s="193"/>
      <c r="G96" s="193"/>
      <c r="H96" s="21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198" t="s">
        <v>7</v>
      </c>
      <c r="B98" s="198"/>
      <c r="C98" s="198"/>
      <c r="D98" s="198"/>
      <c r="E98" s="198"/>
      <c r="F98" s="198"/>
      <c r="G98" s="198"/>
      <c r="H98" s="198"/>
      <c r="I98" s="198"/>
    </row>
    <row r="99" spans="1:9" ht="15.75" customHeight="1">
      <c r="A99" s="198" t="s">
        <v>8</v>
      </c>
      <c r="B99" s="198"/>
      <c r="C99" s="198"/>
      <c r="D99" s="198"/>
      <c r="E99" s="198"/>
      <c r="F99" s="198"/>
      <c r="G99" s="198"/>
      <c r="H99" s="198"/>
      <c r="I99" s="198"/>
    </row>
    <row r="100" spans="1:9" ht="15.75" customHeight="1">
      <c r="A100" s="199" t="s">
        <v>61</v>
      </c>
      <c r="B100" s="199"/>
      <c r="C100" s="199"/>
      <c r="D100" s="199"/>
      <c r="E100" s="199"/>
      <c r="F100" s="199"/>
      <c r="G100" s="199"/>
      <c r="H100" s="199"/>
      <c r="I100" s="199"/>
    </row>
    <row r="101" spans="1:9" ht="15.75" customHeight="1">
      <c r="A101" s="10"/>
    </row>
    <row r="102" spans="1:9" ht="15.75" customHeight="1">
      <c r="A102" s="180" t="s">
        <v>9</v>
      </c>
      <c r="B102" s="180"/>
      <c r="C102" s="180"/>
      <c r="D102" s="180"/>
      <c r="E102" s="180"/>
      <c r="F102" s="180"/>
      <c r="G102" s="180"/>
      <c r="H102" s="180"/>
      <c r="I102" s="180"/>
    </row>
    <row r="103" spans="1:9" ht="15.75" customHeight="1">
      <c r="A103" s="4"/>
    </row>
    <row r="104" spans="1:9" ht="15.75" customHeight="1">
      <c r="B104" s="74" t="s">
        <v>10</v>
      </c>
      <c r="C104" s="192" t="s">
        <v>90</v>
      </c>
      <c r="D104" s="192"/>
      <c r="E104" s="192"/>
      <c r="F104" s="78"/>
      <c r="I104" s="71"/>
    </row>
    <row r="105" spans="1:9" ht="15.75" customHeight="1">
      <c r="A105" s="69"/>
      <c r="C105" s="193" t="s">
        <v>11</v>
      </c>
      <c r="D105" s="193"/>
      <c r="E105" s="193"/>
      <c r="F105" s="21"/>
      <c r="I105" s="70" t="s">
        <v>12</v>
      </c>
    </row>
    <row r="106" spans="1:9" ht="15.75" customHeight="1">
      <c r="A106" s="22"/>
      <c r="C106" s="11"/>
      <c r="D106" s="11"/>
      <c r="G106" s="11"/>
      <c r="H106" s="11"/>
    </row>
    <row r="107" spans="1:9" ht="15.75" customHeight="1">
      <c r="B107" s="74" t="s">
        <v>13</v>
      </c>
      <c r="C107" s="194"/>
      <c r="D107" s="194"/>
      <c r="E107" s="194"/>
      <c r="F107" s="79"/>
      <c r="I107" s="71"/>
    </row>
    <row r="108" spans="1:9" ht="15.75" customHeight="1">
      <c r="A108" s="69"/>
      <c r="C108" s="195" t="s">
        <v>11</v>
      </c>
      <c r="D108" s="195"/>
      <c r="E108" s="195"/>
      <c r="F108" s="69"/>
      <c r="I108" s="70" t="s">
        <v>12</v>
      </c>
    </row>
    <row r="109" spans="1:9" ht="15.75" customHeight="1">
      <c r="A109" s="4" t="s">
        <v>14</v>
      </c>
    </row>
    <row r="110" spans="1:9">
      <c r="A110" s="196" t="s">
        <v>15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45" customHeight="1">
      <c r="A111" s="185" t="s">
        <v>16</v>
      </c>
      <c r="B111" s="185"/>
      <c r="C111" s="185"/>
      <c r="D111" s="185"/>
      <c r="E111" s="185"/>
      <c r="F111" s="185"/>
      <c r="G111" s="185"/>
      <c r="H111" s="185"/>
      <c r="I111" s="185"/>
    </row>
    <row r="112" spans="1:9" ht="30" customHeight="1">
      <c r="A112" s="185" t="s">
        <v>17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30" customHeight="1">
      <c r="A113" s="185" t="s">
        <v>21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14.25" customHeight="1">
      <c r="A114" s="185" t="s">
        <v>20</v>
      </c>
      <c r="B114" s="185"/>
      <c r="C114" s="185"/>
      <c r="D114" s="185"/>
      <c r="E114" s="185"/>
      <c r="F114" s="185"/>
      <c r="G114" s="185"/>
      <c r="H114" s="185"/>
      <c r="I114" s="185"/>
    </row>
  </sheetData>
  <autoFilter ref="I12:I64"/>
  <mergeCells count="29">
    <mergeCell ref="A110:I110"/>
    <mergeCell ref="A111:I111"/>
    <mergeCell ref="A112:I112"/>
    <mergeCell ref="A113:I113"/>
    <mergeCell ref="A114:I114"/>
    <mergeCell ref="R70:U70"/>
    <mergeCell ref="C108:E108"/>
    <mergeCell ref="A78:I7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74:I74"/>
    <mergeCell ref="A3:I3"/>
    <mergeCell ref="A4:I4"/>
    <mergeCell ref="A5:I5"/>
    <mergeCell ref="A8:I8"/>
    <mergeCell ref="A10:I10"/>
    <mergeCell ref="A14:I14"/>
    <mergeCell ref="A15:I15"/>
    <mergeCell ref="A29:I29"/>
    <mergeCell ref="A51:I51"/>
    <mergeCell ref="A47:I47"/>
  </mergeCells>
  <pageMargins left="0.51181102362204722" right="0.31496062992125984" top="0.27559055118110237" bottom="0.27559055118110237" header="0.31496062992125984" footer="0.31496062992125984"/>
  <pageSetup paperSize="9" scale="64" orientation="portrait" r:id="rId1"/>
  <rowBreaks count="1" manualBreakCount="1">
    <brk id="96" max="8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5"/>
  <sheetViews>
    <sheetView topLeftCell="A64" workbookViewId="0">
      <selection activeCell="I97" sqref="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86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163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198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72"/>
      <c r="C6" s="72"/>
      <c r="D6" s="72"/>
      <c r="E6" s="72"/>
      <c r="F6" s="72"/>
      <c r="G6" s="72"/>
      <c r="H6" s="72"/>
      <c r="I6" s="27">
        <v>43251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133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8.25" customHeight="1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90">
        <v>169.2</v>
      </c>
      <c r="F16" s="91">
        <f>SUM(E16*156/100)</f>
        <v>263.952</v>
      </c>
      <c r="G16" s="91">
        <v>175.38</v>
      </c>
      <c r="H16" s="92">
        <f t="shared" ref="H16:H26" si="0">SUM(F16*G16/1000)</f>
        <v>46.291901760000002</v>
      </c>
      <c r="I16" s="12">
        <f>F16/12*G16</f>
        <v>3857.6584799999996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90">
        <v>676.6</v>
      </c>
      <c r="F17" s="91">
        <f>SUM(E17*104/100)</f>
        <v>703.6640000000001</v>
      </c>
      <c r="G17" s="91">
        <v>175.38</v>
      </c>
      <c r="H17" s="92">
        <f t="shared" si="0"/>
        <v>123.40859232000001</v>
      </c>
      <c r="I17" s="12">
        <f>F17/12*G17</f>
        <v>10284.049360000001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90">
        <f>SUM(E16+E17)</f>
        <v>845.8</v>
      </c>
      <c r="F18" s="91">
        <f>SUM(E18*24/100)</f>
        <v>202.99199999999996</v>
      </c>
      <c r="G18" s="91">
        <v>504.5</v>
      </c>
      <c r="H18" s="92">
        <f t="shared" si="0"/>
        <v>102.40946399999997</v>
      </c>
      <c r="I18" s="12">
        <f>F18/12*G18</f>
        <v>8534.1219999999976</v>
      </c>
      <c r="J18" s="63"/>
      <c r="K18" s="62"/>
      <c r="L18" s="62"/>
      <c r="M18" s="62"/>
    </row>
    <row r="19" spans="1:13" s="35" customFormat="1" ht="15.75" customHeight="1">
      <c r="A19" s="26">
        <v>4</v>
      </c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f>F19*G19</f>
        <v>871.2192</v>
      </c>
      <c r="J19" s="63"/>
      <c r="K19" s="62"/>
      <c r="L19" s="62"/>
      <c r="M19" s="62"/>
    </row>
    <row r="20" spans="1:13" s="35" customFormat="1" ht="15.75" customHeight="1">
      <c r="A20" s="26">
        <v>5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customHeight="1">
      <c r="A21" s="26">
        <v>6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customHeight="1">
      <c r="A22" s="26">
        <v>7</v>
      </c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customHeight="1">
      <c r="A23" s="26">
        <v>8</v>
      </c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customHeight="1">
      <c r="A24" s="26">
        <v>9</v>
      </c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customHeight="1">
      <c r="A25" s="26">
        <v>10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customHeight="1">
      <c r="A26" s="26">
        <v>11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12</v>
      </c>
      <c r="B27" s="88" t="s">
        <v>64</v>
      </c>
      <c r="C27" s="89" t="s">
        <v>33</v>
      </c>
      <c r="D27" s="88"/>
      <c r="E27" s="90">
        <v>0.1</v>
      </c>
      <c r="F27" s="91">
        <f>SUM(E27*365)</f>
        <v>36.5</v>
      </c>
      <c r="G27" s="91">
        <v>147.03</v>
      </c>
      <c r="H27" s="92">
        <f t="shared" ref="H27:H28" si="2">SUM(F27*G27/1000)</f>
        <v>5.3665950000000002</v>
      </c>
      <c r="I27" s="12">
        <f>F27/12*G27</f>
        <v>447.21625</v>
      </c>
      <c r="J27" s="63"/>
      <c r="K27" s="62"/>
      <c r="L27" s="62"/>
      <c r="M27" s="62"/>
    </row>
    <row r="28" spans="1:13" s="35" customFormat="1" ht="15.75" customHeight="1">
      <c r="A28" s="26">
        <v>13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2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customHeight="1">
      <c r="A31" s="40">
        <v>14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3">SUM(F31*G31/1000)</f>
        <v>7.2964626280000004</v>
      </c>
      <c r="I31" s="12">
        <f>F31/6*G31</f>
        <v>1216.0771046666666</v>
      </c>
      <c r="J31" s="63"/>
      <c r="K31" s="62"/>
      <c r="L31" s="62"/>
      <c r="M31" s="62"/>
    </row>
    <row r="32" spans="1:13" s="35" customFormat="1" ht="31.5" customHeight="1">
      <c r="A32" s="40">
        <v>15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3"/>
        <v>5.8381067159999995</v>
      </c>
      <c r="I32" s="12">
        <f t="shared" ref="I32:I35" si="4">F32/6*G32</f>
        <v>973.01778599999989</v>
      </c>
      <c r="J32" s="63"/>
      <c r="K32" s="62"/>
      <c r="L32" s="62"/>
      <c r="M32" s="62"/>
    </row>
    <row r="33" spans="1:14" s="35" customFormat="1" ht="15.75" customHeight="1">
      <c r="A33" s="40">
        <v>16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3"/>
        <v>2.7185990329999998</v>
      </c>
      <c r="I33" s="12">
        <f>F33*G33</f>
        <v>2718.599033</v>
      </c>
      <c r="J33" s="63"/>
      <c r="K33" s="62"/>
      <c r="L33" s="62"/>
      <c r="M33" s="62"/>
    </row>
    <row r="34" spans="1:14" s="35" customFormat="1" ht="15.75" customHeight="1">
      <c r="A34" s="40">
        <v>17</v>
      </c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f t="shared" si="4"/>
        <v>2690.8413333333338</v>
      </c>
      <c r="J34" s="63"/>
      <c r="K34" s="62"/>
      <c r="L34" s="62"/>
      <c r="M34" s="62"/>
    </row>
    <row r="35" spans="1:14" s="35" customFormat="1" ht="15.75" customHeight="1">
      <c r="A35" s="40">
        <v>18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f t="shared" si="4"/>
        <v>488.16388888888883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5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5"/>
        <v>2.27264</v>
      </c>
      <c r="I37" s="12">
        <v>0</v>
      </c>
      <c r="J37" s="64"/>
    </row>
    <row r="38" spans="1:14" s="35" customFormat="1" ht="15.75" hidden="1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hidden="1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6">SUM(F39*G39/1000)</f>
        <v>15.272200000000002</v>
      </c>
      <c r="I39" s="12">
        <f t="shared" ref="I39:I45" si="7">F39/6*G39</f>
        <v>2545.3666666666668</v>
      </c>
      <c r="J39" s="64"/>
    </row>
    <row r="40" spans="1:14" s="35" customFormat="1" ht="15.75" hidden="1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6"/>
        <v>15.997417679999998</v>
      </c>
      <c r="I40" s="12">
        <f t="shared" si="7"/>
        <v>2666.2362800000001</v>
      </c>
      <c r="J40" s="64"/>
    </row>
    <row r="41" spans="1:14" s="35" customFormat="1" ht="15.75" hidden="1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6"/>
        <v>18.255728220000002</v>
      </c>
      <c r="I41" s="12">
        <f t="shared" si="7"/>
        <v>3042.6213700000003</v>
      </c>
      <c r="J41" s="64"/>
    </row>
    <row r="42" spans="1:14" s="35" customFormat="1" ht="15.75" hidden="1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6"/>
        <v>15.73359275</v>
      </c>
      <c r="I42" s="12">
        <f t="shared" si="7"/>
        <v>2622.2654583333333</v>
      </c>
      <c r="J42" s="64"/>
    </row>
    <row r="43" spans="1:14" s="35" customFormat="1" ht="47.25" hidden="1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6"/>
        <v>15.04210176</v>
      </c>
      <c r="I43" s="12">
        <f t="shared" si="7"/>
        <v>2507.0169599999999</v>
      </c>
      <c r="J43" s="64"/>
    </row>
    <row r="44" spans="1:14" s="35" customFormat="1" ht="15.75" hidden="1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6"/>
        <v>2.5927775999999998</v>
      </c>
      <c r="I44" s="12">
        <f t="shared" si="7"/>
        <v>432.12959999999998</v>
      </c>
      <c r="J44" s="64"/>
      <c r="L44" s="19"/>
      <c r="M44" s="20"/>
      <c r="N44" s="28"/>
    </row>
    <row r="45" spans="1:14" s="35" customFormat="1" ht="15.75" hidden="1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6"/>
        <v>0.71820000000000006</v>
      </c>
      <c r="I45" s="12">
        <f t="shared" si="7"/>
        <v>119.69999999999999</v>
      </c>
      <c r="J45" s="64"/>
      <c r="L45" s="19"/>
      <c r="M45" s="20"/>
      <c r="N45" s="28"/>
    </row>
    <row r="46" spans="1:14" s="35" customFormat="1" ht="15.75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customHeight="1">
      <c r="A47" s="40">
        <v>19</v>
      </c>
      <c r="B47" s="88" t="s">
        <v>121</v>
      </c>
      <c r="C47" s="89" t="s">
        <v>115</v>
      </c>
      <c r="D47" s="88" t="s">
        <v>41</v>
      </c>
      <c r="E47" s="90">
        <v>1662.5</v>
      </c>
      <c r="F47" s="91">
        <f>SUM(E47*2/1000)</f>
        <v>3.3250000000000002</v>
      </c>
      <c r="G47" s="12">
        <v>849.49</v>
      </c>
      <c r="H47" s="92">
        <f t="shared" ref="H47:H55" si="8">SUM(F47*G47/1000)</f>
        <v>2.8245542500000003</v>
      </c>
      <c r="I47" s="12">
        <f t="shared" ref="I47:I49" si="9">F47/2*G47</f>
        <v>1412.2771250000001</v>
      </c>
      <c r="J47" s="64"/>
      <c r="L47" s="19"/>
      <c r="M47" s="20"/>
      <c r="N47" s="28"/>
    </row>
    <row r="48" spans="1:14" s="35" customFormat="1" ht="15.75" customHeight="1">
      <c r="A48" s="40">
        <v>20</v>
      </c>
      <c r="B48" s="88" t="s">
        <v>34</v>
      </c>
      <c r="C48" s="89" t="s">
        <v>115</v>
      </c>
      <c r="D48" s="88" t="s">
        <v>41</v>
      </c>
      <c r="E48" s="90">
        <v>92.8</v>
      </c>
      <c r="F48" s="91">
        <f>SUM(E48*2/1000)</f>
        <v>0.18559999999999999</v>
      </c>
      <c r="G48" s="12">
        <v>579.48</v>
      </c>
      <c r="H48" s="92">
        <f t="shared" si="8"/>
        <v>0.10755148799999999</v>
      </c>
      <c r="I48" s="12">
        <f t="shared" si="9"/>
        <v>53.775743999999996</v>
      </c>
      <c r="J48" s="64"/>
      <c r="L48" s="19"/>
      <c r="M48" s="20"/>
      <c r="N48" s="28"/>
    </row>
    <row r="49" spans="1:14" s="35" customFormat="1" ht="15.75" customHeight="1">
      <c r="A49" s="40">
        <v>21</v>
      </c>
      <c r="B49" s="88" t="s">
        <v>35</v>
      </c>
      <c r="C49" s="89" t="s">
        <v>115</v>
      </c>
      <c r="D49" s="88" t="s">
        <v>41</v>
      </c>
      <c r="E49" s="90">
        <v>4750.7</v>
      </c>
      <c r="F49" s="91">
        <f>SUM(E49*2/1000)</f>
        <v>9.5014000000000003</v>
      </c>
      <c r="G49" s="12">
        <v>579.48</v>
      </c>
      <c r="H49" s="92">
        <f t="shared" si="8"/>
        <v>5.5058712720000003</v>
      </c>
      <c r="I49" s="12">
        <f t="shared" si="9"/>
        <v>2752.9356360000002</v>
      </c>
      <c r="J49" s="64"/>
      <c r="L49" s="19"/>
      <c r="M49" s="20"/>
      <c r="N49" s="28"/>
    </row>
    <row r="50" spans="1:14" s="35" customFormat="1" ht="15.75" customHeight="1">
      <c r="A50" s="40">
        <v>22</v>
      </c>
      <c r="B50" s="88" t="s">
        <v>36</v>
      </c>
      <c r="C50" s="89" t="s">
        <v>115</v>
      </c>
      <c r="D50" s="88" t="s">
        <v>41</v>
      </c>
      <c r="E50" s="90">
        <v>2840.99</v>
      </c>
      <c r="F50" s="91">
        <f>SUM(E50*2/1000)</f>
        <v>5.6819799999999994</v>
      </c>
      <c r="G50" s="12">
        <v>606.77</v>
      </c>
      <c r="H50" s="92">
        <f t="shared" si="8"/>
        <v>3.4476550045999992</v>
      </c>
      <c r="I50" s="12">
        <f>F50/2*G50</f>
        <v>1723.8275022999997</v>
      </c>
      <c r="J50" s="64"/>
      <c r="L50" s="19"/>
      <c r="M50" s="20"/>
      <c r="N50" s="28"/>
    </row>
    <row r="51" spans="1:14" s="35" customFormat="1" ht="15.75" customHeight="1">
      <c r="A51" s="40">
        <v>23</v>
      </c>
      <c r="B51" s="88" t="s">
        <v>56</v>
      </c>
      <c r="C51" s="89" t="s">
        <v>115</v>
      </c>
      <c r="D51" s="88" t="s">
        <v>146</v>
      </c>
      <c r="E51" s="90">
        <v>1652.5</v>
      </c>
      <c r="F51" s="91">
        <f>SUM(E51*5/1000)</f>
        <v>8.2624999999999993</v>
      </c>
      <c r="G51" s="12">
        <v>1213.55</v>
      </c>
      <c r="H51" s="92">
        <f t="shared" si="8"/>
        <v>10.026956874999998</v>
      </c>
      <c r="I51" s="12">
        <f>F51/5*G51</f>
        <v>2005.3913749999997</v>
      </c>
      <c r="J51" s="64"/>
      <c r="L51" s="19"/>
      <c r="M51" s="20"/>
      <c r="N51" s="28"/>
    </row>
    <row r="52" spans="1:14" s="35" customFormat="1" ht="31.5" hidden="1" customHeight="1">
      <c r="A52" s="40">
        <v>13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8"/>
        <v>4.0107827499999997</v>
      </c>
      <c r="I52" s="12">
        <f>F52/2*G52</f>
        <v>2005.3913749999999</v>
      </c>
      <c r="J52" s="64"/>
      <c r="L52" s="19"/>
      <c r="M52" s="20"/>
      <c r="N52" s="28"/>
    </row>
    <row r="53" spans="1:14" s="35" customFormat="1" ht="31.5" hidden="1" customHeight="1">
      <c r="A53" s="40">
        <v>14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8"/>
        <v>2.1843919999999999</v>
      </c>
      <c r="I53" s="12">
        <f t="shared" ref="I53:I54" si="10">F53/2*G53</f>
        <v>1092.1959999999999</v>
      </c>
      <c r="J53" s="64"/>
      <c r="L53" s="19"/>
      <c r="M53" s="20"/>
      <c r="N53" s="28"/>
    </row>
    <row r="54" spans="1:14" s="35" customFormat="1" ht="15.75" hidden="1" customHeight="1">
      <c r="A54" s="40">
        <v>15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8"/>
        <v>0.11304260000000001</v>
      </c>
      <c r="I54" s="12">
        <f t="shared" si="10"/>
        <v>56.521300000000004</v>
      </c>
      <c r="J54" s="64"/>
      <c r="L54" s="19"/>
      <c r="M54" s="20"/>
      <c r="N54" s="28"/>
    </row>
    <row r="55" spans="1:14" s="35" customFormat="1" ht="15.75" hidden="1" customHeight="1">
      <c r="A55" s="40">
        <v>14</v>
      </c>
      <c r="B55" s="88" t="s">
        <v>40</v>
      </c>
      <c r="C55" s="89" t="s">
        <v>124</v>
      </c>
      <c r="D55" s="88" t="s">
        <v>71</v>
      </c>
      <c r="E55" s="90">
        <v>236</v>
      </c>
      <c r="F55" s="91">
        <f>SUM(E55)*3</f>
        <v>708</v>
      </c>
      <c r="G55" s="12">
        <v>65.67</v>
      </c>
      <c r="H55" s="92">
        <f t="shared" si="8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182" t="s">
        <v>150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hidden="1" customHeight="1">
      <c r="A57" s="52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hidden="1" customHeight="1">
      <c r="A58" s="40">
        <v>16</v>
      </c>
      <c r="B58" s="88" t="s">
        <v>139</v>
      </c>
      <c r="C58" s="89" t="s">
        <v>105</v>
      </c>
      <c r="D58" s="88" t="s">
        <v>140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F58/6*G58</f>
        <v>2572.3529999999996</v>
      </c>
      <c r="J58" s="64"/>
      <c r="L58" s="19"/>
      <c r="M58" s="20"/>
      <c r="N58" s="28"/>
    </row>
    <row r="59" spans="1:14" s="35" customFormat="1" ht="15.75" hidden="1" customHeight="1">
      <c r="A59" s="40">
        <v>17</v>
      </c>
      <c r="B59" s="99" t="s">
        <v>95</v>
      </c>
      <c r="C59" s="100" t="s">
        <v>105</v>
      </c>
      <c r="D59" s="99" t="s">
        <v>140</v>
      </c>
      <c r="E59" s="101">
        <v>56</v>
      </c>
      <c r="F59" s="102">
        <f>E59*6/100</f>
        <v>3.36</v>
      </c>
      <c r="G59" s="98">
        <v>1547.28</v>
      </c>
      <c r="H59" s="103">
        <f>F59*G59/1000</f>
        <v>5.1988607999999994</v>
      </c>
      <c r="I59" s="12">
        <f>F59/6*G59</f>
        <v>866.47679999999991</v>
      </c>
      <c r="J59" s="64"/>
      <c r="L59" s="19"/>
      <c r="M59" s="20"/>
      <c r="N59" s="28"/>
    </row>
    <row r="60" spans="1:14" s="35" customFormat="1" ht="15.75" hidden="1" customHeight="1">
      <c r="A60" s="40"/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73" t="s">
        <v>43</v>
      </c>
      <c r="C61" s="73"/>
      <c r="D61" s="73"/>
      <c r="E61" s="73"/>
      <c r="F61" s="73"/>
      <c r="G61" s="73"/>
      <c r="H61" s="73"/>
      <c r="I61" s="33"/>
      <c r="J61" s="64"/>
      <c r="L61" s="19"/>
      <c r="M61" s="20"/>
      <c r="N61" s="28"/>
    </row>
    <row r="62" spans="1:14" s="35" customFormat="1" ht="15.75" customHeight="1">
      <c r="A62" s="40">
        <v>24</v>
      </c>
      <c r="B62" s="99" t="s">
        <v>96</v>
      </c>
      <c r="C62" s="100" t="s">
        <v>25</v>
      </c>
      <c r="D62" s="99" t="s">
        <v>147</v>
      </c>
      <c r="E62" s="101">
        <v>330.5</v>
      </c>
      <c r="F62" s="102">
        <f>E62*12</f>
        <v>3966</v>
      </c>
      <c r="G62" s="105">
        <v>1.2</v>
      </c>
      <c r="H62" s="103">
        <f>G62*F62/1000</f>
        <v>4.7591999999999999</v>
      </c>
      <c r="I62" s="12">
        <f>2400/12*G62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customHeight="1">
      <c r="A64" s="40"/>
      <c r="B64" s="73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hidden="1" customHeight="1">
      <c r="A65" s="40">
        <v>19</v>
      </c>
      <c r="B65" s="14" t="s">
        <v>46</v>
      </c>
      <c r="C65" s="16" t="s">
        <v>124</v>
      </c>
      <c r="D65" s="14" t="s">
        <v>67</v>
      </c>
      <c r="E65" s="18">
        <v>10</v>
      </c>
      <c r="F65" s="91">
        <v>10</v>
      </c>
      <c r="G65" s="12">
        <v>222.4</v>
      </c>
      <c r="H65" s="81">
        <f t="shared" ref="H65:H72" si="11">SUM(F65*G65/1000)</f>
        <v>2.2240000000000002</v>
      </c>
      <c r="I65" s="12">
        <f>G65</f>
        <v>222.4</v>
      </c>
      <c r="J65" s="64"/>
      <c r="L65" s="19"/>
      <c r="M65" s="20"/>
      <c r="N65" s="28"/>
    </row>
    <row r="66" spans="1:22" s="35" customFormat="1" ht="15.75" hidden="1" customHeight="1"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11"/>
        <v>0.61</v>
      </c>
      <c r="I66" s="12">
        <v>0</v>
      </c>
      <c r="J66" s="64"/>
      <c r="L66" s="19"/>
      <c r="M66" s="20"/>
      <c r="N66" s="28"/>
    </row>
    <row r="67" spans="1:22" s="35" customFormat="1" ht="15.75" customHeight="1">
      <c r="A67" s="26">
        <v>25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11"/>
        <v>49.360940499999998</v>
      </c>
      <c r="I67" s="12">
        <f>F67*G67</f>
        <v>49360.940499999997</v>
      </c>
      <c r="J67" s="64"/>
      <c r="L67" s="19"/>
      <c r="M67" s="20"/>
      <c r="N67" s="28"/>
    </row>
    <row r="68" spans="1:22" s="35" customFormat="1" ht="15.75" customHeight="1">
      <c r="A68" s="26">
        <v>26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11"/>
        <v>3.8439410700000005</v>
      </c>
      <c r="I68" s="12">
        <f t="shared" ref="I68:I71" si="12">F68*G68</f>
        <v>3843.9410700000003</v>
      </c>
      <c r="J68" s="64"/>
      <c r="L68" s="19"/>
      <c r="M68" s="20"/>
      <c r="N68" s="28"/>
    </row>
    <row r="69" spans="1:22" s="35" customFormat="1" ht="15.75" customHeight="1">
      <c r="A69" s="26">
        <v>27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11"/>
        <v>65.247113499999998</v>
      </c>
      <c r="I69" s="12">
        <f t="shared" si="12"/>
        <v>65247.113499999999</v>
      </c>
      <c r="J69" s="64"/>
      <c r="L69" s="19"/>
    </row>
    <row r="70" spans="1:22" s="35" customFormat="1" ht="15.75" customHeight="1">
      <c r="A70" s="26">
        <v>28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11"/>
        <v>0.88156220000000007</v>
      </c>
      <c r="I70" s="12">
        <f t="shared" si="12"/>
        <v>881.56220000000008</v>
      </c>
    </row>
    <row r="71" spans="1:22" s="35" customFormat="1" ht="15.75" customHeight="1">
      <c r="A71" s="26">
        <v>29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11"/>
        <v>0.82247460000000006</v>
      </c>
      <c r="I71" s="12">
        <f t="shared" si="12"/>
        <v>822.47460000000001</v>
      </c>
    </row>
    <row r="72" spans="1:22" s="35" customFormat="1" ht="14.25" hidden="1" customHeight="1">
      <c r="A72" s="26">
        <v>13</v>
      </c>
      <c r="B72" s="14" t="s">
        <v>57</v>
      </c>
      <c r="C72" s="16" t="s">
        <v>58</v>
      </c>
      <c r="D72" s="14" t="s">
        <v>53</v>
      </c>
      <c r="E72" s="18">
        <v>5</v>
      </c>
      <c r="F72" s="91">
        <f>SUM(E72)</f>
        <v>5</v>
      </c>
      <c r="G72" s="12">
        <v>49.88</v>
      </c>
      <c r="H72" s="81">
        <f t="shared" si="11"/>
        <v>0.24940000000000001</v>
      </c>
      <c r="I72" s="12">
        <v>0</v>
      </c>
    </row>
    <row r="73" spans="1:22" s="35" customFormat="1" ht="15" hidden="1" customHeight="1">
      <c r="A73" s="52"/>
      <c r="B73" s="73" t="s">
        <v>128</v>
      </c>
      <c r="C73" s="73"/>
      <c r="D73" s="73"/>
      <c r="E73" s="73"/>
      <c r="F73" s="73"/>
      <c r="G73" s="73"/>
      <c r="H73" s="73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15" hidden="1" customHeight="1">
      <c r="A74" s="26">
        <v>18</v>
      </c>
      <c r="B74" s="88" t="s">
        <v>129</v>
      </c>
      <c r="C74" s="16"/>
      <c r="D74" s="14"/>
      <c r="E74" s="77"/>
      <c r="F74" s="12">
        <v>1</v>
      </c>
      <c r="G74" s="12">
        <v>27750</v>
      </c>
      <c r="H74" s="81">
        <f>G74*F74/1000</f>
        <v>27.75</v>
      </c>
      <c r="I74" s="12">
        <f>G74</f>
        <v>27750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7.25" hidden="1" customHeight="1">
      <c r="A75" s="26"/>
      <c r="B75" s="48" t="s">
        <v>72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15.75" hidden="1" customHeight="1">
      <c r="A76" s="26">
        <v>19</v>
      </c>
      <c r="B76" s="14" t="s">
        <v>73</v>
      </c>
      <c r="C76" s="16" t="s">
        <v>31</v>
      </c>
      <c r="D76" s="14"/>
      <c r="E76" s="18">
        <v>10</v>
      </c>
      <c r="F76" s="76">
        <v>1</v>
      </c>
      <c r="G76" s="12">
        <v>501.62</v>
      </c>
      <c r="H76" s="81">
        <f>F76*G76/1000</f>
        <v>0.50161999999999995</v>
      </c>
      <c r="I76" s="12">
        <f>G76*0.2</f>
        <v>100.32400000000001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8" hidden="1" customHeight="1">
      <c r="A77" s="26">
        <v>20</v>
      </c>
      <c r="B77" s="14" t="s">
        <v>88</v>
      </c>
      <c r="C77" s="16" t="s">
        <v>30</v>
      </c>
      <c r="D77" s="14"/>
      <c r="E77" s="18">
        <v>1</v>
      </c>
      <c r="F77" s="91">
        <v>1</v>
      </c>
      <c r="G77" s="12">
        <v>358.51</v>
      </c>
      <c r="H77" s="81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172"/>
      <c r="S77" s="172"/>
      <c r="T77" s="172"/>
      <c r="U77" s="172"/>
    </row>
    <row r="78" spans="1:22" s="35" customFormat="1" ht="20.25" hidden="1" customHeight="1">
      <c r="A78" s="26">
        <v>20</v>
      </c>
      <c r="B78" s="14" t="s">
        <v>74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81">
        <f>F78*G78/1000</f>
        <v>0.85299000000000003</v>
      </c>
      <c r="I78" s="12">
        <v>0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2" s="35" customFormat="1" ht="14.25" hidden="1" customHeight="1">
      <c r="A79" s="26"/>
      <c r="B79" s="49" t="s">
        <v>75</v>
      </c>
      <c r="C79" s="37"/>
      <c r="D79" s="26"/>
      <c r="E79" s="18"/>
      <c r="F79" s="18"/>
      <c r="G79" s="34" t="s">
        <v>141</v>
      </c>
      <c r="H79" s="34"/>
      <c r="I79" s="18"/>
    </row>
    <row r="80" spans="1:22" s="35" customFormat="1" ht="18.75" hidden="1" customHeight="1">
      <c r="A80" s="26">
        <v>39</v>
      </c>
      <c r="B80" s="51" t="s">
        <v>130</v>
      </c>
      <c r="C80" s="16" t="s">
        <v>76</v>
      </c>
      <c r="D80" s="14"/>
      <c r="E80" s="18"/>
      <c r="F80" s="12">
        <v>1.35</v>
      </c>
      <c r="G80" s="12">
        <v>2759.44</v>
      </c>
      <c r="H80" s="81">
        <f t="shared" ref="H80" si="13">SUM(F80*G80/1000)</f>
        <v>3.725244</v>
      </c>
      <c r="I80" s="12">
        <v>0</v>
      </c>
    </row>
    <row r="81" spans="1:9" s="35" customFormat="1" ht="15.75" customHeight="1">
      <c r="A81" s="186" t="s">
        <v>151</v>
      </c>
      <c r="B81" s="187"/>
      <c r="C81" s="187"/>
      <c r="D81" s="187"/>
      <c r="E81" s="187"/>
      <c r="F81" s="187"/>
      <c r="G81" s="187"/>
      <c r="H81" s="187"/>
      <c r="I81" s="188"/>
    </row>
    <row r="82" spans="1:9" s="35" customFormat="1" ht="15.75" customHeight="1">
      <c r="A82" s="26">
        <v>30</v>
      </c>
      <c r="B82" s="88" t="s">
        <v>131</v>
      </c>
      <c r="C82" s="16" t="s">
        <v>54</v>
      </c>
      <c r="D82" s="109" t="s">
        <v>55</v>
      </c>
      <c r="E82" s="12">
        <v>5916.3</v>
      </c>
      <c r="F82" s="12">
        <f>SUM(E82*12)</f>
        <v>70995.600000000006</v>
      </c>
      <c r="G82" s="12">
        <v>2.1</v>
      </c>
      <c r="H82" s="81">
        <f>SUM(F82*G82/1000)</f>
        <v>149.09076000000002</v>
      </c>
      <c r="I82" s="12">
        <f>F82/12*G82</f>
        <v>12424.230000000001</v>
      </c>
    </row>
    <row r="83" spans="1:9" s="35" customFormat="1" ht="31.5" customHeight="1">
      <c r="A83" s="26">
        <v>31</v>
      </c>
      <c r="B83" s="14" t="s">
        <v>77</v>
      </c>
      <c r="C83" s="16"/>
      <c r="D83" s="109" t="s">
        <v>55</v>
      </c>
      <c r="E83" s="90">
        <v>5916.3</v>
      </c>
      <c r="F83" s="12">
        <f>E83*12</f>
        <v>70995.600000000006</v>
      </c>
      <c r="G83" s="12">
        <v>1.63</v>
      </c>
      <c r="H83" s="81">
        <f>F83*G83/1000</f>
        <v>115.72282800000001</v>
      </c>
      <c r="I83" s="12">
        <f>F83/12*G83</f>
        <v>9643.5689999999995</v>
      </c>
    </row>
    <row r="84" spans="1:9" s="35" customFormat="1" ht="15.75" customHeight="1">
      <c r="A84" s="52"/>
      <c r="B84" s="38" t="s">
        <v>80</v>
      </c>
      <c r="C84" s="40"/>
      <c r="D84" s="15"/>
      <c r="E84" s="15"/>
      <c r="F84" s="15"/>
      <c r="G84" s="18"/>
      <c r="H84" s="18"/>
      <c r="I84" s="29">
        <f>I83+I82+I71+I70+I69+I68+I67+I62+I51+I50+I49+I48+I47+I35+I34+I33+I32+I31+I28+I27+I26+I25+I24+I23+I22+I21+I20+I19+I18+I17+I16</f>
        <v>205474.822120189</v>
      </c>
    </row>
    <row r="85" spans="1:9" s="35" customFormat="1" ht="15.75" customHeight="1">
      <c r="A85" s="189" t="s">
        <v>60</v>
      </c>
      <c r="B85" s="190"/>
      <c r="C85" s="190"/>
      <c r="D85" s="190"/>
      <c r="E85" s="190"/>
      <c r="F85" s="190"/>
      <c r="G85" s="190"/>
      <c r="H85" s="190"/>
      <c r="I85" s="191"/>
    </row>
    <row r="86" spans="1:9" s="35" customFormat="1" ht="15.75" customHeight="1">
      <c r="A86" s="26">
        <v>32</v>
      </c>
      <c r="B86" s="60" t="s">
        <v>174</v>
      </c>
      <c r="C86" s="61" t="s">
        <v>175</v>
      </c>
      <c r="D86" s="14"/>
      <c r="E86" s="18"/>
      <c r="F86" s="12">
        <f>(3+3+3+15+10+10+10+15+10+3+10+10+15+5)/3</f>
        <v>40.666666666666664</v>
      </c>
      <c r="G86" s="34">
        <v>134.12</v>
      </c>
      <c r="H86" s="81">
        <f t="shared" ref="H86" si="14">G86*F86/1000</f>
        <v>5.4542133333333336</v>
      </c>
      <c r="I86" s="12">
        <f>G86*7</f>
        <v>938.84</v>
      </c>
    </row>
    <row r="87" spans="1:9" s="35" customFormat="1" ht="15.75" customHeight="1">
      <c r="A87" s="26">
        <v>33</v>
      </c>
      <c r="B87" s="114" t="s">
        <v>199</v>
      </c>
      <c r="C87" s="26" t="s">
        <v>124</v>
      </c>
      <c r="D87" s="14"/>
      <c r="E87" s="18"/>
      <c r="F87" s="12">
        <v>2</v>
      </c>
      <c r="G87" s="34">
        <v>1253.56</v>
      </c>
      <c r="H87" s="81">
        <f>G87*F87/1000</f>
        <v>2.50712</v>
      </c>
      <c r="I87" s="12">
        <f>G87*1</f>
        <v>1253.56</v>
      </c>
    </row>
    <row r="88" spans="1:9" s="35" customFormat="1" ht="15.75" customHeight="1">
      <c r="A88" s="31">
        <v>34</v>
      </c>
      <c r="B88" s="67" t="s">
        <v>197</v>
      </c>
      <c r="C88" s="68" t="s">
        <v>124</v>
      </c>
      <c r="D88" s="14"/>
      <c r="E88" s="18"/>
      <c r="F88" s="12">
        <v>8</v>
      </c>
      <c r="G88" s="120">
        <v>1503.2</v>
      </c>
      <c r="H88" s="81">
        <f t="shared" ref="H88" si="15">G88*F88/1000</f>
        <v>12.025600000000001</v>
      </c>
      <c r="I88" s="12">
        <f>G88*2</f>
        <v>3006.4</v>
      </c>
    </row>
    <row r="89" spans="1:9" s="35" customFormat="1" ht="33" customHeight="1">
      <c r="A89" s="26">
        <v>35</v>
      </c>
      <c r="B89" s="60" t="s">
        <v>200</v>
      </c>
      <c r="C89" s="61" t="s">
        <v>124</v>
      </c>
      <c r="D89" s="36"/>
      <c r="E89" s="17"/>
      <c r="F89" s="34">
        <v>1</v>
      </c>
      <c r="G89" s="120">
        <v>7997.5</v>
      </c>
      <c r="H89" s="111">
        <f>G89*F89/1000</f>
        <v>7.9974999999999996</v>
      </c>
      <c r="I89" s="12">
        <f>G89*1</f>
        <v>7997.5</v>
      </c>
    </row>
    <row r="90" spans="1:9" s="35" customFormat="1" ht="15.75" hidden="1" customHeight="1">
      <c r="A90" s="26">
        <v>36</v>
      </c>
      <c r="B90" s="60"/>
      <c r="C90" s="61"/>
      <c r="D90" s="36"/>
      <c r="E90" s="17"/>
      <c r="F90" s="34">
        <v>1</v>
      </c>
      <c r="G90" s="34"/>
      <c r="H90" s="111">
        <f>G90*F90/1000</f>
        <v>0</v>
      </c>
      <c r="I90" s="12"/>
    </row>
    <row r="91" spans="1:9" s="35" customFormat="1" ht="31.5" hidden="1" customHeight="1">
      <c r="A91" s="31">
        <v>37</v>
      </c>
      <c r="B91" s="57"/>
      <c r="C91" s="59"/>
      <c r="D91" s="51"/>
      <c r="E91" s="34"/>
      <c r="F91" s="34">
        <v>0.06</v>
      </c>
      <c r="G91" s="34"/>
      <c r="H91" s="111">
        <f>G91*F91/1000</f>
        <v>0</v>
      </c>
      <c r="I91" s="12"/>
    </row>
    <row r="92" spans="1:9" s="35" customFormat="1" ht="15.75" customHeight="1">
      <c r="A92" s="26"/>
      <c r="B92" s="45" t="s">
        <v>51</v>
      </c>
      <c r="C92" s="41"/>
      <c r="D92" s="53"/>
      <c r="E92" s="41">
        <v>1</v>
      </c>
      <c r="F92" s="41"/>
      <c r="G92" s="41"/>
      <c r="H92" s="41"/>
      <c r="I92" s="29">
        <f>I89+I88+I87+I86</f>
        <v>13196.3</v>
      </c>
    </row>
    <row r="93" spans="1:9" s="35" customFormat="1" ht="15.75" customHeight="1">
      <c r="A93" s="26"/>
      <c r="B93" s="51" t="s">
        <v>78</v>
      </c>
      <c r="C93" s="15"/>
      <c r="D93" s="15"/>
      <c r="E93" s="42"/>
      <c r="F93" s="42"/>
      <c r="G93" s="43"/>
      <c r="H93" s="43"/>
      <c r="I93" s="17">
        <v>0</v>
      </c>
    </row>
    <row r="94" spans="1:9" s="35" customFormat="1" ht="15.75" customHeight="1">
      <c r="A94" s="54"/>
      <c r="B94" s="46" t="s">
        <v>152</v>
      </c>
      <c r="C94" s="32"/>
      <c r="D94" s="32"/>
      <c r="E94" s="32"/>
      <c r="F94" s="32"/>
      <c r="G94" s="32"/>
      <c r="H94" s="32"/>
      <c r="I94" s="44">
        <f>I84+I92</f>
        <v>218671.12212018899</v>
      </c>
    </row>
    <row r="95" spans="1:9" ht="15.75" customHeight="1">
      <c r="A95" s="173" t="s">
        <v>284</v>
      </c>
      <c r="B95" s="173"/>
      <c r="C95" s="173"/>
      <c r="D95" s="173"/>
      <c r="E95" s="173"/>
      <c r="F95" s="173"/>
      <c r="G95" s="173"/>
      <c r="H95" s="173"/>
      <c r="I95" s="173"/>
    </row>
    <row r="96" spans="1:9" ht="15.75" customHeight="1">
      <c r="A96" s="75"/>
      <c r="B96" s="197" t="s">
        <v>285</v>
      </c>
      <c r="C96" s="197"/>
      <c r="D96" s="197"/>
      <c r="E96" s="197"/>
      <c r="F96" s="197"/>
      <c r="G96" s="197"/>
      <c r="H96" s="80"/>
      <c r="I96" s="3"/>
    </row>
    <row r="97" spans="1:9" ht="15.75" customHeight="1">
      <c r="A97" s="69"/>
      <c r="B97" s="193" t="s">
        <v>6</v>
      </c>
      <c r="C97" s="193"/>
      <c r="D97" s="193"/>
      <c r="E97" s="193"/>
      <c r="F97" s="193"/>
      <c r="G97" s="193"/>
      <c r="H97" s="21"/>
      <c r="I97" s="5"/>
    </row>
    <row r="98" spans="1:9" ht="15.75" customHeight="1">
      <c r="A98" s="9"/>
      <c r="B98" s="9"/>
      <c r="C98" s="9"/>
      <c r="D98" s="9"/>
      <c r="E98" s="9"/>
      <c r="F98" s="9"/>
      <c r="G98" s="9"/>
      <c r="H98" s="9"/>
      <c r="I98" s="9"/>
    </row>
    <row r="99" spans="1:9" ht="15.75" customHeight="1">
      <c r="A99" s="198" t="s">
        <v>7</v>
      </c>
      <c r="B99" s="198"/>
      <c r="C99" s="198"/>
      <c r="D99" s="198"/>
      <c r="E99" s="198"/>
      <c r="F99" s="198"/>
      <c r="G99" s="198"/>
      <c r="H99" s="198"/>
      <c r="I99" s="198"/>
    </row>
    <row r="100" spans="1:9" ht="15.75" customHeight="1">
      <c r="A100" s="198" t="s">
        <v>8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 customHeight="1">
      <c r="A101" s="199" t="s">
        <v>61</v>
      </c>
      <c r="B101" s="199"/>
      <c r="C101" s="199"/>
      <c r="D101" s="199"/>
      <c r="E101" s="199"/>
      <c r="F101" s="199"/>
      <c r="G101" s="199"/>
      <c r="H101" s="199"/>
      <c r="I101" s="199"/>
    </row>
    <row r="102" spans="1:9" ht="15.75" customHeight="1">
      <c r="A102" s="10"/>
    </row>
    <row r="103" spans="1:9" ht="15.75" customHeight="1">
      <c r="A103" s="180" t="s">
        <v>9</v>
      </c>
      <c r="B103" s="180"/>
      <c r="C103" s="180"/>
      <c r="D103" s="180"/>
      <c r="E103" s="180"/>
      <c r="F103" s="180"/>
      <c r="G103" s="180"/>
      <c r="H103" s="180"/>
      <c r="I103" s="180"/>
    </row>
    <row r="104" spans="1:9" ht="15.75" customHeight="1">
      <c r="A104" s="4"/>
    </row>
    <row r="105" spans="1:9" ht="15.75" customHeight="1">
      <c r="B105" s="74" t="s">
        <v>10</v>
      </c>
      <c r="C105" s="192" t="s">
        <v>90</v>
      </c>
      <c r="D105" s="192"/>
      <c r="E105" s="192"/>
      <c r="F105" s="78"/>
      <c r="I105" s="71"/>
    </row>
    <row r="106" spans="1:9" ht="15.75" customHeight="1">
      <c r="A106" s="69"/>
      <c r="C106" s="193" t="s">
        <v>11</v>
      </c>
      <c r="D106" s="193"/>
      <c r="E106" s="193"/>
      <c r="F106" s="21"/>
      <c r="I106" s="70" t="s">
        <v>12</v>
      </c>
    </row>
    <row r="107" spans="1:9" ht="15.75" customHeight="1">
      <c r="A107" s="22"/>
      <c r="C107" s="11"/>
      <c r="D107" s="11"/>
      <c r="G107" s="11"/>
      <c r="H107" s="11"/>
    </row>
    <row r="108" spans="1:9" ht="15.75" customHeight="1">
      <c r="B108" s="74" t="s">
        <v>13</v>
      </c>
      <c r="C108" s="194"/>
      <c r="D108" s="194"/>
      <c r="E108" s="194"/>
      <c r="F108" s="79"/>
      <c r="I108" s="71"/>
    </row>
    <row r="109" spans="1:9" ht="15.75" customHeight="1">
      <c r="A109" s="69"/>
      <c r="C109" s="195" t="s">
        <v>11</v>
      </c>
      <c r="D109" s="195"/>
      <c r="E109" s="195"/>
      <c r="F109" s="69"/>
      <c r="I109" s="70" t="s">
        <v>12</v>
      </c>
    </row>
    <row r="110" spans="1:9" ht="15.75" customHeight="1">
      <c r="A110" s="4" t="s">
        <v>14</v>
      </c>
    </row>
    <row r="111" spans="1:9">
      <c r="A111" s="196" t="s">
        <v>15</v>
      </c>
      <c r="B111" s="196"/>
      <c r="C111" s="196"/>
      <c r="D111" s="196"/>
      <c r="E111" s="196"/>
      <c r="F111" s="196"/>
      <c r="G111" s="196"/>
      <c r="H111" s="196"/>
      <c r="I111" s="196"/>
    </row>
    <row r="112" spans="1:9" ht="45" customHeight="1">
      <c r="A112" s="185" t="s">
        <v>16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30" customHeight="1">
      <c r="A113" s="185" t="s">
        <v>17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30" customHeight="1">
      <c r="A114" s="185" t="s">
        <v>21</v>
      </c>
      <c r="B114" s="185"/>
      <c r="C114" s="185"/>
      <c r="D114" s="185"/>
      <c r="E114" s="185"/>
      <c r="F114" s="185"/>
      <c r="G114" s="185"/>
      <c r="H114" s="185"/>
      <c r="I114" s="185"/>
    </row>
    <row r="115" spans="1:9" ht="14.25" customHeight="1">
      <c r="A115" s="185" t="s">
        <v>20</v>
      </c>
      <c r="B115" s="185"/>
      <c r="C115" s="185"/>
      <c r="D115" s="185"/>
      <c r="E115" s="185"/>
      <c r="F115" s="185"/>
      <c r="G115" s="185"/>
      <c r="H115" s="185"/>
      <c r="I115" s="185"/>
    </row>
  </sheetData>
  <autoFilter ref="I12:I71"/>
  <mergeCells count="29">
    <mergeCell ref="A111:I111"/>
    <mergeCell ref="A112:I112"/>
    <mergeCell ref="A113:I113"/>
    <mergeCell ref="A114:I114"/>
    <mergeCell ref="A115:I115"/>
    <mergeCell ref="R77:U77"/>
    <mergeCell ref="C109:E109"/>
    <mergeCell ref="A85:I85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4"/>
  <sheetViews>
    <sheetView topLeftCell="A81" workbookViewId="0">
      <selection activeCell="I95" sqref="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86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165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201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72"/>
      <c r="C6" s="72"/>
      <c r="D6" s="72"/>
      <c r="E6" s="72"/>
      <c r="F6" s="72"/>
      <c r="G6" s="72"/>
      <c r="H6" s="72"/>
      <c r="I6" s="27">
        <v>43281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133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90">
        <v>169.2</v>
      </c>
      <c r="F16" s="91">
        <f>SUM(E16*156/100)</f>
        <v>263.952</v>
      </c>
      <c r="G16" s="91">
        <v>175.38</v>
      </c>
      <c r="H16" s="92">
        <f t="shared" ref="H16:H26" si="0">SUM(F16*G16/1000)</f>
        <v>46.291901760000002</v>
      </c>
      <c r="I16" s="12">
        <f>F16/12*G16</f>
        <v>3857.6584799999996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90">
        <v>676.6</v>
      </c>
      <c r="F17" s="91">
        <f>SUM(E17*104/100)</f>
        <v>703.6640000000001</v>
      </c>
      <c r="G17" s="91">
        <v>175.38</v>
      </c>
      <c r="H17" s="92">
        <f t="shared" si="0"/>
        <v>123.40859232000001</v>
      </c>
      <c r="I17" s="12">
        <f>F17/12*G17</f>
        <v>10284.049360000001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90">
        <f>SUM(E16+E17)</f>
        <v>845.8</v>
      </c>
      <c r="F18" s="91">
        <f>SUM(E18*24/100)</f>
        <v>202.99199999999996</v>
      </c>
      <c r="G18" s="91">
        <v>504.5</v>
      </c>
      <c r="H18" s="92">
        <f t="shared" si="0"/>
        <v>102.40946399999997</v>
      </c>
      <c r="I18" s="12">
        <f>F18/12*G18</f>
        <v>8534.1219999999976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88" t="s">
        <v>64</v>
      </c>
      <c r="C27" s="89" t="s">
        <v>33</v>
      </c>
      <c r="D27" s="88"/>
      <c r="E27" s="90">
        <v>0.1</v>
      </c>
      <c r="F27" s="91">
        <f>SUM(E27*365)</f>
        <v>36.5</v>
      </c>
      <c r="G27" s="91">
        <v>147.03</v>
      </c>
      <c r="H27" s="92">
        <f t="shared" ref="H27:H28" si="2">SUM(F27*G27/1000)</f>
        <v>5.3665950000000002</v>
      </c>
      <c r="I27" s="12">
        <f>F27/12*G27</f>
        <v>447.21625</v>
      </c>
      <c r="J27" s="63"/>
      <c r="K27" s="62"/>
      <c r="L27" s="62"/>
      <c r="M27" s="62"/>
    </row>
    <row r="28" spans="1:13" s="35" customFormat="1" ht="15.75" customHeight="1">
      <c r="A28" s="26">
        <v>5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2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customHeight="1">
      <c r="A31" s="40">
        <v>6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3">SUM(F31*G31/1000)</f>
        <v>7.2964626280000004</v>
      </c>
      <c r="I31" s="12">
        <f>F31/6*G31</f>
        <v>1216.0771046666666</v>
      </c>
      <c r="J31" s="63"/>
      <c r="K31" s="62"/>
      <c r="L31" s="62"/>
      <c r="M31" s="62"/>
    </row>
    <row r="32" spans="1:13" s="35" customFormat="1" ht="31.5" customHeight="1">
      <c r="A32" s="40">
        <v>7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3"/>
        <v>5.8381067159999995</v>
      </c>
      <c r="I32" s="12">
        <f t="shared" ref="I32:I35" si="4">F32/6*G32</f>
        <v>973.01778599999989</v>
      </c>
      <c r="J32" s="63"/>
      <c r="K32" s="62"/>
      <c r="L32" s="62"/>
      <c r="M32" s="62"/>
    </row>
    <row r="33" spans="1:14" s="35" customFormat="1" ht="15.75" hidden="1" customHeight="1">
      <c r="A33" s="40">
        <v>16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3"/>
        <v>2.7185990329999998</v>
      </c>
      <c r="I33" s="12">
        <f>F33*G33</f>
        <v>2718.599033</v>
      </c>
      <c r="J33" s="63"/>
      <c r="K33" s="62"/>
      <c r="L33" s="62"/>
      <c r="M33" s="62"/>
    </row>
    <row r="34" spans="1:14" s="35" customFormat="1" ht="15.75" customHeight="1">
      <c r="A34" s="40">
        <v>8</v>
      </c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f t="shared" si="4"/>
        <v>2690.8413333333338</v>
      </c>
      <c r="J34" s="63"/>
      <c r="K34" s="62"/>
      <c r="L34" s="62"/>
      <c r="M34" s="62"/>
    </row>
    <row r="35" spans="1:14" s="35" customFormat="1" ht="15.75" customHeight="1">
      <c r="A35" s="40">
        <v>9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f t="shared" si="4"/>
        <v>488.16388888888883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5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5"/>
        <v>2.27264</v>
      </c>
      <c r="I37" s="12">
        <v>0</v>
      </c>
      <c r="J37" s="64"/>
    </row>
    <row r="38" spans="1:14" s="35" customFormat="1" ht="15.75" hidden="1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hidden="1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6">SUM(F39*G39/1000)</f>
        <v>15.272200000000002</v>
      </c>
      <c r="I39" s="12">
        <f t="shared" ref="I39:I45" si="7">F39/6*G39</f>
        <v>2545.3666666666668</v>
      </c>
      <c r="J39" s="64"/>
    </row>
    <row r="40" spans="1:14" s="35" customFormat="1" ht="15.75" hidden="1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6"/>
        <v>15.997417679999998</v>
      </c>
      <c r="I40" s="12">
        <f t="shared" si="7"/>
        <v>2666.2362800000001</v>
      </c>
      <c r="J40" s="64"/>
    </row>
    <row r="41" spans="1:14" s="35" customFormat="1" ht="15.75" hidden="1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6"/>
        <v>18.255728220000002</v>
      </c>
      <c r="I41" s="12">
        <f t="shared" si="7"/>
        <v>3042.6213700000003</v>
      </c>
      <c r="J41" s="64"/>
    </row>
    <row r="42" spans="1:14" s="35" customFormat="1" ht="15.75" hidden="1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6"/>
        <v>15.73359275</v>
      </c>
      <c r="I42" s="12">
        <f t="shared" si="7"/>
        <v>2622.2654583333333</v>
      </c>
      <c r="J42" s="64"/>
    </row>
    <row r="43" spans="1:14" s="35" customFormat="1" ht="47.25" hidden="1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6"/>
        <v>15.04210176</v>
      </c>
      <c r="I43" s="12">
        <f t="shared" si="7"/>
        <v>2507.0169599999999</v>
      </c>
      <c r="J43" s="64"/>
    </row>
    <row r="44" spans="1:14" s="35" customFormat="1" ht="15.75" hidden="1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6"/>
        <v>2.5927775999999998</v>
      </c>
      <c r="I44" s="12">
        <f t="shared" si="7"/>
        <v>432.12959999999998</v>
      </c>
      <c r="J44" s="64"/>
      <c r="L44" s="19"/>
      <c r="M44" s="20"/>
      <c r="N44" s="28"/>
    </row>
    <row r="45" spans="1:14" s="35" customFormat="1" ht="15.75" hidden="1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6"/>
        <v>0.71820000000000006</v>
      </c>
      <c r="I45" s="12">
        <f t="shared" si="7"/>
        <v>119.69999999999999</v>
      </c>
      <c r="J45" s="64"/>
      <c r="L45" s="19"/>
      <c r="M45" s="20"/>
      <c r="N45" s="28"/>
    </row>
    <row r="46" spans="1:14" s="35" customFormat="1" ht="15.75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hidden="1" customHeight="1">
      <c r="A47" s="40">
        <v>19</v>
      </c>
      <c r="B47" s="88" t="s">
        <v>121</v>
      </c>
      <c r="C47" s="89" t="s">
        <v>115</v>
      </c>
      <c r="D47" s="88" t="s">
        <v>41</v>
      </c>
      <c r="E47" s="90">
        <v>1662.5</v>
      </c>
      <c r="F47" s="91">
        <f>SUM(E47*2/1000)</f>
        <v>3.3250000000000002</v>
      </c>
      <c r="G47" s="12">
        <v>849.49</v>
      </c>
      <c r="H47" s="92">
        <f t="shared" ref="H47:H55" si="8">SUM(F47*G47/1000)</f>
        <v>2.8245542500000003</v>
      </c>
      <c r="I47" s="12">
        <f t="shared" ref="I47:I49" si="9">F47/2*G47</f>
        <v>1412.2771250000001</v>
      </c>
      <c r="J47" s="64"/>
      <c r="L47" s="19"/>
      <c r="M47" s="20"/>
      <c r="N47" s="28"/>
    </row>
    <row r="48" spans="1:14" s="35" customFormat="1" ht="15.75" hidden="1" customHeight="1">
      <c r="A48" s="40">
        <v>20</v>
      </c>
      <c r="B48" s="88" t="s">
        <v>34</v>
      </c>
      <c r="C48" s="89" t="s">
        <v>115</v>
      </c>
      <c r="D48" s="88" t="s">
        <v>41</v>
      </c>
      <c r="E48" s="90">
        <v>92.8</v>
      </c>
      <c r="F48" s="91">
        <f>SUM(E48*2/1000)</f>
        <v>0.18559999999999999</v>
      </c>
      <c r="G48" s="12">
        <v>579.48</v>
      </c>
      <c r="H48" s="92">
        <f t="shared" si="8"/>
        <v>0.10755148799999999</v>
      </c>
      <c r="I48" s="12">
        <f t="shared" si="9"/>
        <v>53.775743999999996</v>
      </c>
      <c r="J48" s="64"/>
      <c r="L48" s="19"/>
      <c r="M48" s="20"/>
      <c r="N48" s="28"/>
    </row>
    <row r="49" spans="1:14" s="35" customFormat="1" ht="15.75" hidden="1" customHeight="1">
      <c r="A49" s="40">
        <v>21</v>
      </c>
      <c r="B49" s="88" t="s">
        <v>35</v>
      </c>
      <c r="C49" s="89" t="s">
        <v>115</v>
      </c>
      <c r="D49" s="88" t="s">
        <v>41</v>
      </c>
      <c r="E49" s="90">
        <v>4750.7</v>
      </c>
      <c r="F49" s="91">
        <f>SUM(E49*2/1000)</f>
        <v>9.5014000000000003</v>
      </c>
      <c r="G49" s="12">
        <v>579.48</v>
      </c>
      <c r="H49" s="92">
        <f t="shared" si="8"/>
        <v>5.5058712720000003</v>
      </c>
      <c r="I49" s="12">
        <f t="shared" si="9"/>
        <v>2752.9356360000002</v>
      </c>
      <c r="J49" s="64"/>
      <c r="L49" s="19"/>
      <c r="M49" s="20"/>
      <c r="N49" s="28"/>
    </row>
    <row r="50" spans="1:14" s="35" customFormat="1" ht="15.75" hidden="1" customHeight="1">
      <c r="A50" s="40">
        <v>22</v>
      </c>
      <c r="B50" s="88" t="s">
        <v>36</v>
      </c>
      <c r="C50" s="89" t="s">
        <v>115</v>
      </c>
      <c r="D50" s="88" t="s">
        <v>41</v>
      </c>
      <c r="E50" s="90">
        <v>2840.99</v>
      </c>
      <c r="F50" s="91">
        <f>SUM(E50*2/1000)</f>
        <v>5.6819799999999994</v>
      </c>
      <c r="G50" s="12">
        <v>606.77</v>
      </c>
      <c r="H50" s="92">
        <f t="shared" si="8"/>
        <v>3.4476550045999992</v>
      </c>
      <c r="I50" s="12">
        <f>F50/2*G50</f>
        <v>1723.8275022999997</v>
      </c>
      <c r="J50" s="64"/>
      <c r="L50" s="19"/>
      <c r="M50" s="20"/>
      <c r="N50" s="28"/>
    </row>
    <row r="51" spans="1:14" s="35" customFormat="1" ht="15.75" hidden="1" customHeight="1">
      <c r="A51" s="40">
        <v>23</v>
      </c>
      <c r="B51" s="88" t="s">
        <v>56</v>
      </c>
      <c r="C51" s="89" t="s">
        <v>115</v>
      </c>
      <c r="D51" s="88" t="s">
        <v>146</v>
      </c>
      <c r="E51" s="90">
        <v>1652.5</v>
      </c>
      <c r="F51" s="91">
        <f>SUM(E51*5/1000)</f>
        <v>8.2624999999999993</v>
      </c>
      <c r="G51" s="12">
        <v>1213.55</v>
      </c>
      <c r="H51" s="92">
        <f t="shared" si="8"/>
        <v>10.026956874999998</v>
      </c>
      <c r="I51" s="12">
        <f>F51/5*G51</f>
        <v>2005.3913749999997</v>
      </c>
      <c r="J51" s="64"/>
      <c r="L51" s="19"/>
      <c r="M51" s="20"/>
      <c r="N51" s="28"/>
    </row>
    <row r="52" spans="1:14" s="35" customFormat="1" ht="31.5" hidden="1" customHeight="1">
      <c r="A52" s="40">
        <v>13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8"/>
        <v>4.0107827499999997</v>
      </c>
      <c r="I52" s="12">
        <f>F52/2*G52</f>
        <v>2005.3913749999999</v>
      </c>
      <c r="J52" s="64"/>
      <c r="L52" s="19"/>
      <c r="M52" s="20"/>
      <c r="N52" s="28"/>
    </row>
    <row r="53" spans="1:14" s="35" customFormat="1" ht="31.5" hidden="1" customHeight="1">
      <c r="A53" s="40">
        <v>14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8"/>
        <v>2.1843919999999999</v>
      </c>
      <c r="I53" s="12">
        <f t="shared" ref="I53:I54" si="10">F53/2*G53</f>
        <v>1092.1959999999999</v>
      </c>
      <c r="J53" s="64"/>
      <c r="L53" s="19"/>
      <c r="M53" s="20"/>
      <c r="N53" s="28"/>
    </row>
    <row r="54" spans="1:14" s="35" customFormat="1" ht="15.75" hidden="1" customHeight="1">
      <c r="A54" s="40">
        <v>15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8"/>
        <v>0.11304260000000001</v>
      </c>
      <c r="I54" s="12">
        <f t="shared" si="10"/>
        <v>56.521300000000004</v>
      </c>
      <c r="J54" s="64"/>
      <c r="L54" s="19"/>
      <c r="M54" s="20"/>
      <c r="N54" s="28"/>
    </row>
    <row r="55" spans="1:14" s="35" customFormat="1" ht="15.75" customHeight="1">
      <c r="A55" s="40">
        <v>10</v>
      </c>
      <c r="B55" s="88" t="s">
        <v>40</v>
      </c>
      <c r="C55" s="89" t="s">
        <v>124</v>
      </c>
      <c r="D55" s="88" t="s">
        <v>71</v>
      </c>
      <c r="E55" s="90">
        <v>236</v>
      </c>
      <c r="F55" s="91">
        <f>SUM(E55)*3</f>
        <v>708</v>
      </c>
      <c r="G55" s="12">
        <v>65.67</v>
      </c>
      <c r="H55" s="92">
        <f t="shared" si="8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182" t="s">
        <v>150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hidden="1" customHeight="1">
      <c r="A57" s="52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hidden="1" customHeight="1">
      <c r="A58" s="40">
        <v>16</v>
      </c>
      <c r="B58" s="88" t="s">
        <v>139</v>
      </c>
      <c r="C58" s="89" t="s">
        <v>105</v>
      </c>
      <c r="D58" s="88" t="s">
        <v>140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F58/6*G58</f>
        <v>2572.3529999999996</v>
      </c>
      <c r="J58" s="64"/>
      <c r="L58" s="19"/>
      <c r="M58" s="20"/>
      <c r="N58" s="28"/>
    </row>
    <row r="59" spans="1:14" s="35" customFormat="1" ht="15.75" hidden="1" customHeight="1">
      <c r="A59" s="40">
        <v>17</v>
      </c>
      <c r="B59" s="99" t="s">
        <v>95</v>
      </c>
      <c r="C59" s="100" t="s">
        <v>105</v>
      </c>
      <c r="D59" s="99" t="s">
        <v>140</v>
      </c>
      <c r="E59" s="101">
        <v>56</v>
      </c>
      <c r="F59" s="102">
        <f>E59*6/100</f>
        <v>3.36</v>
      </c>
      <c r="G59" s="98">
        <v>1547.28</v>
      </c>
      <c r="H59" s="103">
        <f>F59*G59/1000</f>
        <v>5.1988607999999994</v>
      </c>
      <c r="I59" s="12">
        <f>F59/6*G59</f>
        <v>866.47679999999991</v>
      </c>
      <c r="J59" s="64"/>
      <c r="L59" s="19"/>
      <c r="M59" s="20"/>
      <c r="N59" s="28"/>
    </row>
    <row r="60" spans="1:14" s="35" customFormat="1" ht="15.75" hidden="1" customHeight="1">
      <c r="A60" s="40"/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73" t="s">
        <v>43</v>
      </c>
      <c r="C61" s="73"/>
      <c r="D61" s="73"/>
      <c r="E61" s="73"/>
      <c r="F61" s="73"/>
      <c r="G61" s="73"/>
      <c r="H61" s="73"/>
      <c r="I61" s="33"/>
      <c r="J61" s="64"/>
      <c r="L61" s="19"/>
      <c r="M61" s="20"/>
      <c r="N61" s="28"/>
    </row>
    <row r="62" spans="1:14" s="35" customFormat="1" ht="15.75" customHeight="1">
      <c r="A62" s="40">
        <v>11</v>
      </c>
      <c r="B62" s="99" t="s">
        <v>96</v>
      </c>
      <c r="C62" s="100" t="s">
        <v>25</v>
      </c>
      <c r="D62" s="99" t="s">
        <v>147</v>
      </c>
      <c r="E62" s="101">
        <v>330.5</v>
      </c>
      <c r="F62" s="102">
        <v>2400</v>
      </c>
      <c r="G62" s="105">
        <v>1.2</v>
      </c>
      <c r="H62" s="103">
        <f>G62*F62/1000</f>
        <v>2.88</v>
      </c>
      <c r="I62" s="12">
        <f>F62/12*G62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hidden="1" customHeight="1">
      <c r="A64" s="40"/>
      <c r="B64" s="73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hidden="1" customHeight="1">
      <c r="A65" s="40">
        <v>12</v>
      </c>
      <c r="B65" s="14" t="s">
        <v>46</v>
      </c>
      <c r="C65" s="16" t="s">
        <v>124</v>
      </c>
      <c r="D65" s="14" t="s">
        <v>67</v>
      </c>
      <c r="E65" s="18">
        <v>10</v>
      </c>
      <c r="F65" s="91">
        <v>10</v>
      </c>
      <c r="G65" s="12">
        <v>222.4</v>
      </c>
      <c r="H65" s="81">
        <f t="shared" ref="H65:H72" si="11">SUM(F65*G65/1000)</f>
        <v>2.2240000000000002</v>
      </c>
      <c r="I65" s="12">
        <f>G65*2</f>
        <v>444.8</v>
      </c>
      <c r="J65" s="64"/>
      <c r="L65" s="19"/>
      <c r="M65" s="20"/>
      <c r="N65" s="28"/>
    </row>
    <row r="66" spans="1:22" s="35" customFormat="1" ht="15.75" hidden="1" customHeight="1"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11"/>
        <v>0.61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25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11"/>
        <v>49.360940499999998</v>
      </c>
      <c r="I67" s="12">
        <f>F67*G67</f>
        <v>49360.940499999997</v>
      </c>
      <c r="J67" s="64"/>
      <c r="L67" s="19"/>
      <c r="M67" s="20"/>
      <c r="N67" s="28"/>
    </row>
    <row r="68" spans="1:22" s="35" customFormat="1" ht="15.75" hidden="1" customHeight="1">
      <c r="A68" s="26">
        <v>26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11"/>
        <v>3.8439410700000005</v>
      </c>
      <c r="I68" s="12">
        <f t="shared" ref="I68:I71" si="12">F68*G68</f>
        <v>3843.9410700000003</v>
      </c>
      <c r="J68" s="64"/>
      <c r="L68" s="19"/>
      <c r="M68" s="20"/>
      <c r="N68" s="28"/>
    </row>
    <row r="69" spans="1:22" s="35" customFormat="1" ht="15.75" hidden="1" customHeight="1">
      <c r="A69" s="26">
        <v>27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11"/>
        <v>65.247113499999998</v>
      </c>
      <c r="I69" s="12">
        <f t="shared" si="12"/>
        <v>65247.113499999999</v>
      </c>
      <c r="J69" s="64"/>
      <c r="L69" s="19"/>
    </row>
    <row r="70" spans="1:22" s="35" customFormat="1" ht="15.75" hidden="1" customHeight="1">
      <c r="A70" s="26">
        <v>28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11"/>
        <v>0.88156220000000007</v>
      </c>
      <c r="I70" s="12">
        <f t="shared" si="12"/>
        <v>881.56220000000008</v>
      </c>
    </row>
    <row r="71" spans="1:22" s="35" customFormat="1" ht="15.75" hidden="1" customHeight="1">
      <c r="A71" s="26">
        <v>29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11"/>
        <v>0.82247460000000006</v>
      </c>
      <c r="I71" s="12">
        <f t="shared" si="12"/>
        <v>822.47460000000001</v>
      </c>
    </row>
    <row r="72" spans="1:22" s="35" customFormat="1" ht="16.5" hidden="1" customHeight="1">
      <c r="A72" s="26">
        <v>13</v>
      </c>
      <c r="B72" s="14" t="s">
        <v>57</v>
      </c>
      <c r="C72" s="16" t="s">
        <v>58</v>
      </c>
      <c r="D72" s="14" t="s">
        <v>53</v>
      </c>
      <c r="E72" s="18">
        <v>5</v>
      </c>
      <c r="F72" s="91">
        <f>SUM(E72)</f>
        <v>5</v>
      </c>
      <c r="G72" s="12">
        <v>49.88</v>
      </c>
      <c r="H72" s="81">
        <f t="shared" si="11"/>
        <v>0.24940000000000001</v>
      </c>
      <c r="I72" s="12">
        <v>0</v>
      </c>
    </row>
    <row r="73" spans="1:22" s="35" customFormat="1" ht="20.25" hidden="1" customHeight="1">
      <c r="A73" s="52"/>
      <c r="B73" s="73" t="s">
        <v>128</v>
      </c>
      <c r="C73" s="73"/>
      <c r="D73" s="73"/>
      <c r="E73" s="73"/>
      <c r="F73" s="73"/>
      <c r="G73" s="73"/>
      <c r="H73" s="73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27" hidden="1" customHeight="1">
      <c r="A74" s="26">
        <v>18</v>
      </c>
      <c r="B74" s="88" t="s">
        <v>129</v>
      </c>
      <c r="C74" s="16"/>
      <c r="D74" s="14"/>
      <c r="E74" s="77"/>
      <c r="F74" s="12">
        <v>1</v>
      </c>
      <c r="G74" s="12">
        <v>27750</v>
      </c>
      <c r="H74" s="81">
        <f>G74*F74/1000</f>
        <v>27.75</v>
      </c>
      <c r="I74" s="12">
        <f>G74</f>
        <v>27750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24.75" hidden="1" customHeight="1">
      <c r="A75" s="26"/>
      <c r="B75" s="48" t="s">
        <v>72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17.25" hidden="1" customHeight="1">
      <c r="A76" s="26">
        <v>19</v>
      </c>
      <c r="B76" s="14" t="s">
        <v>73</v>
      </c>
      <c r="C76" s="16" t="s">
        <v>31</v>
      </c>
      <c r="D76" s="14"/>
      <c r="E76" s="18">
        <v>10</v>
      </c>
      <c r="F76" s="76">
        <v>1</v>
      </c>
      <c r="G76" s="12">
        <v>501.62</v>
      </c>
      <c r="H76" s="81">
        <f>F76*G76/1000</f>
        <v>0.50161999999999995</v>
      </c>
      <c r="I76" s="12">
        <f>G76*0.2</f>
        <v>100.32400000000001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7" hidden="1" customHeight="1">
      <c r="A77" s="26">
        <v>20</v>
      </c>
      <c r="B77" s="14" t="s">
        <v>88</v>
      </c>
      <c r="C77" s="16" t="s">
        <v>30</v>
      </c>
      <c r="D77" s="14"/>
      <c r="E77" s="18">
        <v>1</v>
      </c>
      <c r="F77" s="91">
        <v>1</v>
      </c>
      <c r="G77" s="12">
        <v>358.51</v>
      </c>
      <c r="H77" s="81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172"/>
      <c r="S77" s="172"/>
      <c r="T77" s="172"/>
      <c r="U77" s="172"/>
    </row>
    <row r="78" spans="1:22" s="35" customFormat="1" ht="24" hidden="1" customHeight="1">
      <c r="A78" s="26">
        <v>20</v>
      </c>
      <c r="B78" s="14" t="s">
        <v>74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81">
        <f>F78*G78/1000</f>
        <v>0.85299000000000003</v>
      </c>
      <c r="I78" s="12">
        <v>0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2" s="35" customFormat="1" ht="22.5" hidden="1" customHeight="1">
      <c r="A79" s="26"/>
      <c r="B79" s="49" t="s">
        <v>75</v>
      </c>
      <c r="C79" s="37"/>
      <c r="D79" s="26"/>
      <c r="E79" s="18"/>
      <c r="F79" s="18"/>
      <c r="G79" s="34" t="s">
        <v>141</v>
      </c>
      <c r="H79" s="34"/>
      <c r="I79" s="18"/>
    </row>
    <row r="80" spans="1:22" s="35" customFormat="1" ht="24" hidden="1" customHeight="1">
      <c r="A80" s="26">
        <v>39</v>
      </c>
      <c r="B80" s="51" t="s">
        <v>130</v>
      </c>
      <c r="C80" s="16" t="s">
        <v>76</v>
      </c>
      <c r="D80" s="14"/>
      <c r="E80" s="18"/>
      <c r="F80" s="12">
        <v>1.35</v>
      </c>
      <c r="G80" s="12">
        <v>2759.44</v>
      </c>
      <c r="H80" s="81">
        <f t="shared" ref="H80" si="13">SUM(F80*G80/1000)</f>
        <v>3.725244</v>
      </c>
      <c r="I80" s="12">
        <v>0</v>
      </c>
    </row>
    <row r="81" spans="1:9" s="35" customFormat="1" ht="15.75" customHeight="1">
      <c r="A81" s="186" t="s">
        <v>151</v>
      </c>
      <c r="B81" s="187"/>
      <c r="C81" s="187"/>
      <c r="D81" s="187"/>
      <c r="E81" s="187"/>
      <c r="F81" s="187"/>
      <c r="G81" s="187"/>
      <c r="H81" s="187"/>
      <c r="I81" s="188"/>
    </row>
    <row r="82" spans="1:9" s="35" customFormat="1" ht="15.75" customHeight="1">
      <c r="A82" s="26">
        <v>13</v>
      </c>
      <c r="B82" s="88" t="s">
        <v>131</v>
      </c>
      <c r="C82" s="16" t="s">
        <v>54</v>
      </c>
      <c r="D82" s="109" t="s">
        <v>55</v>
      </c>
      <c r="E82" s="12">
        <v>5916.3</v>
      </c>
      <c r="F82" s="12">
        <f>SUM(E82*12)</f>
        <v>70995.600000000006</v>
      </c>
      <c r="G82" s="12">
        <v>2.1</v>
      </c>
      <c r="H82" s="81">
        <f>SUM(F82*G82/1000)</f>
        <v>149.09076000000002</v>
      </c>
      <c r="I82" s="12">
        <f>F82/12*G82</f>
        <v>12424.230000000001</v>
      </c>
    </row>
    <row r="83" spans="1:9" s="35" customFormat="1" ht="31.5" customHeight="1">
      <c r="A83" s="26">
        <v>14</v>
      </c>
      <c r="B83" s="14" t="s">
        <v>77</v>
      </c>
      <c r="C83" s="16"/>
      <c r="D83" s="109" t="s">
        <v>55</v>
      </c>
      <c r="E83" s="90">
        <v>5916.3</v>
      </c>
      <c r="F83" s="12">
        <f>E83*12</f>
        <v>70995.600000000006</v>
      </c>
      <c r="G83" s="12">
        <v>1.63</v>
      </c>
      <c r="H83" s="81">
        <f>F83*G83/1000</f>
        <v>115.72282800000001</v>
      </c>
      <c r="I83" s="12">
        <f>F83/12*G83</f>
        <v>9643.5689999999995</v>
      </c>
    </row>
    <row r="84" spans="1:9" s="35" customFormat="1" ht="15.75" customHeight="1">
      <c r="A84" s="52"/>
      <c r="B84" s="38" t="s">
        <v>80</v>
      </c>
      <c r="C84" s="40"/>
      <c r="D84" s="15"/>
      <c r="E84" s="15"/>
      <c r="F84" s="15"/>
      <c r="G84" s="18"/>
      <c r="H84" s="18"/>
      <c r="I84" s="29">
        <f>I83+I82+I62+I55+I35+I34+I32+I31+I28+I27+I18+I17+I16</f>
        <v>85998.344202888882</v>
      </c>
    </row>
    <row r="85" spans="1:9" s="35" customFormat="1" ht="15.75" customHeight="1">
      <c r="A85" s="189" t="s">
        <v>60</v>
      </c>
      <c r="B85" s="190"/>
      <c r="C85" s="190"/>
      <c r="D85" s="190"/>
      <c r="E85" s="190"/>
      <c r="F85" s="190"/>
      <c r="G85" s="190"/>
      <c r="H85" s="190"/>
      <c r="I85" s="191"/>
    </row>
    <row r="86" spans="1:9" s="35" customFormat="1" ht="15.75" customHeight="1">
      <c r="A86" s="26">
        <v>15</v>
      </c>
      <c r="B86" s="60" t="s">
        <v>174</v>
      </c>
      <c r="C86" s="61" t="s">
        <v>175</v>
      </c>
      <c r="D86" s="14"/>
      <c r="E86" s="18"/>
      <c r="F86" s="12">
        <f>(3+3+3+15+10+10+10+15+10+3+10+10+15+5)/3</f>
        <v>40.666666666666664</v>
      </c>
      <c r="G86" s="34">
        <v>134.12</v>
      </c>
      <c r="H86" s="81">
        <f t="shared" ref="H86:H87" si="14">G86*F86/1000</f>
        <v>5.4542133333333336</v>
      </c>
      <c r="I86" s="12">
        <f>G86*15</f>
        <v>2011.8000000000002</v>
      </c>
    </row>
    <row r="87" spans="1:9" s="35" customFormat="1" ht="36" customHeight="1">
      <c r="A87" s="26">
        <v>16</v>
      </c>
      <c r="B87" s="57" t="s">
        <v>164</v>
      </c>
      <c r="C87" s="59" t="s">
        <v>37</v>
      </c>
      <c r="D87" s="14"/>
      <c r="E87" s="18"/>
      <c r="F87" s="12">
        <v>8</v>
      </c>
      <c r="G87" s="34">
        <v>3724.37</v>
      </c>
      <c r="H87" s="81">
        <f t="shared" si="14"/>
        <v>29.79496</v>
      </c>
      <c r="I87" s="12">
        <f>G87*0.02</f>
        <v>74.487399999999994</v>
      </c>
    </row>
    <row r="88" spans="1:9" s="35" customFormat="1" ht="31.5" customHeight="1">
      <c r="A88" s="31">
        <v>17</v>
      </c>
      <c r="B88" s="57" t="s">
        <v>202</v>
      </c>
      <c r="C88" s="59" t="s">
        <v>124</v>
      </c>
      <c r="D88" s="51"/>
      <c r="E88" s="12"/>
      <c r="F88" s="12">
        <v>6</v>
      </c>
      <c r="G88" s="34">
        <v>2012.33</v>
      </c>
      <c r="H88" s="81">
        <f>G88*F88/1000</f>
        <v>12.073979999999999</v>
      </c>
      <c r="I88" s="12">
        <f>G88*1</f>
        <v>2012.33</v>
      </c>
    </row>
    <row r="89" spans="1:9" s="35" customFormat="1" ht="17.25" customHeight="1">
      <c r="A89" s="26">
        <v>18</v>
      </c>
      <c r="B89" s="57" t="s">
        <v>203</v>
      </c>
      <c r="C89" s="59" t="s">
        <v>84</v>
      </c>
      <c r="D89" s="51"/>
      <c r="E89" s="34"/>
      <c r="F89" s="34">
        <v>0.06</v>
      </c>
      <c r="G89" s="34">
        <v>203.68</v>
      </c>
      <c r="H89" s="111">
        <f>G89*F89/1000</f>
        <v>1.22208E-2</v>
      </c>
      <c r="I89" s="12">
        <f>G89*1</f>
        <v>203.68</v>
      </c>
    </row>
    <row r="90" spans="1:9" s="35" customFormat="1" ht="17.25" customHeight="1">
      <c r="A90" s="26">
        <v>19</v>
      </c>
      <c r="B90" s="57" t="s">
        <v>82</v>
      </c>
      <c r="C90" s="59" t="s">
        <v>30</v>
      </c>
      <c r="D90" s="51"/>
      <c r="E90" s="34"/>
      <c r="F90" s="34"/>
      <c r="G90" s="34">
        <v>197.48</v>
      </c>
      <c r="H90" s="111"/>
      <c r="I90" s="12">
        <f>G90*1</f>
        <v>197.48</v>
      </c>
    </row>
    <row r="91" spans="1:9" s="35" customFormat="1" ht="15.75" customHeight="1">
      <c r="A91" s="26"/>
      <c r="B91" s="45" t="s">
        <v>51</v>
      </c>
      <c r="C91" s="41"/>
      <c r="D91" s="53"/>
      <c r="E91" s="41">
        <v>1</v>
      </c>
      <c r="F91" s="41"/>
      <c r="G91" s="41"/>
      <c r="H91" s="41"/>
      <c r="I91" s="29">
        <f>SUM(I86:I90)</f>
        <v>4499.7773999999999</v>
      </c>
    </row>
    <row r="92" spans="1:9" s="35" customFormat="1" ht="15.75" customHeight="1">
      <c r="A92" s="26"/>
      <c r="B92" s="51" t="s">
        <v>78</v>
      </c>
      <c r="C92" s="15"/>
      <c r="D92" s="15"/>
      <c r="E92" s="42"/>
      <c r="F92" s="42"/>
      <c r="G92" s="43"/>
      <c r="H92" s="43"/>
      <c r="I92" s="17">
        <v>0</v>
      </c>
    </row>
    <row r="93" spans="1:9" s="35" customFormat="1" ht="15.75" customHeight="1">
      <c r="A93" s="54"/>
      <c r="B93" s="46" t="s">
        <v>152</v>
      </c>
      <c r="C93" s="32"/>
      <c r="D93" s="32"/>
      <c r="E93" s="32"/>
      <c r="F93" s="32"/>
      <c r="G93" s="32"/>
      <c r="H93" s="32"/>
      <c r="I93" s="44">
        <f>I84+I91</f>
        <v>90498.121602888888</v>
      </c>
    </row>
    <row r="94" spans="1:9" ht="15.75" customHeight="1">
      <c r="A94" s="173" t="s">
        <v>286</v>
      </c>
      <c r="B94" s="173"/>
      <c r="C94" s="173"/>
      <c r="D94" s="173"/>
      <c r="E94" s="173"/>
      <c r="F94" s="173"/>
      <c r="G94" s="173"/>
      <c r="H94" s="173"/>
      <c r="I94" s="173"/>
    </row>
    <row r="95" spans="1:9" ht="15.75" customHeight="1">
      <c r="A95" s="75"/>
      <c r="B95" s="197" t="s">
        <v>287</v>
      </c>
      <c r="C95" s="197"/>
      <c r="D95" s="197"/>
      <c r="E95" s="197"/>
      <c r="F95" s="197"/>
      <c r="G95" s="197"/>
      <c r="H95" s="80"/>
      <c r="I95" s="3"/>
    </row>
    <row r="96" spans="1:9" ht="15.75" customHeight="1">
      <c r="A96" s="69"/>
      <c r="B96" s="193" t="s">
        <v>6</v>
      </c>
      <c r="C96" s="193"/>
      <c r="D96" s="193"/>
      <c r="E96" s="193"/>
      <c r="F96" s="193"/>
      <c r="G96" s="193"/>
      <c r="H96" s="21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198" t="s">
        <v>7</v>
      </c>
      <c r="B98" s="198"/>
      <c r="C98" s="198"/>
      <c r="D98" s="198"/>
      <c r="E98" s="198"/>
      <c r="F98" s="198"/>
      <c r="G98" s="198"/>
      <c r="H98" s="198"/>
      <c r="I98" s="198"/>
    </row>
    <row r="99" spans="1:9" ht="15.75" customHeight="1">
      <c r="A99" s="198" t="s">
        <v>8</v>
      </c>
      <c r="B99" s="198"/>
      <c r="C99" s="198"/>
      <c r="D99" s="198"/>
      <c r="E99" s="198"/>
      <c r="F99" s="198"/>
      <c r="G99" s="198"/>
      <c r="H99" s="198"/>
      <c r="I99" s="198"/>
    </row>
    <row r="100" spans="1:9" ht="15.75" customHeight="1">
      <c r="A100" s="199" t="s">
        <v>61</v>
      </c>
      <c r="B100" s="199"/>
      <c r="C100" s="199"/>
      <c r="D100" s="199"/>
      <c r="E100" s="199"/>
      <c r="F100" s="199"/>
      <c r="G100" s="199"/>
      <c r="H100" s="199"/>
      <c r="I100" s="199"/>
    </row>
    <row r="101" spans="1:9" ht="15.75" customHeight="1">
      <c r="A101" s="10"/>
    </row>
    <row r="102" spans="1:9" ht="15.75" customHeight="1">
      <c r="A102" s="180" t="s">
        <v>9</v>
      </c>
      <c r="B102" s="180"/>
      <c r="C102" s="180"/>
      <c r="D102" s="180"/>
      <c r="E102" s="180"/>
      <c r="F102" s="180"/>
      <c r="G102" s="180"/>
      <c r="H102" s="180"/>
      <c r="I102" s="180"/>
    </row>
    <row r="103" spans="1:9" ht="15.75" customHeight="1">
      <c r="A103" s="4"/>
    </row>
    <row r="104" spans="1:9" ht="15.75" customHeight="1">
      <c r="B104" s="74" t="s">
        <v>10</v>
      </c>
      <c r="C104" s="192" t="s">
        <v>90</v>
      </c>
      <c r="D104" s="192"/>
      <c r="E104" s="192"/>
      <c r="F104" s="78"/>
      <c r="I104" s="71"/>
    </row>
    <row r="105" spans="1:9" ht="15.75" customHeight="1">
      <c r="A105" s="69"/>
      <c r="C105" s="193" t="s">
        <v>11</v>
      </c>
      <c r="D105" s="193"/>
      <c r="E105" s="193"/>
      <c r="F105" s="21"/>
      <c r="I105" s="70" t="s">
        <v>12</v>
      </c>
    </row>
    <row r="106" spans="1:9" ht="15.75" customHeight="1">
      <c r="A106" s="22"/>
      <c r="C106" s="11"/>
      <c r="D106" s="11"/>
      <c r="G106" s="11"/>
      <c r="H106" s="11"/>
    </row>
    <row r="107" spans="1:9" ht="15.75" customHeight="1">
      <c r="B107" s="74" t="s">
        <v>13</v>
      </c>
      <c r="C107" s="194"/>
      <c r="D107" s="194"/>
      <c r="E107" s="194"/>
      <c r="F107" s="79"/>
      <c r="I107" s="71"/>
    </row>
    <row r="108" spans="1:9" ht="15.75" customHeight="1">
      <c r="A108" s="69"/>
      <c r="C108" s="195" t="s">
        <v>11</v>
      </c>
      <c r="D108" s="195"/>
      <c r="E108" s="195"/>
      <c r="F108" s="69"/>
      <c r="I108" s="70" t="s">
        <v>12</v>
      </c>
    </row>
    <row r="109" spans="1:9" ht="15.75" customHeight="1">
      <c r="A109" s="4" t="s">
        <v>14</v>
      </c>
    </row>
    <row r="110" spans="1:9">
      <c r="A110" s="196" t="s">
        <v>15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45" customHeight="1">
      <c r="A111" s="185" t="s">
        <v>16</v>
      </c>
      <c r="B111" s="185"/>
      <c r="C111" s="185"/>
      <c r="D111" s="185"/>
      <c r="E111" s="185"/>
      <c r="F111" s="185"/>
      <c r="G111" s="185"/>
      <c r="H111" s="185"/>
      <c r="I111" s="185"/>
    </row>
    <row r="112" spans="1:9" ht="30" customHeight="1">
      <c r="A112" s="185" t="s">
        <v>17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30" customHeight="1">
      <c r="A113" s="185" t="s">
        <v>21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14.25" customHeight="1">
      <c r="A114" s="185" t="s">
        <v>20</v>
      </c>
      <c r="B114" s="185"/>
      <c r="C114" s="185"/>
      <c r="D114" s="185"/>
      <c r="E114" s="185"/>
      <c r="F114" s="185"/>
      <c r="G114" s="185"/>
      <c r="H114" s="185"/>
      <c r="I114" s="185"/>
    </row>
  </sheetData>
  <autoFilter ref="I12:I71"/>
  <mergeCells count="29">
    <mergeCell ref="A110:I110"/>
    <mergeCell ref="A111:I111"/>
    <mergeCell ref="A112:I112"/>
    <mergeCell ref="A113:I113"/>
    <mergeCell ref="A114:I114"/>
    <mergeCell ref="R77:U77"/>
    <mergeCell ref="C108:E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view="pageBreakPreview" topLeftCell="A90" zoomScale="60" workbookViewId="0">
      <selection activeCell="I95" sqref="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207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166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206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72"/>
      <c r="C6" s="72"/>
      <c r="D6" s="72"/>
      <c r="E6" s="72"/>
      <c r="F6" s="72"/>
      <c r="G6" s="72"/>
      <c r="H6" s="72"/>
      <c r="I6" s="27">
        <v>43312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208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90">
        <v>169.2</v>
      </c>
      <c r="F16" s="91">
        <f>SUM(E16*156/100)</f>
        <v>263.952</v>
      </c>
      <c r="G16" s="91">
        <v>175.38</v>
      </c>
      <c r="H16" s="92">
        <f t="shared" ref="H16:H26" si="0">SUM(F16*G16/1000)</f>
        <v>46.291901760000002</v>
      </c>
      <c r="I16" s="12">
        <f>F16/12*G16</f>
        <v>3857.6584799999996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90">
        <v>676.6</v>
      </c>
      <c r="F17" s="91">
        <f>SUM(E17*104/100)</f>
        <v>703.6640000000001</v>
      </c>
      <c r="G17" s="91">
        <v>175.38</v>
      </c>
      <c r="H17" s="92">
        <f t="shared" si="0"/>
        <v>123.40859232000001</v>
      </c>
      <c r="I17" s="12">
        <f>F17/12*G17</f>
        <v>10284.049360000001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90">
        <f>SUM(E16+E17)</f>
        <v>845.8</v>
      </c>
      <c r="F18" s="91">
        <f>SUM(E18*24/100)</f>
        <v>202.99199999999996</v>
      </c>
      <c r="G18" s="91">
        <v>504.5</v>
      </c>
      <c r="H18" s="92">
        <f t="shared" si="0"/>
        <v>102.40946399999997</v>
      </c>
      <c r="I18" s="12">
        <f>F18/12*G18</f>
        <v>8534.1219999999976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88" t="s">
        <v>64</v>
      </c>
      <c r="C27" s="89" t="s">
        <v>33</v>
      </c>
      <c r="D27" s="88"/>
      <c r="E27" s="90">
        <v>0.1</v>
      </c>
      <c r="F27" s="91">
        <f>SUM(E27*365)</f>
        <v>36.5</v>
      </c>
      <c r="G27" s="91">
        <v>147.03</v>
      </c>
      <c r="H27" s="92">
        <f t="shared" ref="H27:H28" si="2">SUM(F27*G27/1000)</f>
        <v>5.3665950000000002</v>
      </c>
      <c r="I27" s="12">
        <f>F27/12*G27</f>
        <v>447.21625</v>
      </c>
      <c r="J27" s="63"/>
      <c r="K27" s="62"/>
      <c r="L27" s="62"/>
      <c r="M27" s="62"/>
    </row>
    <row r="28" spans="1:13" s="35" customFormat="1" ht="15.75" customHeight="1">
      <c r="A28" s="26">
        <v>5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2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customHeight="1">
      <c r="A31" s="40">
        <v>6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3">SUM(F31*G31/1000)</f>
        <v>7.2964626280000004</v>
      </c>
      <c r="I31" s="12">
        <f>F31/6*G31</f>
        <v>1216.0771046666666</v>
      </c>
      <c r="J31" s="63"/>
      <c r="K31" s="62"/>
      <c r="L31" s="62"/>
      <c r="M31" s="62"/>
    </row>
    <row r="32" spans="1:13" s="35" customFormat="1" ht="31.5" customHeight="1">
      <c r="A32" s="40">
        <v>7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3"/>
        <v>5.8381067159999995</v>
      </c>
      <c r="I32" s="12">
        <f t="shared" ref="I32:I35" si="4">F32/6*G32</f>
        <v>973.01778599999989</v>
      </c>
      <c r="J32" s="63"/>
      <c r="K32" s="62"/>
      <c r="L32" s="62"/>
      <c r="M32" s="62"/>
    </row>
    <row r="33" spans="1:14" s="35" customFormat="1" ht="15.75" hidden="1" customHeight="1">
      <c r="A33" s="40">
        <v>16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3"/>
        <v>2.7185990329999998</v>
      </c>
      <c r="I33" s="12">
        <f>F33*G33</f>
        <v>2718.599033</v>
      </c>
      <c r="J33" s="63"/>
      <c r="K33" s="62"/>
      <c r="L33" s="62"/>
      <c r="M33" s="62"/>
    </row>
    <row r="34" spans="1:14" s="35" customFormat="1" ht="15.75" customHeight="1">
      <c r="A34" s="40">
        <v>8</v>
      </c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f t="shared" si="4"/>
        <v>2690.8413333333338</v>
      </c>
      <c r="J34" s="63"/>
      <c r="K34" s="62"/>
      <c r="L34" s="62"/>
      <c r="M34" s="62"/>
    </row>
    <row r="35" spans="1:14" s="35" customFormat="1" ht="15.75" customHeight="1">
      <c r="A35" s="40">
        <v>9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f t="shared" si="4"/>
        <v>488.16388888888883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5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5"/>
        <v>2.27264</v>
      </c>
      <c r="I37" s="12">
        <v>0</v>
      </c>
      <c r="J37" s="64"/>
    </row>
    <row r="38" spans="1:14" s="35" customFormat="1" ht="15.75" hidden="1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hidden="1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6">SUM(F39*G39/1000)</f>
        <v>15.272200000000002</v>
      </c>
      <c r="I39" s="12">
        <f t="shared" ref="I39:I45" si="7">F39/6*G39</f>
        <v>2545.3666666666668</v>
      </c>
      <c r="J39" s="64"/>
    </row>
    <row r="40" spans="1:14" s="35" customFormat="1" ht="15.75" hidden="1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6"/>
        <v>15.997417679999998</v>
      </c>
      <c r="I40" s="12">
        <f t="shared" si="7"/>
        <v>2666.2362800000001</v>
      </c>
      <c r="J40" s="64"/>
    </row>
    <row r="41" spans="1:14" s="35" customFormat="1" ht="15.75" hidden="1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6"/>
        <v>18.255728220000002</v>
      </c>
      <c r="I41" s="12">
        <f t="shared" si="7"/>
        <v>3042.6213700000003</v>
      </c>
      <c r="J41" s="64"/>
    </row>
    <row r="42" spans="1:14" s="35" customFormat="1" ht="15.75" hidden="1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6"/>
        <v>15.73359275</v>
      </c>
      <c r="I42" s="12">
        <f t="shared" si="7"/>
        <v>2622.2654583333333</v>
      </c>
      <c r="J42" s="64"/>
    </row>
    <row r="43" spans="1:14" s="35" customFormat="1" ht="47.25" hidden="1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6"/>
        <v>15.04210176</v>
      </c>
      <c r="I43" s="12">
        <f t="shared" si="7"/>
        <v>2507.0169599999999</v>
      </c>
      <c r="J43" s="64"/>
    </row>
    <row r="44" spans="1:14" s="35" customFormat="1" ht="15.75" hidden="1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6"/>
        <v>2.5927775999999998</v>
      </c>
      <c r="I44" s="12">
        <f t="shared" si="7"/>
        <v>432.12959999999998</v>
      </c>
      <c r="J44" s="64"/>
      <c r="L44" s="19"/>
      <c r="M44" s="20"/>
      <c r="N44" s="28"/>
    </row>
    <row r="45" spans="1:14" s="35" customFormat="1" ht="15.75" hidden="1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6"/>
        <v>0.71820000000000006</v>
      </c>
      <c r="I45" s="12">
        <f t="shared" si="7"/>
        <v>119.69999999999999</v>
      </c>
      <c r="J45" s="64"/>
      <c r="L45" s="19"/>
      <c r="M45" s="20"/>
      <c r="N45" s="28"/>
    </row>
    <row r="46" spans="1:14" s="35" customFormat="1" ht="15.75" hidden="1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hidden="1" customHeight="1">
      <c r="A47" s="40">
        <v>19</v>
      </c>
      <c r="B47" s="88" t="s">
        <v>121</v>
      </c>
      <c r="C47" s="89" t="s">
        <v>115</v>
      </c>
      <c r="D47" s="88" t="s">
        <v>41</v>
      </c>
      <c r="E47" s="90">
        <v>1662.5</v>
      </c>
      <c r="F47" s="91">
        <f>SUM(E47*2/1000)</f>
        <v>3.3250000000000002</v>
      </c>
      <c r="G47" s="12">
        <v>849.49</v>
      </c>
      <c r="H47" s="92">
        <f t="shared" ref="H47:H55" si="8">SUM(F47*G47/1000)</f>
        <v>2.8245542500000003</v>
      </c>
      <c r="I47" s="12">
        <f t="shared" ref="I47:I49" si="9">F47/2*G47</f>
        <v>1412.2771250000001</v>
      </c>
      <c r="J47" s="64"/>
      <c r="L47" s="19"/>
      <c r="M47" s="20"/>
      <c r="N47" s="28"/>
    </row>
    <row r="48" spans="1:14" s="35" customFormat="1" ht="15.75" hidden="1" customHeight="1">
      <c r="A48" s="40">
        <v>20</v>
      </c>
      <c r="B48" s="88" t="s">
        <v>34</v>
      </c>
      <c r="C48" s="89" t="s">
        <v>115</v>
      </c>
      <c r="D48" s="88" t="s">
        <v>41</v>
      </c>
      <c r="E48" s="90">
        <v>92.8</v>
      </c>
      <c r="F48" s="91">
        <f>SUM(E48*2/1000)</f>
        <v>0.18559999999999999</v>
      </c>
      <c r="G48" s="12">
        <v>579.48</v>
      </c>
      <c r="H48" s="92">
        <f t="shared" si="8"/>
        <v>0.10755148799999999</v>
      </c>
      <c r="I48" s="12">
        <f t="shared" si="9"/>
        <v>53.775743999999996</v>
      </c>
      <c r="J48" s="64"/>
      <c r="L48" s="19"/>
      <c r="M48" s="20"/>
      <c r="N48" s="28"/>
    </row>
    <row r="49" spans="1:14" s="35" customFormat="1" ht="15.75" hidden="1" customHeight="1">
      <c r="A49" s="40">
        <v>21</v>
      </c>
      <c r="B49" s="88" t="s">
        <v>35</v>
      </c>
      <c r="C49" s="89" t="s">
        <v>115</v>
      </c>
      <c r="D49" s="88" t="s">
        <v>41</v>
      </c>
      <c r="E49" s="90">
        <v>4750.7</v>
      </c>
      <c r="F49" s="91">
        <f>SUM(E49*2/1000)</f>
        <v>9.5014000000000003</v>
      </c>
      <c r="G49" s="12">
        <v>579.48</v>
      </c>
      <c r="H49" s="92">
        <f t="shared" si="8"/>
        <v>5.5058712720000003</v>
      </c>
      <c r="I49" s="12">
        <f t="shared" si="9"/>
        <v>2752.9356360000002</v>
      </c>
      <c r="J49" s="64"/>
      <c r="L49" s="19"/>
      <c r="M49" s="20"/>
      <c r="N49" s="28"/>
    </row>
    <row r="50" spans="1:14" s="35" customFormat="1" ht="15.75" hidden="1" customHeight="1">
      <c r="A50" s="40">
        <v>22</v>
      </c>
      <c r="B50" s="88" t="s">
        <v>36</v>
      </c>
      <c r="C50" s="89" t="s">
        <v>115</v>
      </c>
      <c r="D50" s="88" t="s">
        <v>41</v>
      </c>
      <c r="E50" s="90">
        <v>2840.99</v>
      </c>
      <c r="F50" s="91">
        <f>SUM(E50*2/1000)</f>
        <v>5.6819799999999994</v>
      </c>
      <c r="G50" s="12">
        <v>606.77</v>
      </c>
      <c r="H50" s="92">
        <f t="shared" si="8"/>
        <v>3.4476550045999992</v>
      </c>
      <c r="I50" s="12">
        <f>F50/2*G50</f>
        <v>1723.8275022999997</v>
      </c>
      <c r="J50" s="64"/>
      <c r="L50" s="19"/>
      <c r="M50" s="20"/>
      <c r="N50" s="28"/>
    </row>
    <row r="51" spans="1:14" s="35" customFormat="1" ht="15.75" hidden="1" customHeight="1">
      <c r="A51" s="40">
        <v>23</v>
      </c>
      <c r="B51" s="88" t="s">
        <v>56</v>
      </c>
      <c r="C51" s="89" t="s">
        <v>115</v>
      </c>
      <c r="D51" s="88" t="s">
        <v>146</v>
      </c>
      <c r="E51" s="90">
        <v>1652.5</v>
      </c>
      <c r="F51" s="91">
        <f>SUM(E51*5/1000)</f>
        <v>8.2624999999999993</v>
      </c>
      <c r="G51" s="12">
        <v>1213.55</v>
      </c>
      <c r="H51" s="92">
        <f t="shared" si="8"/>
        <v>10.026956874999998</v>
      </c>
      <c r="I51" s="12">
        <f>F51/5*G51</f>
        <v>2005.3913749999997</v>
      </c>
      <c r="J51" s="64"/>
      <c r="L51" s="19"/>
      <c r="M51" s="20"/>
      <c r="N51" s="28"/>
    </row>
    <row r="52" spans="1:14" s="35" customFormat="1" ht="31.5" hidden="1" customHeight="1">
      <c r="A52" s="40">
        <v>13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8"/>
        <v>4.0107827499999997</v>
      </c>
      <c r="I52" s="12">
        <f>F52/2*G52</f>
        <v>2005.3913749999999</v>
      </c>
      <c r="J52" s="64"/>
      <c r="L52" s="19"/>
      <c r="M52" s="20"/>
      <c r="N52" s="28"/>
    </row>
    <row r="53" spans="1:14" s="35" customFormat="1" ht="31.5" hidden="1" customHeight="1">
      <c r="A53" s="40">
        <v>14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8"/>
        <v>2.1843919999999999</v>
      </c>
      <c r="I53" s="12">
        <f t="shared" ref="I53:I54" si="10">F53/2*G53</f>
        <v>1092.1959999999999</v>
      </c>
      <c r="J53" s="64"/>
      <c r="L53" s="19"/>
      <c r="M53" s="20"/>
      <c r="N53" s="28"/>
    </row>
    <row r="54" spans="1:14" s="35" customFormat="1" ht="15.75" hidden="1" customHeight="1">
      <c r="A54" s="40">
        <v>15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8"/>
        <v>0.11304260000000001</v>
      </c>
      <c r="I54" s="12">
        <f t="shared" si="10"/>
        <v>56.521300000000004</v>
      </c>
      <c r="J54" s="64"/>
      <c r="L54" s="19"/>
      <c r="M54" s="20"/>
      <c r="N54" s="28"/>
    </row>
    <row r="55" spans="1:14" s="35" customFormat="1" ht="15.75" hidden="1" customHeight="1">
      <c r="A55" s="40">
        <v>10</v>
      </c>
      <c r="B55" s="88" t="s">
        <v>40</v>
      </c>
      <c r="C55" s="89" t="s">
        <v>124</v>
      </c>
      <c r="D55" s="88" t="s">
        <v>71</v>
      </c>
      <c r="E55" s="90">
        <v>236</v>
      </c>
      <c r="F55" s="91">
        <f>SUM(E55)*3</f>
        <v>708</v>
      </c>
      <c r="G55" s="12">
        <v>65.67</v>
      </c>
      <c r="H55" s="92">
        <f t="shared" si="8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182" t="s">
        <v>156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hidden="1" customHeight="1">
      <c r="A57" s="52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hidden="1" customHeight="1">
      <c r="A58" s="40">
        <v>16</v>
      </c>
      <c r="B58" s="88" t="s">
        <v>139</v>
      </c>
      <c r="C58" s="89" t="s">
        <v>105</v>
      </c>
      <c r="D58" s="88" t="s">
        <v>140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F58/6*G58</f>
        <v>2572.3529999999996</v>
      </c>
      <c r="J58" s="64"/>
      <c r="L58" s="19"/>
      <c r="M58" s="20"/>
      <c r="N58" s="28"/>
    </row>
    <row r="59" spans="1:14" s="35" customFormat="1" ht="15.75" hidden="1" customHeight="1">
      <c r="A59" s="40">
        <v>17</v>
      </c>
      <c r="B59" s="99" t="s">
        <v>95</v>
      </c>
      <c r="C59" s="100" t="s">
        <v>105</v>
      </c>
      <c r="D59" s="99" t="s">
        <v>140</v>
      </c>
      <c r="E59" s="101">
        <v>56</v>
      </c>
      <c r="F59" s="102">
        <f>E59*6/100</f>
        <v>3.36</v>
      </c>
      <c r="G59" s="98">
        <v>1547.28</v>
      </c>
      <c r="H59" s="103">
        <f>F59*G59/1000</f>
        <v>5.1988607999999994</v>
      </c>
      <c r="I59" s="12">
        <f>F59/6*G59</f>
        <v>866.47679999999991</v>
      </c>
      <c r="J59" s="64"/>
      <c r="L59" s="19"/>
      <c r="M59" s="20"/>
      <c r="N59" s="28"/>
    </row>
    <row r="60" spans="1:14" s="35" customFormat="1" ht="15.75" hidden="1" customHeight="1">
      <c r="A60" s="40"/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73" t="s">
        <v>43</v>
      </c>
      <c r="C61" s="73"/>
      <c r="D61" s="73"/>
      <c r="E61" s="73"/>
      <c r="F61" s="73"/>
      <c r="G61" s="73"/>
      <c r="H61" s="73"/>
      <c r="I61" s="33"/>
      <c r="J61" s="64"/>
      <c r="L61" s="19"/>
      <c r="M61" s="20"/>
      <c r="N61" s="28"/>
    </row>
    <row r="62" spans="1:14" s="35" customFormat="1" ht="15.75" customHeight="1">
      <c r="A62" s="40">
        <v>10</v>
      </c>
      <c r="B62" s="99" t="s">
        <v>96</v>
      </c>
      <c r="C62" s="100" t="s">
        <v>25</v>
      </c>
      <c r="D62" s="99" t="s">
        <v>147</v>
      </c>
      <c r="E62" s="101">
        <v>330.5</v>
      </c>
      <c r="F62" s="102">
        <v>2400</v>
      </c>
      <c r="G62" s="105">
        <v>1.2</v>
      </c>
      <c r="H62" s="103">
        <f>G62*F62/1000</f>
        <v>2.88</v>
      </c>
      <c r="I62" s="12">
        <f>F62/12*G62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customHeight="1">
      <c r="A64" s="40"/>
      <c r="B64" s="73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customHeight="1">
      <c r="A65" s="40">
        <v>11</v>
      </c>
      <c r="B65" s="14" t="s">
        <v>46</v>
      </c>
      <c r="C65" s="16" t="s">
        <v>124</v>
      </c>
      <c r="D65" s="14" t="s">
        <v>67</v>
      </c>
      <c r="E65" s="18">
        <v>10</v>
      </c>
      <c r="F65" s="91">
        <v>10</v>
      </c>
      <c r="G65" s="12">
        <v>222.4</v>
      </c>
      <c r="H65" s="81">
        <f t="shared" ref="H65:H72" si="11">SUM(F65*G65/1000)</f>
        <v>2.2240000000000002</v>
      </c>
      <c r="I65" s="12">
        <f>G65*1</f>
        <v>222.4</v>
      </c>
      <c r="J65" s="64"/>
      <c r="L65" s="19"/>
      <c r="M65" s="20"/>
      <c r="N65" s="28"/>
    </row>
    <row r="66" spans="1:22" s="35" customFormat="1" ht="15.75" hidden="1" customHeight="1"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11"/>
        <v>0.61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25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11"/>
        <v>49.360940499999998</v>
      </c>
      <c r="I67" s="12">
        <f>F67*G67</f>
        <v>49360.940499999997</v>
      </c>
      <c r="J67" s="64"/>
      <c r="L67" s="19"/>
      <c r="M67" s="20"/>
      <c r="N67" s="28"/>
    </row>
    <row r="68" spans="1:22" s="35" customFormat="1" ht="15.75" hidden="1" customHeight="1">
      <c r="A68" s="26">
        <v>26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11"/>
        <v>3.8439410700000005</v>
      </c>
      <c r="I68" s="12">
        <f t="shared" ref="I68:I71" si="12">F68*G68</f>
        <v>3843.9410700000003</v>
      </c>
      <c r="J68" s="64"/>
      <c r="L68" s="19"/>
      <c r="M68" s="20"/>
      <c r="N68" s="28"/>
    </row>
    <row r="69" spans="1:22" s="35" customFormat="1" ht="15.75" hidden="1" customHeight="1">
      <c r="A69" s="26">
        <v>27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11"/>
        <v>65.247113499999998</v>
      </c>
      <c r="I69" s="12">
        <f t="shared" si="12"/>
        <v>65247.113499999999</v>
      </c>
      <c r="J69" s="64"/>
      <c r="L69" s="19"/>
    </row>
    <row r="70" spans="1:22" s="35" customFormat="1" ht="15.75" hidden="1" customHeight="1">
      <c r="A70" s="26">
        <v>28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11"/>
        <v>0.88156220000000007</v>
      </c>
      <c r="I70" s="12">
        <f t="shared" si="12"/>
        <v>881.56220000000008</v>
      </c>
    </row>
    <row r="71" spans="1:22" s="35" customFormat="1" ht="15.75" hidden="1" customHeight="1">
      <c r="A71" s="26">
        <v>29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11"/>
        <v>0.82247460000000006</v>
      </c>
      <c r="I71" s="12">
        <f t="shared" si="12"/>
        <v>822.47460000000001</v>
      </c>
    </row>
    <row r="72" spans="1:22" s="35" customFormat="1" ht="22.5" hidden="1" customHeight="1">
      <c r="A72" s="26">
        <v>13</v>
      </c>
      <c r="B72" s="14" t="s">
        <v>57</v>
      </c>
      <c r="C72" s="16" t="s">
        <v>58</v>
      </c>
      <c r="D72" s="14" t="s">
        <v>53</v>
      </c>
      <c r="E72" s="18">
        <v>5</v>
      </c>
      <c r="F72" s="91">
        <f>SUM(E72)</f>
        <v>5</v>
      </c>
      <c r="G72" s="12">
        <v>49.88</v>
      </c>
      <c r="H72" s="81">
        <f t="shared" si="11"/>
        <v>0.24940000000000001</v>
      </c>
      <c r="I72" s="12">
        <v>0</v>
      </c>
    </row>
    <row r="73" spans="1:22" s="35" customFormat="1" ht="12" hidden="1" customHeight="1">
      <c r="A73" s="52"/>
      <c r="B73" s="73" t="s">
        <v>128</v>
      </c>
      <c r="C73" s="73"/>
      <c r="D73" s="73"/>
      <c r="E73" s="73"/>
      <c r="F73" s="73"/>
      <c r="G73" s="73"/>
      <c r="H73" s="73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15.75" hidden="1" customHeight="1">
      <c r="A74" s="26">
        <v>18</v>
      </c>
      <c r="B74" s="88" t="s">
        <v>129</v>
      </c>
      <c r="C74" s="16"/>
      <c r="D74" s="14"/>
      <c r="E74" s="77"/>
      <c r="F74" s="12">
        <v>1</v>
      </c>
      <c r="G74" s="12">
        <v>27750</v>
      </c>
      <c r="H74" s="81">
        <f>G74*F74/1000</f>
        <v>27.75</v>
      </c>
      <c r="I74" s="12">
        <f>G74</f>
        <v>27750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4.25" customHeight="1">
      <c r="A75" s="26"/>
      <c r="B75" s="48" t="s">
        <v>72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22.5" customHeight="1">
      <c r="A76" s="26">
        <v>12</v>
      </c>
      <c r="B76" s="14" t="s">
        <v>73</v>
      </c>
      <c r="C76" s="16" t="s">
        <v>31</v>
      </c>
      <c r="D76" s="14"/>
      <c r="E76" s="18">
        <v>10</v>
      </c>
      <c r="F76" s="76">
        <v>1</v>
      </c>
      <c r="G76" s="12">
        <v>501.62</v>
      </c>
      <c r="H76" s="81">
        <f>F76*G76/1000</f>
        <v>0.50161999999999995</v>
      </c>
      <c r="I76" s="12">
        <f>G76*0.4</f>
        <v>200.64800000000002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3.25" hidden="1" customHeight="1">
      <c r="A77" s="26">
        <v>20</v>
      </c>
      <c r="B77" s="14" t="s">
        <v>88</v>
      </c>
      <c r="C77" s="16" t="s">
        <v>30</v>
      </c>
      <c r="D77" s="14"/>
      <c r="E77" s="18">
        <v>1</v>
      </c>
      <c r="F77" s="91">
        <v>1</v>
      </c>
      <c r="G77" s="12">
        <v>358.51</v>
      </c>
      <c r="H77" s="81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172"/>
      <c r="S77" s="172"/>
      <c r="T77" s="172"/>
      <c r="U77" s="172"/>
    </row>
    <row r="78" spans="1:22" s="35" customFormat="1" ht="24" hidden="1" customHeight="1">
      <c r="A78" s="26">
        <v>20</v>
      </c>
      <c r="B78" s="14" t="s">
        <v>74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81">
        <f>F78*G78/1000</f>
        <v>0.85299000000000003</v>
      </c>
      <c r="I78" s="12">
        <v>0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2" s="35" customFormat="1" ht="24" hidden="1" customHeight="1">
      <c r="A79" s="26"/>
      <c r="B79" s="49" t="s">
        <v>75</v>
      </c>
      <c r="C79" s="37"/>
      <c r="D79" s="26"/>
      <c r="E79" s="18"/>
      <c r="F79" s="18"/>
      <c r="G79" s="34" t="s">
        <v>141</v>
      </c>
      <c r="H79" s="34"/>
      <c r="I79" s="18"/>
    </row>
    <row r="80" spans="1:22" s="35" customFormat="1" ht="21.75" hidden="1" customHeight="1">
      <c r="A80" s="26">
        <v>39</v>
      </c>
      <c r="B80" s="51" t="s">
        <v>130</v>
      </c>
      <c r="C80" s="16" t="s">
        <v>76</v>
      </c>
      <c r="D80" s="14"/>
      <c r="E80" s="18"/>
      <c r="F80" s="12">
        <v>1.35</v>
      </c>
      <c r="G80" s="12">
        <v>2759.44</v>
      </c>
      <c r="H80" s="81">
        <f t="shared" ref="H80" si="13">SUM(F80*G80/1000)</f>
        <v>3.725244</v>
      </c>
      <c r="I80" s="12">
        <v>0</v>
      </c>
    </row>
    <row r="81" spans="1:9" s="35" customFormat="1" ht="15.75" customHeight="1">
      <c r="A81" s="186" t="s">
        <v>157</v>
      </c>
      <c r="B81" s="187"/>
      <c r="C81" s="187"/>
      <c r="D81" s="187"/>
      <c r="E81" s="187"/>
      <c r="F81" s="187"/>
      <c r="G81" s="187"/>
      <c r="H81" s="187"/>
      <c r="I81" s="188"/>
    </row>
    <row r="82" spans="1:9" s="35" customFormat="1" ht="15.75" customHeight="1">
      <c r="A82" s="26">
        <v>13</v>
      </c>
      <c r="B82" s="88" t="s">
        <v>131</v>
      </c>
      <c r="C82" s="16" t="s">
        <v>54</v>
      </c>
      <c r="D82" s="109" t="s">
        <v>55</v>
      </c>
      <c r="E82" s="12">
        <v>5916.3</v>
      </c>
      <c r="F82" s="12">
        <f>SUM(E82*12)</f>
        <v>70995.600000000006</v>
      </c>
      <c r="G82" s="12">
        <v>2.1</v>
      </c>
      <c r="H82" s="81">
        <f>SUM(F82*G82/1000)</f>
        <v>149.09076000000002</v>
      </c>
      <c r="I82" s="12">
        <f>F82/12*G82</f>
        <v>12424.230000000001</v>
      </c>
    </row>
    <row r="83" spans="1:9" s="35" customFormat="1" ht="31.5" customHeight="1">
      <c r="A83" s="26">
        <v>14</v>
      </c>
      <c r="B83" s="14" t="s">
        <v>77</v>
      </c>
      <c r="C83" s="16"/>
      <c r="D83" s="109" t="s">
        <v>55</v>
      </c>
      <c r="E83" s="90">
        <v>5916.3</v>
      </c>
      <c r="F83" s="12">
        <f>E83*12</f>
        <v>70995.600000000006</v>
      </c>
      <c r="G83" s="12">
        <v>1.63</v>
      </c>
      <c r="H83" s="81">
        <f>F83*G83/1000</f>
        <v>115.72282800000001</v>
      </c>
      <c r="I83" s="12">
        <f>F83/12*G83</f>
        <v>9643.5689999999995</v>
      </c>
    </row>
    <row r="84" spans="1:9" s="35" customFormat="1" ht="15.75" customHeight="1">
      <c r="A84" s="52"/>
      <c r="B84" s="38" t="s">
        <v>80</v>
      </c>
      <c r="C84" s="40"/>
      <c r="D84" s="15"/>
      <c r="E84" s="15"/>
      <c r="F84" s="15"/>
      <c r="G84" s="18"/>
      <c r="H84" s="18"/>
      <c r="I84" s="29">
        <f>I83+I82+I76+I65+I62+I35+I34+I32+I31+I28+I27+I18+I17+I16</f>
        <v>70923.272202888882</v>
      </c>
    </row>
    <row r="85" spans="1:9" s="35" customFormat="1" ht="15.75" customHeight="1">
      <c r="A85" s="189" t="s">
        <v>60</v>
      </c>
      <c r="B85" s="190"/>
      <c r="C85" s="190"/>
      <c r="D85" s="190"/>
      <c r="E85" s="190"/>
      <c r="F85" s="190"/>
      <c r="G85" s="190"/>
      <c r="H85" s="190"/>
      <c r="I85" s="191"/>
    </row>
    <row r="86" spans="1:9" s="35" customFormat="1" ht="30.75" customHeight="1">
      <c r="A86" s="26">
        <v>15</v>
      </c>
      <c r="B86" s="57" t="s">
        <v>89</v>
      </c>
      <c r="C86" s="59" t="s">
        <v>92</v>
      </c>
      <c r="D86" s="14"/>
      <c r="E86" s="18"/>
      <c r="F86" s="12">
        <f>(3+3+3+15+10+10+10+15+10+3+10+10+15+5)/3</f>
        <v>40.666666666666664</v>
      </c>
      <c r="G86" s="34">
        <v>613.44000000000005</v>
      </c>
      <c r="H86" s="81">
        <f t="shared" ref="H86" si="14">G86*F86/1000</f>
        <v>24.946560000000002</v>
      </c>
      <c r="I86" s="12">
        <f>G86*1</f>
        <v>613.44000000000005</v>
      </c>
    </row>
    <row r="87" spans="1:9" s="35" customFormat="1" ht="15.75" customHeight="1">
      <c r="A87" s="26">
        <v>16</v>
      </c>
      <c r="B87" s="60" t="s">
        <v>174</v>
      </c>
      <c r="C87" s="61" t="s">
        <v>175</v>
      </c>
      <c r="D87" s="14"/>
      <c r="E87" s="18"/>
      <c r="F87" s="12"/>
      <c r="G87" s="34">
        <v>134.12</v>
      </c>
      <c r="H87" s="81"/>
      <c r="I87" s="12">
        <f>G87*7</f>
        <v>938.84</v>
      </c>
    </row>
    <row r="88" spans="1:9" s="35" customFormat="1" ht="15.75" customHeight="1">
      <c r="A88" s="26">
        <v>17</v>
      </c>
      <c r="B88" s="57" t="s">
        <v>82</v>
      </c>
      <c r="C88" s="59" t="s">
        <v>30</v>
      </c>
      <c r="D88" s="14"/>
      <c r="E88" s="18"/>
      <c r="F88" s="12"/>
      <c r="G88" s="34">
        <v>197.48</v>
      </c>
      <c r="H88" s="81"/>
      <c r="I88" s="12">
        <f>G88*1</f>
        <v>197.48</v>
      </c>
    </row>
    <row r="89" spans="1:9" s="35" customFormat="1" ht="31.5" hidden="1" customHeight="1">
      <c r="A89" s="31">
        <v>16</v>
      </c>
      <c r="B89" s="57"/>
      <c r="C89" s="59"/>
      <c r="D89" s="51"/>
      <c r="E89" s="34"/>
      <c r="F89" s="34">
        <v>2.5</v>
      </c>
      <c r="G89" s="34"/>
      <c r="H89" s="111">
        <v>11.45</v>
      </c>
      <c r="I89" s="12"/>
    </row>
    <row r="90" spans="1:9" s="35" customFormat="1" ht="15.75" customHeight="1">
      <c r="A90" s="26"/>
      <c r="B90" s="45" t="s">
        <v>51</v>
      </c>
      <c r="C90" s="41"/>
      <c r="D90" s="53"/>
      <c r="E90" s="41">
        <v>1</v>
      </c>
      <c r="F90" s="41"/>
      <c r="G90" s="41"/>
      <c r="H90" s="41"/>
      <c r="I90" s="29">
        <f>SUM(I86:I89)</f>
        <v>1749.7600000000002</v>
      </c>
    </row>
    <row r="91" spans="1:9" s="35" customFormat="1" ht="15.75" customHeight="1">
      <c r="A91" s="26"/>
      <c r="B91" s="51" t="s">
        <v>78</v>
      </c>
      <c r="C91" s="15"/>
      <c r="D91" s="15"/>
      <c r="E91" s="42"/>
      <c r="F91" s="42"/>
      <c r="G91" s="43"/>
      <c r="H91" s="43"/>
      <c r="I91" s="17">
        <v>0</v>
      </c>
    </row>
    <row r="92" spans="1:9" s="35" customFormat="1" ht="15.75" customHeight="1">
      <c r="A92" s="54"/>
      <c r="B92" s="46" t="s">
        <v>152</v>
      </c>
      <c r="C92" s="32"/>
      <c r="D92" s="32"/>
      <c r="E92" s="32"/>
      <c r="F92" s="32"/>
      <c r="G92" s="32"/>
      <c r="H92" s="32"/>
      <c r="I92" s="44">
        <f>I84+I90</f>
        <v>72673.032202888877</v>
      </c>
    </row>
    <row r="93" spans="1:9" ht="15.75" customHeight="1">
      <c r="A93" s="173" t="s">
        <v>288</v>
      </c>
      <c r="B93" s="173"/>
      <c r="C93" s="173"/>
      <c r="D93" s="173"/>
      <c r="E93" s="173"/>
      <c r="F93" s="173"/>
      <c r="G93" s="173"/>
      <c r="H93" s="173"/>
      <c r="I93" s="173"/>
    </row>
    <row r="94" spans="1:9" ht="15.75" customHeight="1">
      <c r="A94" s="75"/>
      <c r="B94" s="197" t="s">
        <v>289</v>
      </c>
      <c r="C94" s="197"/>
      <c r="D94" s="197"/>
      <c r="E94" s="197"/>
      <c r="F94" s="197"/>
      <c r="G94" s="197"/>
      <c r="H94" s="80"/>
      <c r="I94" s="3"/>
    </row>
    <row r="95" spans="1:9" ht="15.75" customHeight="1">
      <c r="A95" s="69"/>
      <c r="B95" s="193" t="s">
        <v>6</v>
      </c>
      <c r="C95" s="193"/>
      <c r="D95" s="193"/>
      <c r="E95" s="193"/>
      <c r="F95" s="193"/>
      <c r="G95" s="193"/>
      <c r="H95" s="21"/>
      <c r="I95" s="5"/>
    </row>
    <row r="96" spans="1:9" ht="15.75" customHeight="1">
      <c r="A96" s="9"/>
      <c r="B96" s="9"/>
      <c r="C96" s="9"/>
      <c r="D96" s="9"/>
      <c r="E96" s="9"/>
      <c r="F96" s="9"/>
      <c r="G96" s="9"/>
      <c r="H96" s="9"/>
      <c r="I96" s="9"/>
    </row>
    <row r="97" spans="1:9" ht="15.75" customHeight="1">
      <c r="A97" s="198" t="s">
        <v>7</v>
      </c>
      <c r="B97" s="198"/>
      <c r="C97" s="198"/>
      <c r="D97" s="198"/>
      <c r="E97" s="198"/>
      <c r="F97" s="198"/>
      <c r="G97" s="198"/>
      <c r="H97" s="198"/>
      <c r="I97" s="198"/>
    </row>
    <row r="98" spans="1:9" ht="15.75" customHeight="1">
      <c r="A98" s="198" t="s">
        <v>8</v>
      </c>
      <c r="B98" s="198"/>
      <c r="C98" s="198"/>
      <c r="D98" s="198"/>
      <c r="E98" s="198"/>
      <c r="F98" s="198"/>
      <c r="G98" s="198"/>
      <c r="H98" s="198"/>
      <c r="I98" s="198"/>
    </row>
    <row r="99" spans="1:9" ht="15.75" customHeight="1">
      <c r="A99" s="199" t="s">
        <v>61</v>
      </c>
      <c r="B99" s="199"/>
      <c r="C99" s="199"/>
      <c r="D99" s="199"/>
      <c r="E99" s="199"/>
      <c r="F99" s="199"/>
      <c r="G99" s="199"/>
      <c r="H99" s="199"/>
      <c r="I99" s="199"/>
    </row>
    <row r="100" spans="1:9" ht="15.75" customHeight="1">
      <c r="A100" s="10"/>
    </row>
    <row r="101" spans="1:9" ht="15.75" customHeight="1">
      <c r="A101" s="180" t="s">
        <v>9</v>
      </c>
      <c r="B101" s="180"/>
      <c r="C101" s="180"/>
      <c r="D101" s="180"/>
      <c r="E101" s="180"/>
      <c r="F101" s="180"/>
      <c r="G101" s="180"/>
      <c r="H101" s="180"/>
      <c r="I101" s="180"/>
    </row>
    <row r="102" spans="1:9" ht="15.75" customHeight="1">
      <c r="A102" s="4"/>
    </row>
    <row r="103" spans="1:9" ht="15.75" customHeight="1">
      <c r="B103" s="74" t="s">
        <v>10</v>
      </c>
      <c r="C103" s="192" t="s">
        <v>90</v>
      </c>
      <c r="D103" s="192"/>
      <c r="E103" s="192"/>
      <c r="F103" s="78"/>
      <c r="I103" s="71"/>
    </row>
    <row r="104" spans="1:9" ht="15.75" customHeight="1">
      <c r="A104" s="69"/>
      <c r="C104" s="193" t="s">
        <v>11</v>
      </c>
      <c r="D104" s="193"/>
      <c r="E104" s="193"/>
      <c r="F104" s="21"/>
      <c r="I104" s="70" t="s">
        <v>12</v>
      </c>
    </row>
    <row r="105" spans="1:9" ht="15.75" customHeight="1">
      <c r="A105" s="22"/>
      <c r="C105" s="11"/>
      <c r="D105" s="11"/>
      <c r="G105" s="11"/>
      <c r="H105" s="11"/>
    </row>
    <row r="106" spans="1:9" ht="15.75" customHeight="1">
      <c r="B106" s="74" t="s">
        <v>13</v>
      </c>
      <c r="C106" s="194"/>
      <c r="D106" s="194"/>
      <c r="E106" s="194"/>
      <c r="F106" s="79"/>
      <c r="I106" s="71"/>
    </row>
    <row r="107" spans="1:9" ht="15.75" customHeight="1">
      <c r="A107" s="69"/>
      <c r="C107" s="195" t="s">
        <v>11</v>
      </c>
      <c r="D107" s="195"/>
      <c r="E107" s="195"/>
      <c r="F107" s="69"/>
      <c r="I107" s="70" t="s">
        <v>12</v>
      </c>
    </row>
    <row r="108" spans="1:9" ht="15.75" customHeight="1">
      <c r="A108" s="4" t="s">
        <v>14</v>
      </c>
    </row>
    <row r="109" spans="1:9">
      <c r="A109" s="196" t="s">
        <v>15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45" customHeight="1">
      <c r="A110" s="185" t="s">
        <v>16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30" customHeight="1">
      <c r="A111" s="185" t="s">
        <v>17</v>
      </c>
      <c r="B111" s="185"/>
      <c r="C111" s="185"/>
      <c r="D111" s="185"/>
      <c r="E111" s="185"/>
      <c r="F111" s="185"/>
      <c r="G111" s="185"/>
      <c r="H111" s="185"/>
      <c r="I111" s="185"/>
    </row>
    <row r="112" spans="1:9" ht="30" customHeight="1">
      <c r="A112" s="185" t="s">
        <v>21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14.25" customHeight="1">
      <c r="A113" s="185" t="s">
        <v>20</v>
      </c>
      <c r="B113" s="185"/>
      <c r="C113" s="185"/>
      <c r="D113" s="185"/>
      <c r="E113" s="185"/>
      <c r="F113" s="185"/>
      <c r="G113" s="185"/>
      <c r="H113" s="185"/>
      <c r="I113" s="185"/>
    </row>
  </sheetData>
  <autoFilter ref="I12:I71"/>
  <mergeCells count="29">
    <mergeCell ref="A109:I109"/>
    <mergeCell ref="A110:I110"/>
    <mergeCell ref="A111:I111"/>
    <mergeCell ref="A112:I112"/>
    <mergeCell ref="A113:I113"/>
    <mergeCell ref="R77:U77"/>
    <mergeCell ref="C107:E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34"/>
  <sheetViews>
    <sheetView view="pageBreakPreview" topLeftCell="A97" zoomScale="60" workbookViewId="0">
      <selection activeCell="A120" sqref="A120:I12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207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167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209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72"/>
      <c r="C6" s="72"/>
      <c r="D6" s="72"/>
      <c r="E6" s="72"/>
      <c r="F6" s="72"/>
      <c r="G6" s="72"/>
      <c r="H6" s="72"/>
      <c r="I6" s="27">
        <v>43343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208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90">
        <v>169.2</v>
      </c>
      <c r="F16" s="91">
        <f>SUM(E16*156/100)</f>
        <v>263.952</v>
      </c>
      <c r="G16" s="91">
        <v>175.38</v>
      </c>
      <c r="H16" s="92">
        <f t="shared" ref="H16:H26" si="0">SUM(F16*G16/1000)</f>
        <v>46.291901760000002</v>
      </c>
      <c r="I16" s="12">
        <f>F16/12*G16</f>
        <v>3857.6584799999996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90">
        <v>676.6</v>
      </c>
      <c r="F17" s="91">
        <f>SUM(E17*104/100)</f>
        <v>703.6640000000001</v>
      </c>
      <c r="G17" s="91">
        <v>175.38</v>
      </c>
      <c r="H17" s="92">
        <f t="shared" si="0"/>
        <v>123.40859232000001</v>
      </c>
      <c r="I17" s="12">
        <f>F17/12*G17</f>
        <v>10284.049360000001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90">
        <f>SUM(E16+E17)</f>
        <v>845.8</v>
      </c>
      <c r="F18" s="91">
        <f>SUM(E18*24/100)</f>
        <v>202.99199999999996</v>
      </c>
      <c r="G18" s="91">
        <v>504.5</v>
      </c>
      <c r="H18" s="92">
        <f t="shared" si="0"/>
        <v>102.40946399999997</v>
      </c>
      <c r="I18" s="12">
        <f>F18/12*G18</f>
        <v>8534.1219999999976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88" t="s">
        <v>64</v>
      </c>
      <c r="C27" s="89" t="s">
        <v>33</v>
      </c>
      <c r="D27" s="88"/>
      <c r="E27" s="90">
        <v>0.1</v>
      </c>
      <c r="F27" s="91">
        <f>SUM(E27*365)</f>
        <v>36.5</v>
      </c>
      <c r="G27" s="91">
        <v>147.03</v>
      </c>
      <c r="H27" s="92">
        <f t="shared" ref="H27:H28" si="2">SUM(F27*G27/1000)</f>
        <v>5.3665950000000002</v>
      </c>
      <c r="I27" s="12">
        <f>F27/12*G27</f>
        <v>447.21625</v>
      </c>
      <c r="J27" s="63"/>
      <c r="K27" s="62"/>
      <c r="L27" s="62"/>
      <c r="M27" s="62"/>
    </row>
    <row r="28" spans="1:13" s="35" customFormat="1" ht="15.75" customHeight="1">
      <c r="A28" s="26">
        <v>5</v>
      </c>
      <c r="B28" s="96" t="s">
        <v>23</v>
      </c>
      <c r="C28" s="89" t="s">
        <v>24</v>
      </c>
      <c r="D28" s="96"/>
      <c r="E28" s="90">
        <v>5916.3</v>
      </c>
      <c r="F28" s="91">
        <f>SUM(E28*12)</f>
        <v>70995.600000000006</v>
      </c>
      <c r="G28" s="91">
        <v>3.33</v>
      </c>
      <c r="H28" s="92">
        <f t="shared" si="2"/>
        <v>236.41534800000002</v>
      </c>
      <c r="I28" s="12">
        <f>F28/12*G28</f>
        <v>19701.279000000002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customHeight="1">
      <c r="A31" s="40">
        <v>6</v>
      </c>
      <c r="B31" s="88" t="s">
        <v>114</v>
      </c>
      <c r="C31" s="89" t="s">
        <v>115</v>
      </c>
      <c r="D31" s="88" t="s">
        <v>116</v>
      </c>
      <c r="E31" s="91">
        <v>900.1</v>
      </c>
      <c r="F31" s="91">
        <f>SUM(E31*52/1000)</f>
        <v>46.805200000000006</v>
      </c>
      <c r="G31" s="91">
        <v>155.88999999999999</v>
      </c>
      <c r="H31" s="92">
        <f t="shared" ref="H31:H33" si="3">SUM(F31*G31/1000)</f>
        <v>7.2964626280000004</v>
      </c>
      <c r="I31" s="12">
        <f>F31/6*G31</f>
        <v>1216.0771046666666</v>
      </c>
      <c r="J31" s="63"/>
      <c r="K31" s="62"/>
      <c r="L31" s="62"/>
      <c r="M31" s="62"/>
    </row>
    <row r="32" spans="1:13" s="35" customFormat="1" ht="31.5" customHeight="1">
      <c r="A32" s="40">
        <v>7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91">
        <f>SUM(E32*78/1000)</f>
        <v>22.573199999999996</v>
      </c>
      <c r="G32" s="91">
        <v>258.63</v>
      </c>
      <c r="H32" s="92">
        <f t="shared" si="3"/>
        <v>5.8381067159999995</v>
      </c>
      <c r="I32" s="12">
        <f t="shared" ref="I32:I35" si="4">F32/6*G32</f>
        <v>973.01778599999989</v>
      </c>
      <c r="J32" s="63"/>
      <c r="K32" s="62"/>
      <c r="L32" s="62"/>
      <c r="M32" s="62"/>
    </row>
    <row r="33" spans="1:14" s="35" customFormat="1" ht="15.75" hidden="1" customHeight="1">
      <c r="A33" s="40">
        <v>16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3"/>
        <v>2.7185990329999998</v>
      </c>
      <c r="I33" s="12">
        <f>F33*G33</f>
        <v>2718.599033</v>
      </c>
      <c r="J33" s="63"/>
      <c r="K33" s="62"/>
      <c r="L33" s="62"/>
      <c r="M33" s="62"/>
    </row>
    <row r="34" spans="1:14" s="35" customFormat="1" ht="15.75" customHeight="1">
      <c r="A34" s="40">
        <v>8</v>
      </c>
      <c r="B34" s="88" t="s">
        <v>143</v>
      </c>
      <c r="C34" s="89" t="s">
        <v>39</v>
      </c>
      <c r="D34" s="88" t="s">
        <v>144</v>
      </c>
      <c r="E34" s="91">
        <v>8</v>
      </c>
      <c r="F34" s="91">
        <v>12.4</v>
      </c>
      <c r="G34" s="91">
        <v>1302.02</v>
      </c>
      <c r="H34" s="92">
        <v>16.145</v>
      </c>
      <c r="I34" s="12">
        <f t="shared" si="4"/>
        <v>2690.8413333333338</v>
      </c>
      <c r="J34" s="63"/>
      <c r="K34" s="62"/>
      <c r="L34" s="62"/>
      <c r="M34" s="62"/>
    </row>
    <row r="35" spans="1:14" s="35" customFormat="1" ht="15.75" customHeight="1">
      <c r="A35" s="40">
        <v>9</v>
      </c>
      <c r="B35" s="88" t="s">
        <v>118</v>
      </c>
      <c r="C35" s="89" t="s">
        <v>30</v>
      </c>
      <c r="D35" s="88" t="s">
        <v>63</v>
      </c>
      <c r="E35" s="97">
        <v>0.33</v>
      </c>
      <c r="F35" s="91">
        <v>51.666666666666664</v>
      </c>
      <c r="G35" s="91">
        <v>56.69</v>
      </c>
      <c r="H35" s="92">
        <f>SUM(G35*155/3/1000)</f>
        <v>2.9289833333333331</v>
      </c>
      <c r="I35" s="12">
        <f t="shared" si="4"/>
        <v>488.16388888888883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5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5"/>
        <v>2.27264</v>
      </c>
      <c r="I37" s="12">
        <v>0</v>
      </c>
      <c r="J37" s="64"/>
    </row>
    <row r="38" spans="1:14" s="35" customFormat="1" ht="15.75" hidden="1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hidden="1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6">SUM(F39*G39/1000)</f>
        <v>15.272200000000002</v>
      </c>
      <c r="I39" s="12">
        <f t="shared" ref="I39:I45" si="7">F39/6*G39</f>
        <v>2545.3666666666668</v>
      </c>
      <c r="J39" s="64"/>
    </row>
    <row r="40" spans="1:14" s="35" customFormat="1" ht="15.75" hidden="1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6"/>
        <v>15.997417679999998</v>
      </c>
      <c r="I40" s="12">
        <f t="shared" si="7"/>
        <v>2666.2362800000001</v>
      </c>
      <c r="J40" s="64"/>
    </row>
    <row r="41" spans="1:14" s="35" customFormat="1" ht="15.75" hidden="1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6"/>
        <v>18.255728220000002</v>
      </c>
      <c r="I41" s="12">
        <f t="shared" si="7"/>
        <v>3042.6213700000003</v>
      </c>
      <c r="J41" s="64"/>
    </row>
    <row r="42" spans="1:14" s="35" customFormat="1" ht="15.75" hidden="1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6"/>
        <v>15.73359275</v>
      </c>
      <c r="I42" s="12">
        <f t="shared" si="7"/>
        <v>2622.2654583333333</v>
      </c>
      <c r="J42" s="64"/>
    </row>
    <row r="43" spans="1:14" s="35" customFormat="1" ht="47.25" hidden="1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6"/>
        <v>15.04210176</v>
      </c>
      <c r="I43" s="12">
        <f t="shared" si="7"/>
        <v>2507.0169599999999</v>
      </c>
      <c r="J43" s="64"/>
    </row>
    <row r="44" spans="1:14" s="35" customFormat="1" ht="15.75" hidden="1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6"/>
        <v>2.5927775999999998</v>
      </c>
      <c r="I44" s="12">
        <f t="shared" si="7"/>
        <v>432.12959999999998</v>
      </c>
      <c r="J44" s="64"/>
      <c r="L44" s="19"/>
      <c r="M44" s="20"/>
      <c r="N44" s="28"/>
    </row>
    <row r="45" spans="1:14" s="35" customFormat="1" ht="15.75" hidden="1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6"/>
        <v>0.71820000000000006</v>
      </c>
      <c r="I45" s="12">
        <f t="shared" si="7"/>
        <v>119.69999999999999</v>
      </c>
      <c r="J45" s="64"/>
      <c r="L45" s="19"/>
      <c r="M45" s="20"/>
      <c r="N45" s="28"/>
    </row>
    <row r="46" spans="1:14" s="35" customFormat="1" ht="15.75" hidden="1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hidden="1" customHeight="1">
      <c r="A47" s="40">
        <v>19</v>
      </c>
      <c r="B47" s="88" t="s">
        <v>121</v>
      </c>
      <c r="C47" s="89" t="s">
        <v>115</v>
      </c>
      <c r="D47" s="88" t="s">
        <v>41</v>
      </c>
      <c r="E47" s="90">
        <v>1662.5</v>
      </c>
      <c r="F47" s="91">
        <f>SUM(E47*2/1000)</f>
        <v>3.3250000000000002</v>
      </c>
      <c r="G47" s="12">
        <v>849.49</v>
      </c>
      <c r="H47" s="92">
        <f t="shared" ref="H47:H55" si="8">SUM(F47*G47/1000)</f>
        <v>2.8245542500000003</v>
      </c>
      <c r="I47" s="12">
        <f t="shared" ref="I47:I49" si="9">F47/2*G47</f>
        <v>1412.2771250000001</v>
      </c>
      <c r="J47" s="64"/>
      <c r="L47" s="19"/>
      <c r="M47" s="20"/>
      <c r="N47" s="28"/>
    </row>
    <row r="48" spans="1:14" s="35" customFormat="1" ht="15.75" hidden="1" customHeight="1">
      <c r="A48" s="40">
        <v>20</v>
      </c>
      <c r="B48" s="88" t="s">
        <v>34</v>
      </c>
      <c r="C48" s="89" t="s">
        <v>115</v>
      </c>
      <c r="D48" s="88" t="s">
        <v>41</v>
      </c>
      <c r="E48" s="90">
        <v>92.8</v>
      </c>
      <c r="F48" s="91">
        <f>SUM(E48*2/1000)</f>
        <v>0.18559999999999999</v>
      </c>
      <c r="G48" s="12">
        <v>579.48</v>
      </c>
      <c r="H48" s="92">
        <f t="shared" si="8"/>
        <v>0.10755148799999999</v>
      </c>
      <c r="I48" s="12">
        <f t="shared" si="9"/>
        <v>53.775743999999996</v>
      </c>
      <c r="J48" s="64"/>
      <c r="L48" s="19"/>
      <c r="M48" s="20"/>
      <c r="N48" s="28"/>
    </row>
    <row r="49" spans="1:14" s="35" customFormat="1" ht="15.75" hidden="1" customHeight="1">
      <c r="A49" s="40">
        <v>21</v>
      </c>
      <c r="B49" s="88" t="s">
        <v>35</v>
      </c>
      <c r="C49" s="89" t="s">
        <v>115</v>
      </c>
      <c r="D49" s="88" t="s">
        <v>41</v>
      </c>
      <c r="E49" s="90">
        <v>4750.7</v>
      </c>
      <c r="F49" s="91">
        <f>SUM(E49*2/1000)</f>
        <v>9.5014000000000003</v>
      </c>
      <c r="G49" s="12">
        <v>579.48</v>
      </c>
      <c r="H49" s="92">
        <f t="shared" si="8"/>
        <v>5.5058712720000003</v>
      </c>
      <c r="I49" s="12">
        <f t="shared" si="9"/>
        <v>2752.9356360000002</v>
      </c>
      <c r="J49" s="64"/>
      <c r="L49" s="19"/>
      <c r="M49" s="20"/>
      <c r="N49" s="28"/>
    </row>
    <row r="50" spans="1:14" s="35" customFormat="1" ht="15.75" hidden="1" customHeight="1">
      <c r="A50" s="40">
        <v>22</v>
      </c>
      <c r="B50" s="88" t="s">
        <v>36</v>
      </c>
      <c r="C50" s="89" t="s">
        <v>115</v>
      </c>
      <c r="D50" s="88" t="s">
        <v>41</v>
      </c>
      <c r="E50" s="90">
        <v>2840.99</v>
      </c>
      <c r="F50" s="91">
        <f>SUM(E50*2/1000)</f>
        <v>5.6819799999999994</v>
      </c>
      <c r="G50" s="12">
        <v>606.77</v>
      </c>
      <c r="H50" s="92">
        <f t="shared" si="8"/>
        <v>3.4476550045999992</v>
      </c>
      <c r="I50" s="12">
        <f>F50/2*G50</f>
        <v>1723.8275022999997</v>
      </c>
      <c r="J50" s="64"/>
      <c r="L50" s="19"/>
      <c r="M50" s="20"/>
      <c r="N50" s="28"/>
    </row>
    <row r="51" spans="1:14" s="35" customFormat="1" ht="15.75" hidden="1" customHeight="1">
      <c r="A51" s="40">
        <v>23</v>
      </c>
      <c r="B51" s="88" t="s">
        <v>56</v>
      </c>
      <c r="C51" s="89" t="s">
        <v>115</v>
      </c>
      <c r="D51" s="88" t="s">
        <v>146</v>
      </c>
      <c r="E51" s="90">
        <v>1652.5</v>
      </c>
      <c r="F51" s="91">
        <f>SUM(E51*5/1000)</f>
        <v>8.2624999999999993</v>
      </c>
      <c r="G51" s="12">
        <v>1213.55</v>
      </c>
      <c r="H51" s="92">
        <f t="shared" si="8"/>
        <v>10.026956874999998</v>
      </c>
      <c r="I51" s="12">
        <f>F51/5*G51</f>
        <v>2005.3913749999997</v>
      </c>
      <c r="J51" s="64"/>
      <c r="L51" s="19"/>
      <c r="M51" s="20"/>
      <c r="N51" s="28"/>
    </row>
    <row r="52" spans="1:14" s="35" customFormat="1" ht="31.5" hidden="1" customHeight="1">
      <c r="A52" s="40">
        <v>13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8"/>
        <v>4.0107827499999997</v>
      </c>
      <c r="I52" s="12">
        <f>F52/2*G52</f>
        <v>2005.3913749999999</v>
      </c>
      <c r="J52" s="64"/>
      <c r="L52" s="19"/>
      <c r="M52" s="20"/>
      <c r="N52" s="28"/>
    </row>
    <row r="53" spans="1:14" s="35" customFormat="1" ht="31.5" hidden="1" customHeight="1">
      <c r="A53" s="40">
        <v>14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8"/>
        <v>2.1843919999999999</v>
      </c>
      <c r="I53" s="12">
        <f t="shared" ref="I53:I54" si="10">F53/2*G53</f>
        <v>1092.1959999999999</v>
      </c>
      <c r="J53" s="64"/>
      <c r="L53" s="19"/>
      <c r="M53" s="20"/>
      <c r="N53" s="28"/>
    </row>
    <row r="54" spans="1:14" s="35" customFormat="1" ht="15.75" hidden="1" customHeight="1">
      <c r="A54" s="40">
        <v>15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8"/>
        <v>0.11304260000000001</v>
      </c>
      <c r="I54" s="12">
        <f t="shared" si="10"/>
        <v>56.521300000000004</v>
      </c>
      <c r="J54" s="64"/>
      <c r="L54" s="19"/>
      <c r="M54" s="20"/>
      <c r="N54" s="28"/>
    </row>
    <row r="55" spans="1:14" s="35" customFormat="1" ht="15.75" hidden="1" customHeight="1">
      <c r="A55" s="40">
        <v>10</v>
      </c>
      <c r="B55" s="88" t="s">
        <v>40</v>
      </c>
      <c r="C55" s="89" t="s">
        <v>124</v>
      </c>
      <c r="D55" s="88" t="s">
        <v>71</v>
      </c>
      <c r="E55" s="90">
        <v>236</v>
      </c>
      <c r="F55" s="91">
        <f>SUM(E55)*3</f>
        <v>708</v>
      </c>
      <c r="G55" s="12">
        <v>65.67</v>
      </c>
      <c r="H55" s="92">
        <f t="shared" si="8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182" t="s">
        <v>156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hidden="1" customHeight="1">
      <c r="A57" s="52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hidden="1" customHeight="1">
      <c r="A58" s="40">
        <v>16</v>
      </c>
      <c r="B58" s="88" t="s">
        <v>139</v>
      </c>
      <c r="C58" s="89" t="s">
        <v>105</v>
      </c>
      <c r="D58" s="88" t="s">
        <v>140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F58/6*G58</f>
        <v>2572.3529999999996</v>
      </c>
      <c r="J58" s="64"/>
      <c r="L58" s="19"/>
      <c r="M58" s="20"/>
      <c r="N58" s="28"/>
    </row>
    <row r="59" spans="1:14" s="35" customFormat="1" ht="15.75" hidden="1" customHeight="1">
      <c r="A59" s="40">
        <v>17</v>
      </c>
      <c r="B59" s="99" t="s">
        <v>95</v>
      </c>
      <c r="C59" s="100" t="s">
        <v>105</v>
      </c>
      <c r="D59" s="99" t="s">
        <v>140</v>
      </c>
      <c r="E59" s="101">
        <v>56</v>
      </c>
      <c r="F59" s="102">
        <f>E59*6/100</f>
        <v>3.36</v>
      </c>
      <c r="G59" s="98">
        <v>1547.28</v>
      </c>
      <c r="H59" s="103">
        <f>F59*G59/1000</f>
        <v>5.1988607999999994</v>
      </c>
      <c r="I59" s="12">
        <f>F59/6*G59</f>
        <v>866.47679999999991</v>
      </c>
      <c r="J59" s="64"/>
      <c r="L59" s="19"/>
      <c r="M59" s="20"/>
      <c r="N59" s="28"/>
    </row>
    <row r="60" spans="1:14" s="35" customFormat="1" ht="15.75" hidden="1" customHeight="1">
      <c r="A60" s="40"/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73" t="s">
        <v>43</v>
      </c>
      <c r="C61" s="73"/>
      <c r="D61" s="73"/>
      <c r="E61" s="73"/>
      <c r="F61" s="73"/>
      <c r="G61" s="73"/>
      <c r="H61" s="73"/>
      <c r="I61" s="33"/>
      <c r="J61" s="64"/>
      <c r="L61" s="19"/>
      <c r="M61" s="20"/>
      <c r="N61" s="28"/>
    </row>
    <row r="62" spans="1:14" s="35" customFormat="1" ht="14.25" customHeight="1">
      <c r="A62" s="40">
        <v>10</v>
      </c>
      <c r="B62" s="99" t="s">
        <v>96</v>
      </c>
      <c r="C62" s="100" t="s">
        <v>25</v>
      </c>
      <c r="D62" s="99" t="s">
        <v>147</v>
      </c>
      <c r="E62" s="101">
        <v>330.5</v>
      </c>
      <c r="F62" s="102">
        <v>2400</v>
      </c>
      <c r="G62" s="105">
        <v>1.2</v>
      </c>
      <c r="H62" s="103">
        <f>G62*F62/1000</f>
        <v>2.88</v>
      </c>
      <c r="I62" s="12">
        <f>F62/12*G62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customHeight="1">
      <c r="A64" s="40"/>
      <c r="B64" s="73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20.25" customHeight="1">
      <c r="A65" s="40">
        <v>11</v>
      </c>
      <c r="B65" s="14" t="s">
        <v>46</v>
      </c>
      <c r="C65" s="16" t="s">
        <v>124</v>
      </c>
      <c r="D65" s="14" t="s">
        <v>67</v>
      </c>
      <c r="E65" s="18">
        <v>10</v>
      </c>
      <c r="F65" s="91">
        <v>10</v>
      </c>
      <c r="G65" s="12">
        <v>222.4</v>
      </c>
      <c r="H65" s="81">
        <f t="shared" ref="H65:H72" si="11">SUM(F65*G65/1000)</f>
        <v>2.2240000000000002</v>
      </c>
      <c r="I65" s="12">
        <f>G65*5</f>
        <v>1112</v>
      </c>
      <c r="J65" s="64"/>
      <c r="L65" s="19"/>
      <c r="M65" s="20"/>
      <c r="N65" s="28"/>
    </row>
    <row r="66" spans="1:22" s="35" customFormat="1" ht="21.75" hidden="1" customHeight="1"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11"/>
        <v>0.61</v>
      </c>
      <c r="I66" s="12">
        <v>0</v>
      </c>
      <c r="J66" s="64"/>
      <c r="L66" s="19"/>
      <c r="M66" s="20"/>
      <c r="N66" s="28"/>
    </row>
    <row r="67" spans="1:22" s="35" customFormat="1" ht="20.25" hidden="1" customHeight="1">
      <c r="A67" s="26">
        <v>25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11"/>
        <v>49.360940499999998</v>
      </c>
      <c r="I67" s="12">
        <f>F67*G67</f>
        <v>49360.940499999997</v>
      </c>
      <c r="J67" s="64"/>
      <c r="L67" s="19"/>
      <c r="M67" s="20"/>
      <c r="N67" s="28"/>
    </row>
    <row r="68" spans="1:22" s="35" customFormat="1" ht="19.5" hidden="1" customHeight="1">
      <c r="A68" s="26">
        <v>26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11"/>
        <v>3.8439410700000005</v>
      </c>
      <c r="I68" s="12">
        <f t="shared" ref="I68:I71" si="12">F68*G68</f>
        <v>3843.9410700000003</v>
      </c>
      <c r="J68" s="64"/>
      <c r="L68" s="19"/>
      <c r="M68" s="20"/>
      <c r="N68" s="28"/>
    </row>
    <row r="69" spans="1:22" s="35" customFormat="1" ht="19.5" hidden="1" customHeight="1">
      <c r="A69" s="26">
        <v>27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11"/>
        <v>65.247113499999998</v>
      </c>
      <c r="I69" s="12">
        <f t="shared" si="12"/>
        <v>65247.113499999999</v>
      </c>
      <c r="J69" s="64"/>
      <c r="L69" s="19"/>
    </row>
    <row r="70" spans="1:22" s="35" customFormat="1" ht="20.25" hidden="1" customHeight="1">
      <c r="A70" s="26">
        <v>28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11"/>
        <v>0.88156220000000007</v>
      </c>
      <c r="I70" s="12">
        <f t="shared" si="12"/>
        <v>881.56220000000008</v>
      </c>
    </row>
    <row r="71" spans="1:22" s="35" customFormat="1" ht="17.25" hidden="1" customHeight="1">
      <c r="A71" s="26">
        <v>29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11"/>
        <v>0.82247460000000006</v>
      </c>
      <c r="I71" s="12">
        <f t="shared" si="12"/>
        <v>822.47460000000001</v>
      </c>
    </row>
    <row r="72" spans="1:22" s="35" customFormat="1" ht="21.75" hidden="1" customHeight="1">
      <c r="A72" s="26">
        <v>13</v>
      </c>
      <c r="B72" s="14" t="s">
        <v>57</v>
      </c>
      <c r="C72" s="16" t="s">
        <v>58</v>
      </c>
      <c r="D72" s="14" t="s">
        <v>53</v>
      </c>
      <c r="E72" s="18">
        <v>5</v>
      </c>
      <c r="F72" s="91">
        <f>SUM(E72)</f>
        <v>5</v>
      </c>
      <c r="G72" s="12">
        <v>49.88</v>
      </c>
      <c r="H72" s="81">
        <f t="shared" si="11"/>
        <v>0.24940000000000001</v>
      </c>
      <c r="I72" s="12">
        <v>0</v>
      </c>
    </row>
    <row r="73" spans="1:22" s="35" customFormat="1" ht="17.25" hidden="1" customHeight="1">
      <c r="A73" s="52"/>
      <c r="B73" s="73" t="s">
        <v>128</v>
      </c>
      <c r="C73" s="73"/>
      <c r="D73" s="73"/>
      <c r="E73" s="73"/>
      <c r="F73" s="73"/>
      <c r="G73" s="73"/>
      <c r="H73" s="73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15.75" hidden="1" customHeight="1">
      <c r="A74" s="26">
        <v>18</v>
      </c>
      <c r="B74" s="88" t="s">
        <v>129</v>
      </c>
      <c r="C74" s="16"/>
      <c r="D74" s="14"/>
      <c r="E74" s="77"/>
      <c r="F74" s="12">
        <v>1</v>
      </c>
      <c r="G74" s="12">
        <v>27750</v>
      </c>
      <c r="H74" s="81">
        <f>G74*F74/1000</f>
        <v>27.75</v>
      </c>
      <c r="I74" s="12">
        <f>G74</f>
        <v>27750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27" hidden="1" customHeight="1">
      <c r="A75" s="26"/>
      <c r="B75" s="48" t="s">
        <v>72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23.25" hidden="1" customHeight="1">
      <c r="A76" s="26">
        <v>12</v>
      </c>
      <c r="B76" s="14" t="s">
        <v>73</v>
      </c>
      <c r="C76" s="16" t="s">
        <v>31</v>
      </c>
      <c r="D76" s="14"/>
      <c r="E76" s="18">
        <v>10</v>
      </c>
      <c r="F76" s="76">
        <v>1</v>
      </c>
      <c r="G76" s="12">
        <v>501.62</v>
      </c>
      <c r="H76" s="81">
        <f>F76*G76/1000</f>
        <v>0.50161999999999995</v>
      </c>
      <c r="I76" s="12">
        <f>G76*0.1</f>
        <v>50.162000000000006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4.75" hidden="1" customHeight="1">
      <c r="A77" s="26">
        <v>20</v>
      </c>
      <c r="B77" s="14" t="s">
        <v>88</v>
      </c>
      <c r="C77" s="16" t="s">
        <v>30</v>
      </c>
      <c r="D77" s="14"/>
      <c r="E77" s="18">
        <v>1</v>
      </c>
      <c r="F77" s="91">
        <v>1</v>
      </c>
      <c r="G77" s="12">
        <v>358.51</v>
      </c>
      <c r="H77" s="81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172"/>
      <c r="S77" s="172"/>
      <c r="T77" s="172"/>
      <c r="U77" s="172"/>
    </row>
    <row r="78" spans="1:22" s="35" customFormat="1" ht="18" hidden="1" customHeight="1">
      <c r="A78" s="26">
        <v>20</v>
      </c>
      <c r="B78" s="14" t="s">
        <v>74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81">
        <f>F78*G78/1000</f>
        <v>0.85299000000000003</v>
      </c>
      <c r="I78" s="12">
        <v>0</v>
      </c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</row>
    <row r="79" spans="1:22" s="35" customFormat="1" ht="18" hidden="1" customHeight="1">
      <c r="A79" s="26"/>
      <c r="B79" s="49" t="s">
        <v>75</v>
      </c>
      <c r="C79" s="37"/>
      <c r="D79" s="26"/>
      <c r="E79" s="18"/>
      <c r="F79" s="18"/>
      <c r="G79" s="34" t="s">
        <v>141</v>
      </c>
      <c r="H79" s="34"/>
      <c r="I79" s="18"/>
    </row>
    <row r="80" spans="1:22" s="35" customFormat="1" ht="18" hidden="1" customHeight="1">
      <c r="A80" s="26">
        <v>39</v>
      </c>
      <c r="B80" s="51" t="s">
        <v>130</v>
      </c>
      <c r="C80" s="16" t="s">
        <v>76</v>
      </c>
      <c r="D80" s="14"/>
      <c r="E80" s="18"/>
      <c r="F80" s="12">
        <v>1.35</v>
      </c>
      <c r="G80" s="12">
        <v>2759.44</v>
      </c>
      <c r="H80" s="81">
        <f t="shared" ref="H80" si="13">SUM(F80*G80/1000)</f>
        <v>3.725244</v>
      </c>
      <c r="I80" s="12">
        <v>0</v>
      </c>
    </row>
    <row r="81" spans="1:9" s="35" customFormat="1" ht="15.75" customHeight="1">
      <c r="A81" s="186" t="s">
        <v>157</v>
      </c>
      <c r="B81" s="187"/>
      <c r="C81" s="187"/>
      <c r="D81" s="187"/>
      <c r="E81" s="187"/>
      <c r="F81" s="187"/>
      <c r="G81" s="187"/>
      <c r="H81" s="187"/>
      <c r="I81" s="188"/>
    </row>
    <row r="82" spans="1:9" s="35" customFormat="1" ht="15.75" customHeight="1">
      <c r="A82" s="26">
        <v>12</v>
      </c>
      <c r="B82" s="88" t="s">
        <v>131</v>
      </c>
      <c r="C82" s="16" t="s">
        <v>54</v>
      </c>
      <c r="D82" s="109" t="s">
        <v>55</v>
      </c>
      <c r="E82" s="12">
        <v>5916.3</v>
      </c>
      <c r="F82" s="12">
        <f>SUM(E82*12)</f>
        <v>70995.600000000006</v>
      </c>
      <c r="G82" s="12">
        <v>2.1</v>
      </c>
      <c r="H82" s="81">
        <f>SUM(F82*G82/1000)</f>
        <v>149.09076000000002</v>
      </c>
      <c r="I82" s="12">
        <f>F82/12*G82</f>
        <v>12424.230000000001</v>
      </c>
    </row>
    <row r="83" spans="1:9" s="35" customFormat="1" ht="31.5" customHeight="1">
      <c r="A83" s="26">
        <v>13</v>
      </c>
      <c r="B83" s="14" t="s">
        <v>77</v>
      </c>
      <c r="C83" s="16"/>
      <c r="D83" s="109" t="s">
        <v>55</v>
      </c>
      <c r="E83" s="90">
        <v>5916.3</v>
      </c>
      <c r="F83" s="12">
        <f>E83*12</f>
        <v>70995.600000000006</v>
      </c>
      <c r="G83" s="12">
        <v>1.63</v>
      </c>
      <c r="H83" s="81">
        <f>F83*G83/1000</f>
        <v>115.72282800000001</v>
      </c>
      <c r="I83" s="12">
        <f>F83/12*G83</f>
        <v>9643.5689999999995</v>
      </c>
    </row>
    <row r="84" spans="1:9" s="35" customFormat="1" ht="15.75" customHeight="1">
      <c r="A84" s="52"/>
      <c r="B84" s="38" t="s">
        <v>80</v>
      </c>
      <c r="C84" s="40"/>
      <c r="D84" s="15"/>
      <c r="E84" s="15"/>
      <c r="F84" s="15"/>
      <c r="G84" s="18"/>
      <c r="H84" s="18"/>
      <c r="I84" s="29">
        <f>I83+I82+I65+I62+I35+I34+I32+I31+I28+I27+I18+I17+I16</f>
        <v>71612.224202888887</v>
      </c>
    </row>
    <row r="85" spans="1:9" s="35" customFormat="1" ht="15.75" customHeight="1">
      <c r="A85" s="189" t="s">
        <v>60</v>
      </c>
      <c r="B85" s="190"/>
      <c r="C85" s="190"/>
      <c r="D85" s="190"/>
      <c r="E85" s="190"/>
      <c r="F85" s="190"/>
      <c r="G85" s="190"/>
      <c r="H85" s="190"/>
      <c r="I85" s="191"/>
    </row>
    <row r="86" spans="1:9" s="35" customFormat="1" ht="31.5" customHeight="1">
      <c r="A86" s="26">
        <v>14</v>
      </c>
      <c r="B86" s="57" t="s">
        <v>164</v>
      </c>
      <c r="C86" s="59" t="s">
        <v>37</v>
      </c>
      <c r="D86" s="14"/>
      <c r="E86" s="18"/>
      <c r="F86" s="12">
        <v>8</v>
      </c>
      <c r="G86" s="34">
        <v>3724.37</v>
      </c>
      <c r="H86" s="81">
        <f t="shared" ref="H86:H96" si="14">G86*F86/1000</f>
        <v>29.79496</v>
      </c>
      <c r="I86" s="12">
        <f>G86*0.01</f>
        <v>37.243699999999997</v>
      </c>
    </row>
    <row r="87" spans="1:9" s="35" customFormat="1" ht="16.5" customHeight="1">
      <c r="A87" s="31">
        <v>15</v>
      </c>
      <c r="B87" s="123" t="s">
        <v>210</v>
      </c>
      <c r="C87" s="61" t="s">
        <v>54</v>
      </c>
      <c r="D87" s="51"/>
      <c r="E87" s="12"/>
      <c r="F87" s="12">
        <v>6</v>
      </c>
      <c r="G87" s="34">
        <v>810.85</v>
      </c>
      <c r="H87" s="81">
        <f t="shared" si="14"/>
        <v>4.8651</v>
      </c>
      <c r="I87" s="12">
        <f>G87*1</f>
        <v>810.85</v>
      </c>
    </row>
    <row r="88" spans="1:9" s="35" customFormat="1" ht="15.75" customHeight="1">
      <c r="A88" s="31">
        <v>16</v>
      </c>
      <c r="B88" s="57" t="s">
        <v>203</v>
      </c>
      <c r="C88" s="59" t="s">
        <v>84</v>
      </c>
      <c r="D88" s="51"/>
      <c r="E88" s="12"/>
      <c r="F88" s="12">
        <v>7</v>
      </c>
      <c r="G88" s="34">
        <v>203.68</v>
      </c>
      <c r="H88" s="81">
        <f t="shared" si="14"/>
        <v>1.4257599999999999</v>
      </c>
      <c r="I88" s="12">
        <f>G88*2</f>
        <v>407.36</v>
      </c>
    </row>
    <row r="89" spans="1:9" s="35" customFormat="1" ht="15.75" customHeight="1">
      <c r="A89" s="31">
        <v>17</v>
      </c>
      <c r="B89" s="60" t="s">
        <v>103</v>
      </c>
      <c r="C89" s="61" t="s">
        <v>124</v>
      </c>
      <c r="D89" s="51"/>
      <c r="E89" s="12"/>
      <c r="F89" s="12">
        <v>5</v>
      </c>
      <c r="G89" s="120">
        <v>89.59</v>
      </c>
      <c r="H89" s="81">
        <f t="shared" si="14"/>
        <v>0.44795000000000007</v>
      </c>
      <c r="I89" s="12">
        <f>G89*1</f>
        <v>89.59</v>
      </c>
    </row>
    <row r="90" spans="1:9" s="35" customFormat="1" ht="15.75" hidden="1" customHeight="1">
      <c r="A90" s="31">
        <v>19</v>
      </c>
      <c r="B90" s="57"/>
      <c r="C90" s="59"/>
      <c r="D90" s="58"/>
      <c r="E90" s="34"/>
      <c r="F90" s="34">
        <v>4</v>
      </c>
      <c r="G90" s="34"/>
      <c r="H90" s="107">
        <f t="shared" si="14"/>
        <v>0</v>
      </c>
      <c r="I90" s="12"/>
    </row>
    <row r="91" spans="1:9" s="35" customFormat="1" ht="15.75" hidden="1" customHeight="1">
      <c r="A91" s="26">
        <v>20</v>
      </c>
      <c r="B91" s="57"/>
      <c r="C91" s="59"/>
      <c r="D91" s="58"/>
      <c r="E91" s="34"/>
      <c r="F91" s="34">
        <v>2</v>
      </c>
      <c r="G91" s="34"/>
      <c r="H91" s="111">
        <f t="shared" si="14"/>
        <v>0</v>
      </c>
      <c r="I91" s="12"/>
    </row>
    <row r="92" spans="1:9" s="35" customFormat="1" ht="15.75" hidden="1" customHeight="1">
      <c r="A92" s="31">
        <v>21</v>
      </c>
      <c r="B92" s="57"/>
      <c r="C92" s="59"/>
      <c r="D92" s="58"/>
      <c r="E92" s="34"/>
      <c r="F92" s="34">
        <v>2</v>
      </c>
      <c r="G92" s="34"/>
      <c r="H92" s="111">
        <f t="shared" si="14"/>
        <v>0</v>
      </c>
      <c r="I92" s="12"/>
    </row>
    <row r="93" spans="1:9" s="35" customFormat="1" ht="31.5" hidden="1" customHeight="1">
      <c r="A93" s="31">
        <v>22</v>
      </c>
      <c r="B93" s="60"/>
      <c r="C93" s="61"/>
      <c r="D93" s="51"/>
      <c r="E93" s="34"/>
      <c r="F93" s="112">
        <v>2E-3</v>
      </c>
      <c r="G93" s="34"/>
      <c r="H93" s="113">
        <f t="shared" si="14"/>
        <v>0</v>
      </c>
      <c r="I93" s="12"/>
    </row>
    <row r="94" spans="1:9" s="35" customFormat="1" ht="31.5" hidden="1" customHeight="1">
      <c r="A94" s="31">
        <v>23</v>
      </c>
      <c r="B94" s="57"/>
      <c r="C94" s="59"/>
      <c r="D94" s="58"/>
      <c r="E94" s="34"/>
      <c r="F94" s="34">
        <f>32/10</f>
        <v>3.2</v>
      </c>
      <c r="G94" s="34"/>
      <c r="H94" s="81">
        <f t="shared" si="14"/>
        <v>0</v>
      </c>
      <c r="I94" s="12"/>
    </row>
    <row r="95" spans="1:9" s="35" customFormat="1" ht="15.75" hidden="1" customHeight="1">
      <c r="A95" s="31">
        <v>24</v>
      </c>
      <c r="B95" s="60"/>
      <c r="C95" s="61"/>
      <c r="D95" s="51"/>
      <c r="E95" s="34"/>
      <c r="F95" s="34">
        <v>1.6</v>
      </c>
      <c r="G95" s="34"/>
      <c r="H95" s="111">
        <f t="shared" si="14"/>
        <v>0</v>
      </c>
      <c r="I95" s="12"/>
    </row>
    <row r="96" spans="1:9" s="35" customFormat="1" ht="15.75" hidden="1" customHeight="1">
      <c r="A96" s="124">
        <v>25</v>
      </c>
      <c r="B96" s="125"/>
      <c r="C96" s="126"/>
      <c r="D96" s="51"/>
      <c r="E96" s="34"/>
      <c r="F96" s="34">
        <v>1</v>
      </c>
      <c r="G96" s="34"/>
      <c r="H96" s="111">
        <f t="shared" si="14"/>
        <v>0</v>
      </c>
      <c r="I96" s="12"/>
    </row>
    <row r="97" spans="1:9" s="35" customFormat="1" ht="15.75" customHeight="1">
      <c r="A97" s="26">
        <v>18</v>
      </c>
      <c r="B97" s="60" t="s">
        <v>174</v>
      </c>
      <c r="C97" s="61" t="s">
        <v>175</v>
      </c>
      <c r="D97" s="51"/>
      <c r="E97" s="34"/>
      <c r="F97" s="34"/>
      <c r="G97" s="34">
        <v>134.12</v>
      </c>
      <c r="H97" s="111"/>
      <c r="I97" s="12">
        <f>G97*31</f>
        <v>4157.72</v>
      </c>
    </row>
    <row r="98" spans="1:9" s="35" customFormat="1" ht="15.75" customHeight="1">
      <c r="A98" s="26">
        <v>19</v>
      </c>
      <c r="B98" s="57" t="s">
        <v>214</v>
      </c>
      <c r="C98" s="59" t="s">
        <v>124</v>
      </c>
      <c r="D98" s="51"/>
      <c r="E98" s="34"/>
      <c r="F98" s="34"/>
      <c r="G98" s="34">
        <v>30</v>
      </c>
      <c r="H98" s="111"/>
      <c r="I98" s="12">
        <f>G98*2</f>
        <v>60</v>
      </c>
    </row>
    <row r="99" spans="1:9" s="35" customFormat="1" ht="15.75" customHeight="1">
      <c r="A99" s="26">
        <v>20</v>
      </c>
      <c r="B99" s="57" t="s">
        <v>215</v>
      </c>
      <c r="C99" s="59" t="s">
        <v>124</v>
      </c>
      <c r="D99" s="51"/>
      <c r="E99" s="34"/>
      <c r="F99" s="34"/>
      <c r="G99" s="34">
        <v>470</v>
      </c>
      <c r="H99" s="111"/>
      <c r="I99" s="12">
        <f>G99*1</f>
        <v>470</v>
      </c>
    </row>
    <row r="100" spans="1:9" s="35" customFormat="1" ht="15.75" customHeight="1">
      <c r="A100" s="26">
        <v>21</v>
      </c>
      <c r="B100" s="57" t="s">
        <v>216</v>
      </c>
      <c r="C100" s="59" t="s">
        <v>84</v>
      </c>
      <c r="D100" s="51"/>
      <c r="E100" s="34"/>
      <c r="F100" s="34"/>
      <c r="G100" s="34">
        <v>246.93</v>
      </c>
      <c r="H100" s="111"/>
      <c r="I100" s="12">
        <f>G100*1</f>
        <v>246.93</v>
      </c>
    </row>
    <row r="101" spans="1:9" s="35" customFormat="1" ht="29.25" customHeight="1">
      <c r="A101" s="26">
        <v>22</v>
      </c>
      <c r="B101" s="57" t="s">
        <v>223</v>
      </c>
      <c r="C101" s="59" t="s">
        <v>175</v>
      </c>
      <c r="D101" s="16" t="s">
        <v>91</v>
      </c>
      <c r="E101" s="34"/>
      <c r="F101" s="34"/>
      <c r="G101" s="120">
        <v>1272</v>
      </c>
      <c r="H101" s="111"/>
      <c r="I101" s="12">
        <f>G101*3</f>
        <v>3816</v>
      </c>
    </row>
    <row r="102" spans="1:9" s="35" customFormat="1" ht="15.75" customHeight="1">
      <c r="A102" s="26">
        <v>23</v>
      </c>
      <c r="B102" s="67" t="s">
        <v>217</v>
      </c>
      <c r="C102" s="68" t="s">
        <v>124</v>
      </c>
      <c r="D102" s="51"/>
      <c r="E102" s="34"/>
      <c r="F102" s="34"/>
      <c r="G102" s="120">
        <v>89.92</v>
      </c>
      <c r="H102" s="111"/>
      <c r="I102" s="12">
        <f>G102*1</f>
        <v>89.92</v>
      </c>
    </row>
    <row r="103" spans="1:9" s="35" customFormat="1" ht="15.75" customHeight="1">
      <c r="A103" s="26">
        <v>24</v>
      </c>
      <c r="B103" s="67" t="s">
        <v>218</v>
      </c>
      <c r="C103" s="68" t="s">
        <v>124</v>
      </c>
      <c r="D103" s="51"/>
      <c r="E103" s="34"/>
      <c r="F103" s="34"/>
      <c r="G103" s="120">
        <v>95.25</v>
      </c>
      <c r="H103" s="111"/>
      <c r="I103" s="12">
        <f>G103*1</f>
        <v>95.25</v>
      </c>
    </row>
    <row r="104" spans="1:9" s="35" customFormat="1" ht="15.75" customHeight="1">
      <c r="A104" s="26">
        <v>25</v>
      </c>
      <c r="B104" s="67" t="s">
        <v>193</v>
      </c>
      <c r="C104" s="68" t="s">
        <v>124</v>
      </c>
      <c r="D104" s="51"/>
      <c r="E104" s="34"/>
      <c r="F104" s="34"/>
      <c r="G104" s="120">
        <v>169.24</v>
      </c>
      <c r="H104" s="111"/>
      <c r="I104" s="12">
        <f>G104*2</f>
        <v>338.48</v>
      </c>
    </row>
    <row r="105" spans="1:9" s="35" customFormat="1" ht="15.75" customHeight="1">
      <c r="A105" s="26">
        <v>26</v>
      </c>
      <c r="B105" s="67" t="s">
        <v>219</v>
      </c>
      <c r="C105" s="68" t="s">
        <v>124</v>
      </c>
      <c r="D105" s="51"/>
      <c r="E105" s="34"/>
      <c r="F105" s="34"/>
      <c r="G105" s="120">
        <v>5.42</v>
      </c>
      <c r="H105" s="111"/>
      <c r="I105" s="12">
        <f>G105*1</f>
        <v>5.42</v>
      </c>
    </row>
    <row r="106" spans="1:9" s="35" customFormat="1" ht="15.75" customHeight="1">
      <c r="A106" s="26">
        <v>27</v>
      </c>
      <c r="B106" s="67" t="s">
        <v>220</v>
      </c>
      <c r="C106" s="68" t="s">
        <v>124</v>
      </c>
      <c r="D106" s="51"/>
      <c r="E106" s="34"/>
      <c r="F106" s="34"/>
      <c r="G106" s="120">
        <v>10.55</v>
      </c>
      <c r="H106" s="111"/>
      <c r="I106" s="12">
        <f>G106*2</f>
        <v>21.1</v>
      </c>
    </row>
    <row r="107" spans="1:9" s="35" customFormat="1" ht="15.75" customHeight="1">
      <c r="A107" s="26">
        <v>28</v>
      </c>
      <c r="B107" s="67" t="s">
        <v>221</v>
      </c>
      <c r="C107" s="68" t="s">
        <v>124</v>
      </c>
      <c r="D107" s="51"/>
      <c r="E107" s="34"/>
      <c r="F107" s="34"/>
      <c r="G107" s="120">
        <v>5.43</v>
      </c>
      <c r="H107" s="111"/>
      <c r="I107" s="12">
        <f>G107*2</f>
        <v>10.86</v>
      </c>
    </row>
    <row r="108" spans="1:9" s="35" customFormat="1" ht="15.75" customHeight="1">
      <c r="A108" s="26">
        <v>29</v>
      </c>
      <c r="B108" s="67" t="s">
        <v>222</v>
      </c>
      <c r="C108" s="68" t="s">
        <v>124</v>
      </c>
      <c r="D108" s="51"/>
      <c r="E108" s="34"/>
      <c r="F108" s="34"/>
      <c r="G108" s="120">
        <v>23.29</v>
      </c>
      <c r="H108" s="111"/>
      <c r="I108" s="12">
        <f>G108*1</f>
        <v>23.29</v>
      </c>
    </row>
    <row r="109" spans="1:9" s="35" customFormat="1" ht="15.75" hidden="1" customHeight="1">
      <c r="A109" s="26"/>
      <c r="B109" s="134"/>
      <c r="C109" s="135"/>
      <c r="D109" s="51"/>
      <c r="E109" s="34"/>
      <c r="F109" s="34"/>
      <c r="G109" s="122"/>
      <c r="H109" s="111"/>
      <c r="I109" s="12"/>
    </row>
    <row r="110" spans="1:9" s="35" customFormat="1" ht="15.75" customHeight="1">
      <c r="A110" s="26">
        <v>30</v>
      </c>
      <c r="B110" s="57" t="s">
        <v>270</v>
      </c>
      <c r="C110" s="59"/>
      <c r="D110" s="51"/>
      <c r="E110" s="34"/>
      <c r="F110" s="34"/>
      <c r="G110" s="111">
        <v>58310</v>
      </c>
      <c r="H110" s="111"/>
      <c r="I110" s="12">
        <f>G110*1</f>
        <v>58310</v>
      </c>
    </row>
    <row r="111" spans="1:9" s="35" customFormat="1" ht="15.75" customHeight="1">
      <c r="A111" s="26"/>
      <c r="B111" s="45" t="s">
        <v>51</v>
      </c>
      <c r="C111" s="41"/>
      <c r="D111" s="53"/>
      <c r="E111" s="41">
        <v>1</v>
      </c>
      <c r="F111" s="41"/>
      <c r="G111" s="41"/>
      <c r="H111" s="41"/>
      <c r="I111" s="29">
        <f>SUM(I86:I110)</f>
        <v>68990.013699999996</v>
      </c>
    </row>
    <row r="112" spans="1:9" s="35" customFormat="1" ht="15.75" customHeight="1">
      <c r="A112" s="26"/>
      <c r="B112" s="51" t="s">
        <v>78</v>
      </c>
      <c r="C112" s="15"/>
      <c r="D112" s="15"/>
      <c r="E112" s="42"/>
      <c r="F112" s="42"/>
      <c r="G112" s="43"/>
      <c r="H112" s="43"/>
      <c r="I112" s="17">
        <v>0</v>
      </c>
    </row>
    <row r="113" spans="1:9" s="35" customFormat="1" ht="15.75" customHeight="1">
      <c r="A113" s="54"/>
      <c r="B113" s="46" t="s">
        <v>152</v>
      </c>
      <c r="C113" s="32"/>
      <c r="D113" s="32"/>
      <c r="E113" s="32"/>
      <c r="F113" s="32"/>
      <c r="G113" s="32"/>
      <c r="H113" s="32"/>
      <c r="I113" s="44">
        <f>I84+I111</f>
        <v>140602.23790288888</v>
      </c>
    </row>
    <row r="114" spans="1:9" ht="15.75" customHeight="1">
      <c r="A114" s="173" t="s">
        <v>290</v>
      </c>
      <c r="B114" s="173"/>
      <c r="C114" s="173"/>
      <c r="D114" s="173"/>
      <c r="E114" s="173"/>
      <c r="F114" s="173"/>
      <c r="G114" s="173"/>
      <c r="H114" s="173"/>
      <c r="I114" s="173"/>
    </row>
    <row r="115" spans="1:9" ht="15.75" customHeight="1">
      <c r="A115" s="75"/>
      <c r="B115" s="197" t="s">
        <v>291</v>
      </c>
      <c r="C115" s="197"/>
      <c r="D115" s="197"/>
      <c r="E115" s="197"/>
      <c r="F115" s="197"/>
      <c r="G115" s="197"/>
      <c r="H115" s="80"/>
      <c r="I115" s="3"/>
    </row>
    <row r="116" spans="1:9" ht="15.75" customHeight="1">
      <c r="A116" s="69"/>
      <c r="B116" s="193" t="s">
        <v>6</v>
      </c>
      <c r="C116" s="193"/>
      <c r="D116" s="193"/>
      <c r="E116" s="193"/>
      <c r="F116" s="193"/>
      <c r="G116" s="193"/>
      <c r="H116" s="21"/>
      <c r="I116" s="5"/>
    </row>
    <row r="117" spans="1:9" ht="8.25" customHeight="1">
      <c r="A117" s="9"/>
      <c r="B117" s="9"/>
      <c r="C117" s="9"/>
      <c r="D117" s="9"/>
      <c r="E117" s="9"/>
      <c r="F117" s="9"/>
      <c r="G117" s="9"/>
      <c r="H117" s="9"/>
      <c r="I117" s="9"/>
    </row>
    <row r="118" spans="1:9" ht="15.75" customHeight="1">
      <c r="A118" s="198" t="s">
        <v>7</v>
      </c>
      <c r="B118" s="198"/>
      <c r="C118" s="198"/>
      <c r="D118" s="198"/>
      <c r="E118" s="198"/>
      <c r="F118" s="198"/>
      <c r="G118" s="198"/>
      <c r="H118" s="198"/>
      <c r="I118" s="198"/>
    </row>
    <row r="119" spans="1:9" ht="15.75" customHeight="1">
      <c r="A119" s="198" t="s">
        <v>8</v>
      </c>
      <c r="B119" s="198"/>
      <c r="C119" s="198"/>
      <c r="D119" s="198"/>
      <c r="E119" s="198"/>
      <c r="F119" s="198"/>
      <c r="G119" s="198"/>
      <c r="H119" s="198"/>
      <c r="I119" s="198"/>
    </row>
    <row r="120" spans="1:9" ht="15.75" customHeight="1">
      <c r="A120" s="199" t="s">
        <v>61</v>
      </c>
      <c r="B120" s="199"/>
      <c r="C120" s="199"/>
      <c r="D120" s="199"/>
      <c r="E120" s="199"/>
      <c r="F120" s="199"/>
      <c r="G120" s="199"/>
      <c r="H120" s="199"/>
      <c r="I120" s="199"/>
    </row>
    <row r="121" spans="1:9" ht="15.75" customHeight="1">
      <c r="A121" s="10"/>
    </row>
    <row r="122" spans="1:9" ht="15.75" customHeight="1">
      <c r="A122" s="180" t="s">
        <v>9</v>
      </c>
      <c r="B122" s="180"/>
      <c r="C122" s="180"/>
      <c r="D122" s="180"/>
      <c r="E122" s="180"/>
      <c r="F122" s="180"/>
      <c r="G122" s="180"/>
      <c r="H122" s="180"/>
      <c r="I122" s="180"/>
    </row>
    <row r="123" spans="1:9" ht="15.75" customHeight="1">
      <c r="A123" s="4"/>
    </row>
    <row r="124" spans="1:9" ht="15.75" customHeight="1">
      <c r="B124" s="74" t="s">
        <v>10</v>
      </c>
      <c r="C124" s="192" t="s">
        <v>90</v>
      </c>
      <c r="D124" s="192"/>
      <c r="E124" s="192"/>
      <c r="F124" s="78"/>
      <c r="I124" s="71"/>
    </row>
    <row r="125" spans="1:9" ht="15.75" customHeight="1">
      <c r="A125" s="69"/>
      <c r="C125" s="193" t="s">
        <v>11</v>
      </c>
      <c r="D125" s="193"/>
      <c r="E125" s="193"/>
      <c r="F125" s="21"/>
      <c r="I125" s="70" t="s">
        <v>12</v>
      </c>
    </row>
    <row r="126" spans="1:9" ht="15.75" customHeight="1">
      <c r="A126" s="22"/>
      <c r="C126" s="11"/>
      <c r="D126" s="11"/>
      <c r="G126" s="11"/>
      <c r="H126" s="11"/>
    </row>
    <row r="127" spans="1:9" ht="15.75" customHeight="1">
      <c r="B127" s="74" t="s">
        <v>13</v>
      </c>
      <c r="C127" s="194"/>
      <c r="D127" s="194"/>
      <c r="E127" s="194"/>
      <c r="F127" s="79"/>
      <c r="I127" s="71"/>
    </row>
    <row r="128" spans="1:9" ht="15.75" customHeight="1">
      <c r="A128" s="69"/>
      <c r="C128" s="195" t="s">
        <v>11</v>
      </c>
      <c r="D128" s="195"/>
      <c r="E128" s="195"/>
      <c r="F128" s="69"/>
      <c r="I128" s="70" t="s">
        <v>12</v>
      </c>
    </row>
    <row r="129" spans="1:9" ht="15.75" customHeight="1">
      <c r="A129" s="4" t="s">
        <v>14</v>
      </c>
    </row>
    <row r="130" spans="1:9">
      <c r="A130" s="196" t="s">
        <v>15</v>
      </c>
      <c r="B130" s="196"/>
      <c r="C130" s="196"/>
      <c r="D130" s="196"/>
      <c r="E130" s="196"/>
      <c r="F130" s="196"/>
      <c r="G130" s="196"/>
      <c r="H130" s="196"/>
      <c r="I130" s="196"/>
    </row>
    <row r="131" spans="1:9" ht="45" customHeight="1">
      <c r="A131" s="185" t="s">
        <v>16</v>
      </c>
      <c r="B131" s="185"/>
      <c r="C131" s="185"/>
      <c r="D131" s="185"/>
      <c r="E131" s="185"/>
      <c r="F131" s="185"/>
      <c r="G131" s="185"/>
      <c r="H131" s="185"/>
      <c r="I131" s="185"/>
    </row>
    <row r="132" spans="1:9" ht="30" customHeight="1">
      <c r="A132" s="185" t="s">
        <v>17</v>
      </c>
      <c r="B132" s="185"/>
      <c r="C132" s="185"/>
      <c r="D132" s="185"/>
      <c r="E132" s="185"/>
      <c r="F132" s="185"/>
      <c r="G132" s="185"/>
      <c r="H132" s="185"/>
      <c r="I132" s="185"/>
    </row>
    <row r="133" spans="1:9" ht="30" customHeight="1">
      <c r="A133" s="185" t="s">
        <v>21</v>
      </c>
      <c r="B133" s="185"/>
      <c r="C133" s="185"/>
      <c r="D133" s="185"/>
      <c r="E133" s="185"/>
      <c r="F133" s="185"/>
      <c r="G133" s="185"/>
      <c r="H133" s="185"/>
      <c r="I133" s="185"/>
    </row>
    <row r="134" spans="1:9" ht="14.25" customHeight="1">
      <c r="A134" s="185" t="s">
        <v>20</v>
      </c>
      <c r="B134" s="185"/>
      <c r="C134" s="185"/>
      <c r="D134" s="185"/>
      <c r="E134" s="185"/>
      <c r="F134" s="185"/>
      <c r="G134" s="185"/>
      <c r="H134" s="185"/>
      <c r="I134" s="185"/>
    </row>
  </sheetData>
  <autoFilter ref="I12:I71"/>
  <mergeCells count="29">
    <mergeCell ref="A130:I130"/>
    <mergeCell ref="A131:I131"/>
    <mergeCell ref="A132:I132"/>
    <mergeCell ref="A133:I133"/>
    <mergeCell ref="A134:I134"/>
    <mergeCell ref="R77:U77"/>
    <mergeCell ref="C128:E128"/>
    <mergeCell ref="A85:I85"/>
    <mergeCell ref="A114:I114"/>
    <mergeCell ref="B115:G115"/>
    <mergeCell ref="B116:G116"/>
    <mergeCell ref="A118:I118"/>
    <mergeCell ref="A119:I119"/>
    <mergeCell ref="A120:I120"/>
    <mergeCell ref="A122:I122"/>
    <mergeCell ref="C124:E124"/>
    <mergeCell ref="C125:E125"/>
    <mergeCell ref="C127:E127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21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2"/>
  <sheetViews>
    <sheetView topLeftCell="A84" workbookViewId="0">
      <selection activeCell="J96" sqref="J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85546875" hidden="1" customWidth="1"/>
    <col min="6" max="6" width="12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207</v>
      </c>
      <c r="I1" s="23"/>
      <c r="J1" s="1"/>
      <c r="K1" s="1"/>
      <c r="L1" s="1"/>
      <c r="M1" s="1"/>
    </row>
    <row r="2" spans="1:13" ht="15.75" customHeight="1">
      <c r="A2" s="25" t="s">
        <v>62</v>
      </c>
      <c r="J2" s="2"/>
      <c r="K2" s="2"/>
      <c r="L2" s="2"/>
      <c r="M2" s="2"/>
    </row>
    <row r="3" spans="1:13" ht="15.75" customHeight="1">
      <c r="A3" s="174" t="s">
        <v>168</v>
      </c>
      <c r="B3" s="174"/>
      <c r="C3" s="174"/>
      <c r="D3" s="174"/>
      <c r="E3" s="174"/>
      <c r="F3" s="174"/>
      <c r="G3" s="174"/>
      <c r="H3" s="174"/>
      <c r="I3" s="174"/>
      <c r="J3" s="3"/>
      <c r="K3" s="3"/>
      <c r="L3" s="3"/>
    </row>
    <row r="4" spans="1:13" ht="31.5" customHeight="1">
      <c r="A4" s="175" t="s">
        <v>132</v>
      </c>
      <c r="B4" s="175"/>
      <c r="C4" s="175"/>
      <c r="D4" s="175"/>
      <c r="E4" s="175"/>
      <c r="F4" s="175"/>
      <c r="G4" s="175"/>
      <c r="H4" s="175"/>
      <c r="I4" s="175"/>
    </row>
    <row r="5" spans="1:13" ht="15.75" customHeight="1">
      <c r="A5" s="174" t="s">
        <v>233</v>
      </c>
      <c r="B5" s="176"/>
      <c r="C5" s="176"/>
      <c r="D5" s="176"/>
      <c r="E5" s="176"/>
      <c r="F5" s="176"/>
      <c r="G5" s="176"/>
      <c r="H5" s="176"/>
      <c r="I5" s="176"/>
      <c r="J5" s="2"/>
      <c r="K5" s="2"/>
      <c r="L5" s="2"/>
      <c r="M5" s="2"/>
    </row>
    <row r="6" spans="1:13" ht="15.75" customHeight="1">
      <c r="A6" s="2"/>
      <c r="B6" s="72"/>
      <c r="C6" s="72"/>
      <c r="D6" s="72"/>
      <c r="E6" s="72"/>
      <c r="F6" s="72"/>
      <c r="G6" s="72"/>
      <c r="H6" s="72"/>
      <c r="I6" s="27">
        <v>43373</v>
      </c>
      <c r="J6" s="2"/>
      <c r="K6" s="2"/>
      <c r="L6" s="2"/>
      <c r="M6" s="2"/>
    </row>
    <row r="7" spans="1:13" ht="15.75" customHeight="1">
      <c r="B7" s="74"/>
      <c r="C7" s="74"/>
      <c r="D7" s="7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7" t="s">
        <v>208</v>
      </c>
      <c r="B8" s="177"/>
      <c r="C8" s="177"/>
      <c r="D8" s="177"/>
      <c r="E8" s="177"/>
      <c r="F8" s="177"/>
      <c r="G8" s="177"/>
      <c r="H8" s="177"/>
      <c r="I8" s="17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78" t="s">
        <v>173</v>
      </c>
      <c r="B10" s="178"/>
      <c r="C10" s="178"/>
      <c r="D10" s="178"/>
      <c r="E10" s="178"/>
      <c r="F10" s="178"/>
      <c r="G10" s="178"/>
      <c r="H10" s="178"/>
      <c r="I10" s="17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179" t="s">
        <v>59</v>
      </c>
      <c r="B14" s="179"/>
      <c r="C14" s="179"/>
      <c r="D14" s="179"/>
      <c r="E14" s="179"/>
      <c r="F14" s="179"/>
      <c r="G14" s="179"/>
      <c r="H14" s="179"/>
      <c r="I14" s="179"/>
      <c r="J14" s="62"/>
      <c r="K14" s="62"/>
      <c r="L14" s="62"/>
      <c r="M14" s="62"/>
    </row>
    <row r="15" spans="1:13" s="35" customFormat="1" ht="15.75" customHeight="1">
      <c r="A15" s="181" t="s">
        <v>4</v>
      </c>
      <c r="B15" s="181"/>
      <c r="C15" s="181"/>
      <c r="D15" s="181"/>
      <c r="E15" s="181"/>
      <c r="F15" s="181"/>
      <c r="G15" s="181"/>
      <c r="H15" s="181"/>
      <c r="I15" s="181"/>
      <c r="J15" s="62"/>
      <c r="K15" s="62"/>
      <c r="L15" s="62"/>
      <c r="M15" s="62"/>
    </row>
    <row r="16" spans="1:13" s="35" customFormat="1" ht="15.75" customHeight="1">
      <c r="A16" s="26">
        <v>1</v>
      </c>
      <c r="B16" s="88" t="s">
        <v>87</v>
      </c>
      <c r="C16" s="89" t="s">
        <v>105</v>
      </c>
      <c r="D16" s="88" t="s">
        <v>106</v>
      </c>
      <c r="E16" s="90">
        <v>169.2</v>
      </c>
      <c r="F16" s="136">
        <f>SUM(E16*156/100)</f>
        <v>263.952</v>
      </c>
      <c r="G16" s="136">
        <v>239.2</v>
      </c>
      <c r="H16" s="92">
        <f t="shared" ref="H16:H26" si="0">SUM(F16*G16/1000)</f>
        <v>63.137318399999998</v>
      </c>
      <c r="I16" s="12">
        <f>F16/12*G16</f>
        <v>5261.4431999999997</v>
      </c>
      <c r="J16" s="62"/>
      <c r="K16" s="62"/>
      <c r="L16" s="62"/>
      <c r="M16" s="62"/>
    </row>
    <row r="17" spans="1:13" s="35" customFormat="1" ht="15.75" customHeight="1">
      <c r="A17" s="26">
        <v>2</v>
      </c>
      <c r="B17" s="88" t="s">
        <v>93</v>
      </c>
      <c r="C17" s="89" t="s">
        <v>105</v>
      </c>
      <c r="D17" s="88" t="s">
        <v>107</v>
      </c>
      <c r="E17" s="90">
        <v>676.6</v>
      </c>
      <c r="F17" s="136">
        <f>SUM(E17*104/100)</f>
        <v>703.6640000000001</v>
      </c>
      <c r="G17" s="136">
        <v>239.2</v>
      </c>
      <c r="H17" s="92">
        <f t="shared" si="0"/>
        <v>168.31642880000001</v>
      </c>
      <c r="I17" s="12">
        <f>F17/12*G17</f>
        <v>14026.369066666668</v>
      </c>
      <c r="J17" s="63"/>
      <c r="K17" s="62"/>
      <c r="L17" s="62"/>
      <c r="M17" s="62"/>
    </row>
    <row r="18" spans="1:13" s="35" customFormat="1" ht="15.75" customHeight="1">
      <c r="A18" s="26">
        <v>3</v>
      </c>
      <c r="B18" s="88" t="s">
        <v>94</v>
      </c>
      <c r="C18" s="89" t="s">
        <v>105</v>
      </c>
      <c r="D18" s="88" t="s">
        <v>108</v>
      </c>
      <c r="E18" s="90">
        <f>SUM(E16+E17)</f>
        <v>845.8</v>
      </c>
      <c r="F18" s="136">
        <f>E18*18/100</f>
        <v>152.244</v>
      </c>
      <c r="G18" s="136">
        <v>688.14</v>
      </c>
      <c r="H18" s="92">
        <f t="shared" si="0"/>
        <v>104.76518616</v>
      </c>
      <c r="I18" s="12">
        <f>F18/12*G18</f>
        <v>8730.4321799999998</v>
      </c>
      <c r="J18" s="63"/>
      <c r="K18" s="62"/>
      <c r="L18" s="62"/>
      <c r="M18" s="62"/>
    </row>
    <row r="19" spans="1:13" s="35" customFormat="1" ht="15.75" hidden="1" customHeight="1">
      <c r="A19" s="26">
        <v>4</v>
      </c>
      <c r="B19" s="88" t="s">
        <v>109</v>
      </c>
      <c r="C19" s="89" t="s">
        <v>110</v>
      </c>
      <c r="D19" s="88" t="s">
        <v>111</v>
      </c>
      <c r="E19" s="90">
        <v>51.2</v>
      </c>
      <c r="F19" s="91">
        <f>SUM(E19/10)</f>
        <v>5.12</v>
      </c>
      <c r="G19" s="91">
        <v>170.16</v>
      </c>
      <c r="H19" s="92">
        <f t="shared" si="0"/>
        <v>0.87121919999999997</v>
      </c>
      <c r="I19" s="12">
        <f>F19/2*G19</f>
        <v>435.6096</v>
      </c>
      <c r="J19" s="63"/>
      <c r="K19" s="62"/>
      <c r="L19" s="62"/>
      <c r="M19" s="62"/>
    </row>
    <row r="20" spans="1:13" s="35" customFormat="1" ht="15.75" hidden="1" customHeight="1">
      <c r="A20" s="26">
        <v>5</v>
      </c>
      <c r="B20" s="88" t="s">
        <v>97</v>
      </c>
      <c r="C20" s="89" t="s">
        <v>105</v>
      </c>
      <c r="D20" s="88" t="s">
        <v>53</v>
      </c>
      <c r="E20" s="90">
        <v>57.5</v>
      </c>
      <c r="F20" s="91">
        <f>SUM(E20/100)</f>
        <v>0.57499999999999996</v>
      </c>
      <c r="G20" s="91">
        <v>217.88</v>
      </c>
      <c r="H20" s="92">
        <f t="shared" si="0"/>
        <v>0.125281</v>
      </c>
      <c r="I20" s="12">
        <f>F20*G20</f>
        <v>125.28099999999999</v>
      </c>
      <c r="J20" s="63"/>
      <c r="K20" s="62"/>
      <c r="L20" s="62"/>
      <c r="M20" s="62"/>
    </row>
    <row r="21" spans="1:13" s="35" customFormat="1" ht="15.75" hidden="1" customHeight="1">
      <c r="A21" s="26">
        <v>6</v>
      </c>
      <c r="B21" s="88" t="s">
        <v>98</v>
      </c>
      <c r="C21" s="89" t="s">
        <v>105</v>
      </c>
      <c r="D21" s="88" t="s">
        <v>53</v>
      </c>
      <c r="E21" s="90">
        <v>13.41</v>
      </c>
      <c r="F21" s="91">
        <f>SUM(E21/100)</f>
        <v>0.1341</v>
      </c>
      <c r="G21" s="91">
        <v>216.12</v>
      </c>
      <c r="H21" s="92">
        <f t="shared" si="0"/>
        <v>2.8981692E-2</v>
      </c>
      <c r="I21" s="12">
        <f t="shared" ref="I21:I26" si="1">F21*G21</f>
        <v>28.981691999999999</v>
      </c>
      <c r="J21" s="63"/>
      <c r="K21" s="62"/>
      <c r="L21" s="62"/>
      <c r="M21" s="62"/>
    </row>
    <row r="22" spans="1:13" s="35" customFormat="1" ht="15.75" hidden="1" customHeight="1">
      <c r="A22" s="26">
        <v>7</v>
      </c>
      <c r="B22" s="88" t="s">
        <v>112</v>
      </c>
      <c r="C22" s="89" t="s">
        <v>52</v>
      </c>
      <c r="D22" s="88" t="s">
        <v>111</v>
      </c>
      <c r="E22" s="90">
        <v>1025.5999999999999</v>
      </c>
      <c r="F22" s="91">
        <f>SUM(E22/100)</f>
        <v>10.255999999999998</v>
      </c>
      <c r="G22" s="91">
        <v>269.26</v>
      </c>
      <c r="H22" s="92">
        <f t="shared" si="0"/>
        <v>2.7615305599999997</v>
      </c>
      <c r="I22" s="12">
        <f t="shared" si="1"/>
        <v>2761.5305599999997</v>
      </c>
      <c r="J22" s="63"/>
      <c r="K22" s="62"/>
      <c r="L22" s="62"/>
      <c r="M22" s="62"/>
    </row>
    <row r="23" spans="1:13" s="35" customFormat="1" ht="15.75" hidden="1" customHeight="1">
      <c r="A23" s="26">
        <v>8</v>
      </c>
      <c r="B23" s="88" t="s">
        <v>113</v>
      </c>
      <c r="C23" s="89" t="s">
        <v>52</v>
      </c>
      <c r="D23" s="88" t="s">
        <v>111</v>
      </c>
      <c r="E23" s="93">
        <v>60.5</v>
      </c>
      <c r="F23" s="91">
        <f>SUM(E23/100)</f>
        <v>0.60499999999999998</v>
      </c>
      <c r="G23" s="91">
        <v>44.29</v>
      </c>
      <c r="H23" s="92">
        <f t="shared" si="0"/>
        <v>2.6795449999999998E-2</v>
      </c>
      <c r="I23" s="12">
        <f t="shared" si="1"/>
        <v>26.795449999999999</v>
      </c>
      <c r="J23" s="63"/>
      <c r="K23" s="62"/>
      <c r="L23" s="62"/>
      <c r="M23" s="62"/>
    </row>
    <row r="24" spans="1:13" s="35" customFormat="1" ht="15.75" hidden="1" customHeight="1">
      <c r="A24" s="26">
        <v>9</v>
      </c>
      <c r="B24" s="88" t="s">
        <v>101</v>
      </c>
      <c r="C24" s="89" t="s">
        <v>52</v>
      </c>
      <c r="D24" s="88" t="s">
        <v>53</v>
      </c>
      <c r="E24" s="94">
        <v>19.149999999999999</v>
      </c>
      <c r="F24" s="91">
        <f>E24/100</f>
        <v>0.19149999999999998</v>
      </c>
      <c r="G24" s="91">
        <v>389.42</v>
      </c>
      <c r="H24" s="92">
        <f>G24*F24/100</f>
        <v>0.74573929999999988</v>
      </c>
      <c r="I24" s="12">
        <f t="shared" si="1"/>
        <v>74.57392999999999</v>
      </c>
      <c r="J24" s="63"/>
      <c r="K24" s="62"/>
      <c r="L24" s="62"/>
      <c r="M24" s="62"/>
    </row>
    <row r="25" spans="1:13" s="35" customFormat="1" ht="31.5" hidden="1" customHeight="1">
      <c r="A25" s="26">
        <v>10</v>
      </c>
      <c r="B25" s="88" t="s">
        <v>134</v>
      </c>
      <c r="C25" s="89" t="s">
        <v>52</v>
      </c>
      <c r="D25" s="88" t="s">
        <v>53</v>
      </c>
      <c r="E25" s="95">
        <v>31.5</v>
      </c>
      <c r="F25" s="91">
        <f>E25/100</f>
        <v>0.315</v>
      </c>
      <c r="G25" s="91">
        <v>216.12</v>
      </c>
      <c r="H25" s="92">
        <f>G25*F25/1000</f>
        <v>6.8077799999999994E-2</v>
      </c>
      <c r="I25" s="12">
        <f t="shared" si="1"/>
        <v>68.077799999999996</v>
      </c>
      <c r="J25" s="63"/>
      <c r="K25" s="62"/>
      <c r="L25" s="62"/>
      <c r="M25" s="62"/>
    </row>
    <row r="26" spans="1:13" s="35" customFormat="1" ht="15.75" hidden="1" customHeight="1">
      <c r="A26" s="26">
        <v>11</v>
      </c>
      <c r="B26" s="88" t="s">
        <v>102</v>
      </c>
      <c r="C26" s="89" t="s">
        <v>52</v>
      </c>
      <c r="D26" s="88" t="s">
        <v>53</v>
      </c>
      <c r="E26" s="90">
        <v>37.5</v>
      </c>
      <c r="F26" s="91">
        <f>SUM(E26/100)</f>
        <v>0.375</v>
      </c>
      <c r="G26" s="91">
        <v>520.79999999999995</v>
      </c>
      <c r="H26" s="92">
        <f t="shared" si="0"/>
        <v>0.19529999999999997</v>
      </c>
      <c r="I26" s="12">
        <f t="shared" si="1"/>
        <v>195.29999999999998</v>
      </c>
      <c r="J26" s="63"/>
      <c r="K26" s="62"/>
      <c r="L26" s="62"/>
      <c r="M26" s="62"/>
    </row>
    <row r="27" spans="1:13" s="35" customFormat="1" ht="15.75" customHeight="1">
      <c r="A27" s="26">
        <v>4</v>
      </c>
      <c r="B27" s="88" t="s">
        <v>64</v>
      </c>
      <c r="C27" s="89" t="s">
        <v>33</v>
      </c>
      <c r="D27" s="88"/>
      <c r="E27" s="90">
        <v>0.1</v>
      </c>
      <c r="F27" s="136">
        <f>SUM(E27*155)</f>
        <v>15.5</v>
      </c>
      <c r="G27" s="136">
        <v>275.45</v>
      </c>
      <c r="H27" s="92">
        <f t="shared" ref="H27:H28" si="2">SUM(F27*G27/1000)</f>
        <v>4.269474999999999</v>
      </c>
      <c r="I27" s="12">
        <f>F27/12*G27</f>
        <v>355.78958333333333</v>
      </c>
      <c r="J27" s="63"/>
      <c r="K27" s="62"/>
      <c r="L27" s="62"/>
      <c r="M27" s="62"/>
    </row>
    <row r="28" spans="1:13" s="35" customFormat="1" ht="15.75" customHeight="1">
      <c r="A28" s="26">
        <v>5</v>
      </c>
      <c r="B28" s="96" t="s">
        <v>23</v>
      </c>
      <c r="C28" s="89" t="s">
        <v>24</v>
      </c>
      <c r="D28" s="96"/>
      <c r="E28" s="90">
        <v>5916.3</v>
      </c>
      <c r="F28" s="136">
        <f>SUM(E28*12)</f>
        <v>70995.600000000006</v>
      </c>
      <c r="G28" s="136">
        <v>4.54</v>
      </c>
      <c r="H28" s="92">
        <f t="shared" si="2"/>
        <v>322.32002400000005</v>
      </c>
      <c r="I28" s="12">
        <f>F28/12*G28</f>
        <v>26860.002</v>
      </c>
      <c r="J28" s="63"/>
      <c r="K28" s="62"/>
      <c r="L28" s="62"/>
      <c r="M28" s="62"/>
    </row>
    <row r="29" spans="1:13" s="35" customFormat="1" ht="15.75" customHeight="1">
      <c r="A29" s="181" t="s">
        <v>85</v>
      </c>
      <c r="B29" s="181"/>
      <c r="C29" s="181"/>
      <c r="D29" s="181"/>
      <c r="E29" s="181"/>
      <c r="F29" s="181"/>
      <c r="G29" s="181"/>
      <c r="H29" s="181"/>
      <c r="I29" s="181"/>
      <c r="J29" s="63"/>
      <c r="K29" s="62"/>
      <c r="L29" s="62"/>
      <c r="M29" s="62"/>
    </row>
    <row r="30" spans="1:13" s="35" customFormat="1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3"/>
      <c r="K30" s="62"/>
      <c r="L30" s="62"/>
      <c r="M30" s="62"/>
    </row>
    <row r="31" spans="1:13" s="35" customFormat="1" ht="15.75" customHeight="1">
      <c r="A31" s="40">
        <v>6</v>
      </c>
      <c r="B31" s="88" t="s">
        <v>114</v>
      </c>
      <c r="C31" s="89" t="s">
        <v>115</v>
      </c>
      <c r="D31" s="88" t="s">
        <v>116</v>
      </c>
      <c r="E31" s="136">
        <v>423</v>
      </c>
      <c r="F31" s="136">
        <f>SUM(E31*52/1000)</f>
        <v>21.995999999999999</v>
      </c>
      <c r="G31" s="136">
        <v>212.62</v>
      </c>
      <c r="H31" s="92">
        <f t="shared" ref="H31:H33" si="3">SUM(F31*G31/1000)</f>
        <v>4.6767895200000007</v>
      </c>
      <c r="I31" s="12">
        <f>F31/6*G31</f>
        <v>779.46492000000001</v>
      </c>
      <c r="J31" s="63"/>
      <c r="K31" s="62"/>
      <c r="L31" s="62"/>
      <c r="M31" s="62"/>
    </row>
    <row r="32" spans="1:13" s="35" customFormat="1" ht="31.5" customHeight="1">
      <c r="A32" s="40">
        <v>7</v>
      </c>
      <c r="B32" s="88" t="s">
        <v>145</v>
      </c>
      <c r="C32" s="89" t="s">
        <v>115</v>
      </c>
      <c r="D32" s="88" t="s">
        <v>117</v>
      </c>
      <c r="E32" s="91">
        <v>289.39999999999998</v>
      </c>
      <c r="F32" s="136">
        <f>SUM(E32*52/1000)</f>
        <v>15.0488</v>
      </c>
      <c r="G32" s="136">
        <v>352.77</v>
      </c>
      <c r="H32" s="92">
        <f t="shared" si="3"/>
        <v>5.3087651759999996</v>
      </c>
      <c r="I32" s="12">
        <f t="shared" ref="I32:I35" si="4">F32/6*G32</f>
        <v>884.79419599999994</v>
      </c>
      <c r="J32" s="63"/>
      <c r="K32" s="62"/>
      <c r="L32" s="62"/>
      <c r="M32" s="62"/>
    </row>
    <row r="33" spans="1:14" s="35" customFormat="1" ht="15.75" hidden="1" customHeight="1">
      <c r="A33" s="40">
        <v>16</v>
      </c>
      <c r="B33" s="88" t="s">
        <v>27</v>
      </c>
      <c r="C33" s="89" t="s">
        <v>115</v>
      </c>
      <c r="D33" s="88" t="s">
        <v>53</v>
      </c>
      <c r="E33" s="91">
        <v>900.1</v>
      </c>
      <c r="F33" s="91">
        <f>SUM(E33/1000)</f>
        <v>0.90010000000000001</v>
      </c>
      <c r="G33" s="91">
        <v>3020.33</v>
      </c>
      <c r="H33" s="92">
        <f t="shared" si="3"/>
        <v>2.7185990329999998</v>
      </c>
      <c r="I33" s="12">
        <f>F33*G33</f>
        <v>2718.599033</v>
      </c>
      <c r="J33" s="63"/>
      <c r="K33" s="62"/>
      <c r="L33" s="62"/>
      <c r="M33" s="62"/>
    </row>
    <row r="34" spans="1:14" s="35" customFormat="1" ht="15.75" customHeight="1">
      <c r="A34" s="40">
        <v>8</v>
      </c>
      <c r="B34" s="88" t="s">
        <v>143</v>
      </c>
      <c r="C34" s="89" t="s">
        <v>39</v>
      </c>
      <c r="D34" s="88" t="s">
        <v>144</v>
      </c>
      <c r="E34" s="91">
        <v>8</v>
      </c>
      <c r="F34" s="136">
        <v>12.4</v>
      </c>
      <c r="G34" s="136">
        <v>1775.94</v>
      </c>
      <c r="H34" s="92">
        <v>16.145</v>
      </c>
      <c r="I34" s="12">
        <f t="shared" si="4"/>
        <v>3670.2760000000003</v>
      </c>
      <c r="J34" s="63"/>
      <c r="K34" s="62"/>
      <c r="L34" s="62"/>
      <c r="M34" s="62"/>
    </row>
    <row r="35" spans="1:14" s="35" customFormat="1" ht="15.75" customHeight="1">
      <c r="A35" s="40">
        <v>9</v>
      </c>
      <c r="B35" s="88" t="s">
        <v>118</v>
      </c>
      <c r="C35" s="89" t="s">
        <v>30</v>
      </c>
      <c r="D35" s="88" t="s">
        <v>63</v>
      </c>
      <c r="E35" s="97">
        <v>0.33</v>
      </c>
      <c r="F35" s="136">
        <v>51.666666666666664</v>
      </c>
      <c r="G35" s="136">
        <v>77.33</v>
      </c>
      <c r="H35" s="92">
        <f>SUM(G35*155/3/1000)</f>
        <v>3.9953833333333333</v>
      </c>
      <c r="I35" s="12">
        <f t="shared" si="4"/>
        <v>665.89722222222213</v>
      </c>
      <c r="J35" s="63"/>
      <c r="K35" s="62"/>
      <c r="L35" s="62"/>
      <c r="M35" s="62"/>
    </row>
    <row r="36" spans="1:14" s="35" customFormat="1" ht="15.75" hidden="1" customHeight="1">
      <c r="A36" s="40">
        <v>4</v>
      </c>
      <c r="B36" s="88" t="s">
        <v>65</v>
      </c>
      <c r="C36" s="89" t="s">
        <v>33</v>
      </c>
      <c r="D36" s="88" t="s">
        <v>67</v>
      </c>
      <c r="E36" s="90"/>
      <c r="F36" s="91">
        <v>3</v>
      </c>
      <c r="G36" s="91">
        <v>191.32</v>
      </c>
      <c r="H36" s="92">
        <f t="shared" ref="H36:H37" si="5">SUM(F36*G36/1000)</f>
        <v>0.57396000000000003</v>
      </c>
      <c r="I36" s="12">
        <v>0</v>
      </c>
      <c r="J36" s="63"/>
      <c r="K36" s="62"/>
    </row>
    <row r="37" spans="1:14" s="35" customFormat="1" ht="15.75" hidden="1" customHeight="1">
      <c r="A37" s="26">
        <v>8</v>
      </c>
      <c r="B37" s="88" t="s">
        <v>66</v>
      </c>
      <c r="C37" s="89" t="s">
        <v>32</v>
      </c>
      <c r="D37" s="88" t="s">
        <v>67</v>
      </c>
      <c r="E37" s="90"/>
      <c r="F37" s="91">
        <v>2</v>
      </c>
      <c r="G37" s="91">
        <v>1136.32</v>
      </c>
      <c r="H37" s="92">
        <f t="shared" si="5"/>
        <v>2.27264</v>
      </c>
      <c r="I37" s="12">
        <v>0</v>
      </c>
      <c r="J37" s="64"/>
    </row>
    <row r="38" spans="1:14" s="35" customFormat="1" ht="15.75" hidden="1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4"/>
    </row>
    <row r="39" spans="1:14" s="35" customFormat="1" ht="15.75" hidden="1" customHeight="1">
      <c r="A39" s="31">
        <v>6</v>
      </c>
      <c r="B39" s="88" t="s">
        <v>26</v>
      </c>
      <c r="C39" s="89" t="s">
        <v>32</v>
      </c>
      <c r="D39" s="88"/>
      <c r="E39" s="90"/>
      <c r="F39" s="91">
        <v>10</v>
      </c>
      <c r="G39" s="91">
        <v>1527.22</v>
      </c>
      <c r="H39" s="92">
        <f t="shared" ref="H39:H45" si="6">SUM(F39*G39/1000)</f>
        <v>15.272200000000002</v>
      </c>
      <c r="I39" s="12">
        <f t="shared" ref="I39:I45" si="7">F39/6*G39</f>
        <v>2545.3666666666668</v>
      </c>
      <c r="J39" s="64"/>
    </row>
    <row r="40" spans="1:14" s="35" customFormat="1" ht="15.75" hidden="1" customHeight="1">
      <c r="A40" s="31">
        <v>7</v>
      </c>
      <c r="B40" s="88" t="s">
        <v>104</v>
      </c>
      <c r="C40" s="89" t="s">
        <v>29</v>
      </c>
      <c r="D40" s="88" t="s">
        <v>135</v>
      </c>
      <c r="E40" s="91">
        <v>634</v>
      </c>
      <c r="F40" s="91">
        <f>SUM(E40*12/1000)</f>
        <v>7.6079999999999997</v>
      </c>
      <c r="G40" s="91">
        <v>2102.71</v>
      </c>
      <c r="H40" s="92">
        <f t="shared" si="6"/>
        <v>15.997417679999998</v>
      </c>
      <c r="I40" s="12">
        <f t="shared" si="7"/>
        <v>2666.2362800000001</v>
      </c>
      <c r="J40" s="64"/>
    </row>
    <row r="41" spans="1:14" s="35" customFormat="1" ht="15.75" hidden="1" customHeight="1">
      <c r="A41" s="31">
        <v>8</v>
      </c>
      <c r="B41" s="88" t="s">
        <v>136</v>
      </c>
      <c r="C41" s="89" t="s">
        <v>29</v>
      </c>
      <c r="D41" s="88" t="s">
        <v>137</v>
      </c>
      <c r="E41" s="91">
        <v>289.39999999999998</v>
      </c>
      <c r="F41" s="91">
        <f>SUM(E41*30/1000)</f>
        <v>8.6820000000000004</v>
      </c>
      <c r="G41" s="91">
        <v>2102.71</v>
      </c>
      <c r="H41" s="92">
        <f t="shared" si="6"/>
        <v>18.255728220000002</v>
      </c>
      <c r="I41" s="12">
        <f t="shared" si="7"/>
        <v>3042.6213700000003</v>
      </c>
      <c r="J41" s="64"/>
    </row>
    <row r="42" spans="1:14" s="35" customFormat="1" ht="15.75" hidden="1" customHeight="1">
      <c r="A42" s="31">
        <v>9</v>
      </c>
      <c r="B42" s="88" t="s">
        <v>68</v>
      </c>
      <c r="C42" s="89" t="s">
        <v>29</v>
      </c>
      <c r="D42" s="88" t="s">
        <v>119</v>
      </c>
      <c r="E42" s="91">
        <v>289.39999999999998</v>
      </c>
      <c r="F42" s="91">
        <f>SUM(E42*155/1000)</f>
        <v>44.856999999999999</v>
      </c>
      <c r="G42" s="91">
        <v>350.75</v>
      </c>
      <c r="H42" s="92">
        <f t="shared" si="6"/>
        <v>15.73359275</v>
      </c>
      <c r="I42" s="12">
        <f t="shared" si="7"/>
        <v>2622.2654583333333</v>
      </c>
      <c r="J42" s="64"/>
    </row>
    <row r="43" spans="1:14" s="35" customFormat="1" ht="47.25" hidden="1" customHeight="1">
      <c r="A43" s="31">
        <v>10</v>
      </c>
      <c r="B43" s="88" t="s">
        <v>83</v>
      </c>
      <c r="C43" s="89" t="s">
        <v>115</v>
      </c>
      <c r="D43" s="88" t="s">
        <v>138</v>
      </c>
      <c r="E43" s="91">
        <v>108</v>
      </c>
      <c r="F43" s="91">
        <f>SUM(E43*24/1000)</f>
        <v>2.5920000000000001</v>
      </c>
      <c r="G43" s="91">
        <v>5803.28</v>
      </c>
      <c r="H43" s="92">
        <f t="shared" si="6"/>
        <v>15.04210176</v>
      </c>
      <c r="I43" s="12">
        <f t="shared" si="7"/>
        <v>2507.0169599999999</v>
      </c>
      <c r="J43" s="64"/>
    </row>
    <row r="44" spans="1:14" s="35" customFormat="1" ht="15.75" hidden="1" customHeight="1">
      <c r="A44" s="31">
        <v>11</v>
      </c>
      <c r="B44" s="88" t="s">
        <v>120</v>
      </c>
      <c r="C44" s="89" t="s">
        <v>115</v>
      </c>
      <c r="D44" s="88" t="s">
        <v>69</v>
      </c>
      <c r="E44" s="91">
        <v>134.4</v>
      </c>
      <c r="F44" s="91">
        <f>SUM(E44*45/1000)</f>
        <v>6.048</v>
      </c>
      <c r="G44" s="91">
        <v>428.7</v>
      </c>
      <c r="H44" s="92">
        <f t="shared" si="6"/>
        <v>2.5927775999999998</v>
      </c>
      <c r="I44" s="12">
        <f t="shared" si="7"/>
        <v>432.12959999999998</v>
      </c>
      <c r="J44" s="64"/>
      <c r="L44" s="19"/>
      <c r="M44" s="20"/>
      <c r="N44" s="28"/>
    </row>
    <row r="45" spans="1:14" s="35" customFormat="1" ht="15.75" hidden="1" customHeight="1">
      <c r="A45" s="31">
        <v>12</v>
      </c>
      <c r="B45" s="88" t="s">
        <v>70</v>
      </c>
      <c r="C45" s="89" t="s">
        <v>33</v>
      </c>
      <c r="D45" s="88"/>
      <c r="E45" s="90"/>
      <c r="F45" s="91">
        <v>0.9</v>
      </c>
      <c r="G45" s="91">
        <v>798</v>
      </c>
      <c r="H45" s="92">
        <f t="shared" si="6"/>
        <v>0.71820000000000006</v>
      </c>
      <c r="I45" s="12">
        <f t="shared" si="7"/>
        <v>119.69999999999999</v>
      </c>
      <c r="J45" s="64"/>
      <c r="L45" s="19"/>
      <c r="M45" s="20"/>
      <c r="N45" s="28"/>
    </row>
    <row r="46" spans="1:14" s="35" customFormat="1" ht="15.75" customHeight="1">
      <c r="A46" s="182" t="s">
        <v>149</v>
      </c>
      <c r="B46" s="183"/>
      <c r="C46" s="183"/>
      <c r="D46" s="183"/>
      <c r="E46" s="183"/>
      <c r="F46" s="183"/>
      <c r="G46" s="183"/>
      <c r="H46" s="183"/>
      <c r="I46" s="184"/>
      <c r="J46" s="64"/>
      <c r="L46" s="19"/>
      <c r="M46" s="20"/>
      <c r="N46" s="28"/>
    </row>
    <row r="47" spans="1:14" s="35" customFormat="1" ht="15.75" customHeight="1">
      <c r="A47" s="40">
        <v>10</v>
      </c>
      <c r="B47" s="88" t="s">
        <v>121</v>
      </c>
      <c r="C47" s="89" t="s">
        <v>115</v>
      </c>
      <c r="D47" s="88" t="s">
        <v>41</v>
      </c>
      <c r="E47" s="90">
        <v>1662.5</v>
      </c>
      <c r="F47" s="136">
        <f>SUM(E47*2/1000)</f>
        <v>3.3250000000000002</v>
      </c>
      <c r="G47" s="122">
        <v>1158.7</v>
      </c>
      <c r="H47" s="92">
        <f t="shared" ref="H47:H55" si="8">SUM(F47*G47/1000)</f>
        <v>3.8526775000000004</v>
      </c>
      <c r="I47" s="12">
        <f t="shared" ref="I47:I49" si="9">F47/2*G47</f>
        <v>1926.3387500000001</v>
      </c>
      <c r="J47" s="64"/>
      <c r="L47" s="19"/>
      <c r="M47" s="20"/>
      <c r="N47" s="28"/>
    </row>
    <row r="48" spans="1:14" s="35" customFormat="1" ht="15.75" customHeight="1">
      <c r="A48" s="40">
        <v>11</v>
      </c>
      <c r="B48" s="88" t="s">
        <v>34</v>
      </c>
      <c r="C48" s="89" t="s">
        <v>115</v>
      </c>
      <c r="D48" s="88" t="s">
        <v>41</v>
      </c>
      <c r="E48" s="90">
        <v>92.8</v>
      </c>
      <c r="F48" s="136">
        <f>SUM(E48*2/1000)</f>
        <v>0.18559999999999999</v>
      </c>
      <c r="G48" s="122">
        <v>790.38</v>
      </c>
      <c r="H48" s="92">
        <f t="shared" si="8"/>
        <v>0.14669452799999999</v>
      </c>
      <c r="I48" s="12">
        <f t="shared" si="9"/>
        <v>73.347263999999996</v>
      </c>
      <c r="J48" s="64"/>
      <c r="L48" s="19"/>
      <c r="M48" s="20"/>
      <c r="N48" s="28"/>
    </row>
    <row r="49" spans="1:14" s="35" customFormat="1" ht="15.75" customHeight="1">
      <c r="A49" s="40">
        <v>12</v>
      </c>
      <c r="B49" s="88" t="s">
        <v>35</v>
      </c>
      <c r="C49" s="89" t="s">
        <v>115</v>
      </c>
      <c r="D49" s="88" t="s">
        <v>41</v>
      </c>
      <c r="E49" s="90">
        <v>4750.7</v>
      </c>
      <c r="F49" s="136">
        <f>SUM(E49*2/1000)</f>
        <v>9.5014000000000003</v>
      </c>
      <c r="G49" s="122">
        <v>790.38</v>
      </c>
      <c r="H49" s="92">
        <f t="shared" si="8"/>
        <v>7.5097165320000006</v>
      </c>
      <c r="I49" s="12">
        <f t="shared" si="9"/>
        <v>3754.8582660000002</v>
      </c>
      <c r="J49" s="64"/>
      <c r="L49" s="19"/>
      <c r="M49" s="20"/>
      <c r="N49" s="28"/>
    </row>
    <row r="50" spans="1:14" s="35" customFormat="1" ht="15.75" customHeight="1">
      <c r="A50" s="40">
        <v>13</v>
      </c>
      <c r="B50" s="88" t="s">
        <v>36</v>
      </c>
      <c r="C50" s="89" t="s">
        <v>115</v>
      </c>
      <c r="D50" s="88" t="s">
        <v>41</v>
      </c>
      <c r="E50" s="90">
        <v>2840.99</v>
      </c>
      <c r="F50" s="136">
        <f>SUM(E50*2/1000)</f>
        <v>5.6819799999999994</v>
      </c>
      <c r="G50" s="122">
        <v>827.65</v>
      </c>
      <c r="H50" s="92">
        <f t="shared" si="8"/>
        <v>4.7026907469999992</v>
      </c>
      <c r="I50" s="12">
        <f>F50/2*G50</f>
        <v>2351.3453734999998</v>
      </c>
      <c r="J50" s="64"/>
      <c r="L50" s="19"/>
      <c r="M50" s="20"/>
      <c r="N50" s="28"/>
    </row>
    <row r="51" spans="1:14" s="35" customFormat="1" ht="15.75" customHeight="1">
      <c r="A51" s="40">
        <v>14</v>
      </c>
      <c r="B51" s="88" t="s">
        <v>56</v>
      </c>
      <c r="C51" s="89" t="s">
        <v>115</v>
      </c>
      <c r="D51" s="88" t="s">
        <v>146</v>
      </c>
      <c r="E51" s="90">
        <v>1652.5</v>
      </c>
      <c r="F51" s="136">
        <f>SUM(E51*5/1000)</f>
        <v>8.2624999999999993</v>
      </c>
      <c r="G51" s="122">
        <v>1655.27</v>
      </c>
      <c r="H51" s="92">
        <f t="shared" si="8"/>
        <v>13.676668374999998</v>
      </c>
      <c r="I51" s="12">
        <f>F51/5*G51</f>
        <v>2735.3336749999999</v>
      </c>
      <c r="J51" s="64"/>
      <c r="L51" s="19"/>
      <c r="M51" s="20"/>
      <c r="N51" s="28"/>
    </row>
    <row r="52" spans="1:14" s="35" customFormat="1" ht="31.5" hidden="1" customHeight="1">
      <c r="A52" s="40">
        <v>13</v>
      </c>
      <c r="B52" s="88" t="s">
        <v>122</v>
      </c>
      <c r="C52" s="89" t="s">
        <v>115</v>
      </c>
      <c r="D52" s="88" t="s">
        <v>41</v>
      </c>
      <c r="E52" s="90">
        <v>1652.5</v>
      </c>
      <c r="F52" s="91">
        <f>SUM(E52*2/1000)</f>
        <v>3.3050000000000002</v>
      </c>
      <c r="G52" s="12">
        <v>1213.55</v>
      </c>
      <c r="H52" s="92">
        <f t="shared" si="8"/>
        <v>4.0107827499999997</v>
      </c>
      <c r="I52" s="12">
        <f>F52/2*G52</f>
        <v>2005.3913749999999</v>
      </c>
      <c r="J52" s="64"/>
      <c r="L52" s="19"/>
      <c r="M52" s="20"/>
      <c r="N52" s="28"/>
    </row>
    <row r="53" spans="1:14" s="35" customFormat="1" ht="31.5" hidden="1" customHeight="1">
      <c r="A53" s="40">
        <v>14</v>
      </c>
      <c r="B53" s="88" t="s">
        <v>123</v>
      </c>
      <c r="C53" s="89" t="s">
        <v>37</v>
      </c>
      <c r="D53" s="88" t="s">
        <v>41</v>
      </c>
      <c r="E53" s="90">
        <v>40</v>
      </c>
      <c r="F53" s="91">
        <f>SUM(E53*2/100)</f>
        <v>0.8</v>
      </c>
      <c r="G53" s="12">
        <v>2730.49</v>
      </c>
      <c r="H53" s="92">
        <f t="shared" si="8"/>
        <v>2.1843919999999999</v>
      </c>
      <c r="I53" s="12">
        <f t="shared" ref="I53:I54" si="10">F53/2*G53</f>
        <v>1092.1959999999999</v>
      </c>
      <c r="J53" s="64"/>
      <c r="L53" s="19"/>
      <c r="M53" s="20"/>
      <c r="N53" s="28"/>
    </row>
    <row r="54" spans="1:14" s="35" customFormat="1" ht="15.75" hidden="1" customHeight="1">
      <c r="A54" s="40">
        <v>15</v>
      </c>
      <c r="B54" s="88" t="s">
        <v>38</v>
      </c>
      <c r="C54" s="89" t="s">
        <v>39</v>
      </c>
      <c r="D54" s="88" t="s">
        <v>41</v>
      </c>
      <c r="E54" s="90">
        <v>1</v>
      </c>
      <c r="F54" s="91">
        <v>0.02</v>
      </c>
      <c r="G54" s="12">
        <v>5652.13</v>
      </c>
      <c r="H54" s="92">
        <f t="shared" si="8"/>
        <v>0.11304260000000001</v>
      </c>
      <c r="I54" s="12">
        <f t="shared" si="10"/>
        <v>56.521300000000004</v>
      </c>
      <c r="J54" s="64"/>
      <c r="L54" s="19"/>
      <c r="M54" s="20"/>
      <c r="N54" s="28"/>
    </row>
    <row r="55" spans="1:14" s="35" customFormat="1" ht="15.75" hidden="1" customHeight="1">
      <c r="A55" s="40">
        <v>10</v>
      </c>
      <c r="B55" s="88" t="s">
        <v>40</v>
      </c>
      <c r="C55" s="89" t="s">
        <v>124</v>
      </c>
      <c r="D55" s="88" t="s">
        <v>71</v>
      </c>
      <c r="E55" s="90">
        <v>236</v>
      </c>
      <c r="F55" s="91">
        <f>SUM(E55)*3</f>
        <v>708</v>
      </c>
      <c r="G55" s="12">
        <v>65.67</v>
      </c>
      <c r="H55" s="92">
        <f t="shared" si="8"/>
        <v>46.49436</v>
      </c>
      <c r="I55" s="12">
        <f>E55*G55</f>
        <v>15498.12</v>
      </c>
      <c r="J55" s="64"/>
      <c r="L55" s="19"/>
      <c r="M55" s="20"/>
      <c r="N55" s="28"/>
    </row>
    <row r="56" spans="1:14" s="35" customFormat="1" ht="15.75" customHeight="1">
      <c r="A56" s="182" t="s">
        <v>150</v>
      </c>
      <c r="B56" s="183"/>
      <c r="C56" s="183"/>
      <c r="D56" s="183"/>
      <c r="E56" s="183"/>
      <c r="F56" s="183"/>
      <c r="G56" s="183"/>
      <c r="H56" s="183"/>
      <c r="I56" s="184"/>
      <c r="J56" s="64"/>
      <c r="L56" s="19"/>
      <c r="M56" s="20"/>
      <c r="N56" s="28"/>
    </row>
    <row r="57" spans="1:14" s="35" customFormat="1" ht="15.75" hidden="1" customHeight="1">
      <c r="A57" s="52"/>
      <c r="B57" s="47" t="s">
        <v>42</v>
      </c>
      <c r="C57" s="16"/>
      <c r="D57" s="15"/>
      <c r="E57" s="15"/>
      <c r="F57" s="15"/>
      <c r="G57" s="26"/>
      <c r="H57" s="26"/>
      <c r="I57" s="18"/>
      <c r="J57" s="64"/>
      <c r="L57" s="19"/>
      <c r="M57" s="20"/>
      <c r="N57" s="28"/>
    </row>
    <row r="58" spans="1:14" s="35" customFormat="1" ht="31.5" hidden="1" customHeight="1">
      <c r="A58" s="40">
        <v>16</v>
      </c>
      <c r="B58" s="88" t="s">
        <v>139</v>
      </c>
      <c r="C58" s="89" t="s">
        <v>105</v>
      </c>
      <c r="D58" s="88" t="s">
        <v>140</v>
      </c>
      <c r="E58" s="90">
        <v>166.25</v>
      </c>
      <c r="F58" s="91">
        <f>E58*6/100</f>
        <v>9.9749999999999996</v>
      </c>
      <c r="G58" s="98">
        <v>1547.28</v>
      </c>
      <c r="H58" s="92">
        <f>F58*G58/1000</f>
        <v>15.434117999999998</v>
      </c>
      <c r="I58" s="12">
        <f>F58/6*G58</f>
        <v>2572.3529999999996</v>
      </c>
      <c r="J58" s="64"/>
      <c r="L58" s="19"/>
      <c r="M58" s="20"/>
      <c r="N58" s="28"/>
    </row>
    <row r="59" spans="1:14" s="35" customFormat="1" ht="15.75" hidden="1" customHeight="1">
      <c r="A59" s="40">
        <v>17</v>
      </c>
      <c r="B59" s="99" t="s">
        <v>95</v>
      </c>
      <c r="C59" s="100" t="s">
        <v>105</v>
      </c>
      <c r="D59" s="99" t="s">
        <v>140</v>
      </c>
      <c r="E59" s="101">
        <v>56</v>
      </c>
      <c r="F59" s="102">
        <f>E59*6/100</f>
        <v>3.36</v>
      </c>
      <c r="G59" s="98">
        <v>1547.28</v>
      </c>
      <c r="H59" s="103">
        <f>F59*G59/1000</f>
        <v>5.1988607999999994</v>
      </c>
      <c r="I59" s="12">
        <f>F59/6*G59</f>
        <v>866.47679999999991</v>
      </c>
      <c r="J59" s="64"/>
      <c r="L59" s="19"/>
      <c r="M59" s="20"/>
      <c r="N59" s="28"/>
    </row>
    <row r="60" spans="1:14" s="35" customFormat="1" ht="15.75" hidden="1" customHeight="1">
      <c r="A60" s="40"/>
      <c r="B60" s="99" t="s">
        <v>99</v>
      </c>
      <c r="C60" s="100" t="s">
        <v>100</v>
      </c>
      <c r="D60" s="99" t="s">
        <v>41</v>
      </c>
      <c r="E60" s="101">
        <v>8</v>
      </c>
      <c r="F60" s="102">
        <v>16</v>
      </c>
      <c r="G60" s="104">
        <v>180.78</v>
      </c>
      <c r="H60" s="103">
        <f>F60*G60/1000</f>
        <v>2.8924799999999999</v>
      </c>
      <c r="I60" s="12">
        <v>0</v>
      </c>
      <c r="J60" s="64"/>
      <c r="L60" s="19"/>
      <c r="M60" s="20"/>
      <c r="N60" s="28"/>
    </row>
    <row r="61" spans="1:14" s="35" customFormat="1" ht="15.75" customHeight="1">
      <c r="A61" s="40"/>
      <c r="B61" s="73" t="s">
        <v>43</v>
      </c>
      <c r="C61" s="73"/>
      <c r="D61" s="73"/>
      <c r="E61" s="73"/>
      <c r="F61" s="73"/>
      <c r="G61" s="73"/>
      <c r="H61" s="73"/>
      <c r="I61" s="33"/>
      <c r="J61" s="64"/>
      <c r="L61" s="19"/>
      <c r="M61" s="20"/>
      <c r="N61" s="28"/>
    </row>
    <row r="62" spans="1:14" s="35" customFormat="1" ht="15.75" customHeight="1">
      <c r="A62" s="40">
        <v>15</v>
      </c>
      <c r="B62" s="99" t="s">
        <v>96</v>
      </c>
      <c r="C62" s="100" t="s">
        <v>25</v>
      </c>
      <c r="D62" s="99" t="s">
        <v>147</v>
      </c>
      <c r="E62" s="101">
        <v>330.5</v>
      </c>
      <c r="F62" s="137">
        <v>2400</v>
      </c>
      <c r="G62" s="138">
        <v>1.2</v>
      </c>
      <c r="H62" s="103">
        <f>G62*F62/1000</f>
        <v>2.88</v>
      </c>
      <c r="I62" s="12">
        <f>F62/12*G62</f>
        <v>240</v>
      </c>
      <c r="J62" s="64"/>
      <c r="L62" s="19"/>
      <c r="M62" s="20"/>
      <c r="N62" s="28"/>
    </row>
    <row r="63" spans="1:14" s="35" customFormat="1" ht="15.75" hidden="1" customHeight="1">
      <c r="A63" s="40"/>
      <c r="B63" s="99" t="s">
        <v>44</v>
      </c>
      <c r="C63" s="100" t="s">
        <v>25</v>
      </c>
      <c r="D63" s="99" t="s">
        <v>53</v>
      </c>
      <c r="E63" s="101">
        <v>1652.5</v>
      </c>
      <c r="F63" s="102">
        <f>E63/100</f>
        <v>16.524999999999999</v>
      </c>
      <c r="G63" s="106">
        <v>793.61</v>
      </c>
      <c r="H63" s="103">
        <f>G63*F63/1000</f>
        <v>13.114405249999999</v>
      </c>
      <c r="I63" s="12">
        <v>0</v>
      </c>
      <c r="J63" s="64"/>
      <c r="L63" s="19"/>
      <c r="M63" s="20"/>
      <c r="N63" s="28"/>
    </row>
    <row r="64" spans="1:14" s="35" customFormat="1" ht="15.75" customHeight="1">
      <c r="A64" s="40"/>
      <c r="B64" s="73" t="s">
        <v>45</v>
      </c>
      <c r="C64" s="16"/>
      <c r="D64" s="36"/>
      <c r="E64" s="15"/>
      <c r="F64" s="15"/>
      <c r="G64" s="26"/>
      <c r="H64" s="26"/>
      <c r="I64" s="18"/>
      <c r="J64" s="64"/>
      <c r="L64" s="19"/>
      <c r="M64" s="20"/>
      <c r="N64" s="28"/>
    </row>
    <row r="65" spans="1:22" s="35" customFormat="1" ht="15.75" hidden="1" customHeight="1">
      <c r="A65" s="40">
        <v>16</v>
      </c>
      <c r="B65" s="14" t="s">
        <v>46</v>
      </c>
      <c r="C65" s="16" t="s">
        <v>124</v>
      </c>
      <c r="D65" s="14" t="s">
        <v>67</v>
      </c>
      <c r="E65" s="18">
        <v>10</v>
      </c>
      <c r="F65" s="91">
        <v>10</v>
      </c>
      <c r="G65" s="12">
        <v>222.4</v>
      </c>
      <c r="H65" s="81">
        <f t="shared" ref="H65:H72" si="11">SUM(F65*G65/1000)</f>
        <v>2.2240000000000002</v>
      </c>
      <c r="I65" s="12">
        <f>G65*8</f>
        <v>1779.2</v>
      </c>
      <c r="J65" s="64"/>
      <c r="L65" s="19"/>
      <c r="M65" s="20"/>
      <c r="N65" s="28"/>
    </row>
    <row r="66" spans="1:22" s="35" customFormat="1" ht="15.75" hidden="1" customHeight="1">
      <c r="B66" s="14" t="s">
        <v>47</v>
      </c>
      <c r="C66" s="16" t="s">
        <v>124</v>
      </c>
      <c r="D66" s="14" t="s">
        <v>67</v>
      </c>
      <c r="E66" s="18">
        <v>8</v>
      </c>
      <c r="F66" s="91">
        <v>8</v>
      </c>
      <c r="G66" s="12">
        <v>76.25</v>
      </c>
      <c r="H66" s="81">
        <f t="shared" si="11"/>
        <v>0.61</v>
      </c>
      <c r="I66" s="12">
        <v>0</v>
      </c>
      <c r="J66" s="64"/>
      <c r="L66" s="19"/>
      <c r="M66" s="20"/>
      <c r="N66" s="28"/>
    </row>
    <row r="67" spans="1:22" s="35" customFormat="1" ht="15.75" hidden="1" customHeight="1">
      <c r="A67" s="26">
        <v>25</v>
      </c>
      <c r="B67" s="14" t="s">
        <v>48</v>
      </c>
      <c r="C67" s="16" t="s">
        <v>125</v>
      </c>
      <c r="D67" s="14" t="s">
        <v>53</v>
      </c>
      <c r="E67" s="90">
        <v>23267</v>
      </c>
      <c r="F67" s="12">
        <f>SUM(E67/100)</f>
        <v>232.67</v>
      </c>
      <c r="G67" s="12">
        <v>212.15</v>
      </c>
      <c r="H67" s="81">
        <f t="shared" si="11"/>
        <v>49.360940499999998</v>
      </c>
      <c r="I67" s="12">
        <f>F67*G67</f>
        <v>49360.940499999997</v>
      </c>
      <c r="J67" s="64"/>
      <c r="L67" s="19"/>
      <c r="M67" s="20"/>
      <c r="N67" s="28"/>
    </row>
    <row r="68" spans="1:22" s="35" customFormat="1" ht="15.75" hidden="1" customHeight="1">
      <c r="A68" s="26">
        <v>26</v>
      </c>
      <c r="B68" s="14" t="s">
        <v>49</v>
      </c>
      <c r="C68" s="16" t="s">
        <v>126</v>
      </c>
      <c r="D68" s="14"/>
      <c r="E68" s="90">
        <v>23267</v>
      </c>
      <c r="F68" s="12">
        <f>SUM(E68/1000)</f>
        <v>23.266999999999999</v>
      </c>
      <c r="G68" s="12">
        <v>165.21</v>
      </c>
      <c r="H68" s="81">
        <f t="shared" si="11"/>
        <v>3.8439410700000005</v>
      </c>
      <c r="I68" s="12">
        <f t="shared" ref="I68:I71" si="12">F68*G68</f>
        <v>3843.9410700000003</v>
      </c>
      <c r="J68" s="64"/>
      <c r="L68" s="19"/>
      <c r="M68" s="20"/>
      <c r="N68" s="28"/>
    </row>
    <row r="69" spans="1:22" s="35" customFormat="1" ht="15.75" hidden="1" customHeight="1">
      <c r="A69" s="26">
        <v>27</v>
      </c>
      <c r="B69" s="14" t="s">
        <v>50</v>
      </c>
      <c r="C69" s="16" t="s">
        <v>76</v>
      </c>
      <c r="D69" s="14" t="s">
        <v>53</v>
      </c>
      <c r="E69" s="90">
        <v>3145</v>
      </c>
      <c r="F69" s="12">
        <f>SUM(E69/100)</f>
        <v>31.45</v>
      </c>
      <c r="G69" s="12">
        <v>2074.63</v>
      </c>
      <c r="H69" s="81">
        <f t="shared" si="11"/>
        <v>65.247113499999998</v>
      </c>
      <c r="I69" s="12">
        <f t="shared" si="12"/>
        <v>65247.113499999999</v>
      </c>
      <c r="J69" s="64"/>
      <c r="L69" s="19"/>
    </row>
    <row r="70" spans="1:22" s="35" customFormat="1" ht="15.75" hidden="1" customHeight="1">
      <c r="A70" s="26">
        <v>28</v>
      </c>
      <c r="B70" s="108" t="s">
        <v>127</v>
      </c>
      <c r="C70" s="16" t="s">
        <v>33</v>
      </c>
      <c r="D70" s="14"/>
      <c r="E70" s="90">
        <v>20.66</v>
      </c>
      <c r="F70" s="12">
        <f>SUM(E70)</f>
        <v>20.66</v>
      </c>
      <c r="G70" s="12">
        <v>42.67</v>
      </c>
      <c r="H70" s="81">
        <f t="shared" si="11"/>
        <v>0.88156220000000007</v>
      </c>
      <c r="I70" s="12">
        <f t="shared" si="12"/>
        <v>881.56220000000008</v>
      </c>
    </row>
    <row r="71" spans="1:22" s="35" customFormat="1" ht="15.75" hidden="1" customHeight="1">
      <c r="A71" s="26">
        <v>29</v>
      </c>
      <c r="B71" s="108" t="s">
        <v>148</v>
      </c>
      <c r="C71" s="16" t="s">
        <v>33</v>
      </c>
      <c r="D71" s="14"/>
      <c r="E71" s="90">
        <v>20.66</v>
      </c>
      <c r="F71" s="12">
        <f>SUM(E71)</f>
        <v>20.66</v>
      </c>
      <c r="G71" s="12">
        <v>39.81</v>
      </c>
      <c r="H71" s="81">
        <f t="shared" si="11"/>
        <v>0.82247460000000006</v>
      </c>
      <c r="I71" s="12">
        <f t="shared" si="12"/>
        <v>822.47460000000001</v>
      </c>
    </row>
    <row r="72" spans="1:22" s="35" customFormat="1" ht="15.75" customHeight="1">
      <c r="A72" s="26">
        <v>16</v>
      </c>
      <c r="B72" s="14" t="s">
        <v>57</v>
      </c>
      <c r="C72" s="16" t="s">
        <v>58</v>
      </c>
      <c r="D72" s="14" t="s">
        <v>53</v>
      </c>
      <c r="E72" s="18">
        <v>5</v>
      </c>
      <c r="F72" s="136">
        <f>SUM(E72)</f>
        <v>5</v>
      </c>
      <c r="G72" s="122">
        <v>68.040000000000006</v>
      </c>
      <c r="H72" s="81">
        <f t="shared" si="11"/>
        <v>0.34020000000000006</v>
      </c>
      <c r="I72" s="12">
        <f>F72*G72</f>
        <v>340.20000000000005</v>
      </c>
    </row>
    <row r="73" spans="1:22" s="35" customFormat="1" ht="15.75" hidden="1" customHeight="1">
      <c r="A73" s="52"/>
      <c r="B73" s="73" t="s">
        <v>128</v>
      </c>
      <c r="C73" s="73"/>
      <c r="D73" s="73"/>
      <c r="E73" s="73"/>
      <c r="F73" s="73"/>
      <c r="G73" s="73"/>
      <c r="H73" s="73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5"/>
    </row>
    <row r="74" spans="1:22" s="35" customFormat="1" ht="15.75" hidden="1" customHeight="1">
      <c r="A74" s="124">
        <v>18</v>
      </c>
      <c r="B74" s="99" t="s">
        <v>129</v>
      </c>
      <c r="C74" s="16"/>
      <c r="D74" s="14"/>
      <c r="E74" s="77"/>
      <c r="F74" s="12">
        <v>1</v>
      </c>
      <c r="G74" s="12">
        <v>27750</v>
      </c>
      <c r="H74" s="81">
        <f>G74*F74/1000</f>
        <v>27.75</v>
      </c>
      <c r="I74" s="12">
        <f>G74</f>
        <v>27750</v>
      </c>
      <c r="J74" s="66"/>
      <c r="K74" s="66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5.75" customHeight="1">
      <c r="A75" s="26"/>
      <c r="B75" s="139" t="s">
        <v>224</v>
      </c>
      <c r="C75" s="140"/>
      <c r="D75" s="14"/>
      <c r="E75" s="77"/>
      <c r="F75" s="12"/>
      <c r="G75" s="12"/>
      <c r="H75" s="81"/>
      <c r="I75" s="12"/>
      <c r="J75" s="66"/>
      <c r="K75" s="66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5.75" customHeight="1">
      <c r="A76" s="26">
        <v>17</v>
      </c>
      <c r="B76" s="36" t="s">
        <v>225</v>
      </c>
      <c r="C76" s="40" t="s">
        <v>226</v>
      </c>
      <c r="D76" s="14"/>
      <c r="E76" s="77"/>
      <c r="F76" s="34">
        <v>70995.600000000006</v>
      </c>
      <c r="G76" s="34">
        <v>2.37</v>
      </c>
      <c r="H76" s="81"/>
      <c r="I76" s="12">
        <f>G76*F76/12</f>
        <v>14021.631000000001</v>
      </c>
      <c r="J76" s="66"/>
      <c r="K76" s="66"/>
      <c r="L76" s="55"/>
      <c r="M76" s="55"/>
      <c r="N76" s="55"/>
      <c r="O76" s="55"/>
      <c r="P76" s="55"/>
      <c r="Q76" s="55"/>
      <c r="R76" s="55"/>
      <c r="S76" s="55"/>
      <c r="T76" s="55"/>
      <c r="U76" s="55"/>
    </row>
    <row r="77" spans="1:22" s="35" customFormat="1" ht="16.5" customHeight="1">
      <c r="A77" s="26"/>
      <c r="B77" s="48" t="s">
        <v>72</v>
      </c>
      <c r="C77" s="48"/>
      <c r="D77" s="48"/>
      <c r="E77" s="18"/>
      <c r="F77" s="18"/>
      <c r="G77" s="26"/>
      <c r="H77" s="26"/>
      <c r="I77" s="18"/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0.25" hidden="1" customHeight="1">
      <c r="A78" s="26">
        <v>12</v>
      </c>
      <c r="B78" s="14" t="s">
        <v>73</v>
      </c>
      <c r="C78" s="16" t="s">
        <v>31</v>
      </c>
      <c r="D78" s="14"/>
      <c r="E78" s="18">
        <v>10</v>
      </c>
      <c r="F78" s="76">
        <v>1</v>
      </c>
      <c r="G78" s="12">
        <v>501.62</v>
      </c>
      <c r="H78" s="81">
        <f>F78*G78/1000</f>
        <v>0.50161999999999995</v>
      </c>
      <c r="I78" s="12">
        <f>G78*0.1</f>
        <v>50.162000000000006</v>
      </c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17.25" hidden="1" customHeight="1">
      <c r="A79" s="26">
        <v>20</v>
      </c>
      <c r="B79" s="14" t="s">
        <v>88</v>
      </c>
      <c r="C79" s="16" t="s">
        <v>30</v>
      </c>
      <c r="D79" s="14"/>
      <c r="E79" s="18">
        <v>1</v>
      </c>
      <c r="F79" s="91">
        <v>1</v>
      </c>
      <c r="G79" s="12">
        <v>358.51</v>
      </c>
      <c r="H79" s="81">
        <f>F79*G79/1000</f>
        <v>0.35851</v>
      </c>
      <c r="I79" s="12">
        <f>G79</f>
        <v>358.51</v>
      </c>
      <c r="J79" s="56"/>
      <c r="K79" s="56"/>
      <c r="L79" s="56"/>
      <c r="M79" s="56"/>
      <c r="N79" s="56"/>
      <c r="O79" s="56"/>
      <c r="P79" s="56"/>
      <c r="Q79" s="56"/>
      <c r="R79" s="172"/>
      <c r="S79" s="172"/>
      <c r="T79" s="172"/>
      <c r="U79" s="172"/>
    </row>
    <row r="80" spans="1:22" s="35" customFormat="1" ht="18" hidden="1" customHeight="1">
      <c r="A80" s="26">
        <v>18</v>
      </c>
      <c r="B80" s="14" t="s">
        <v>74</v>
      </c>
      <c r="C80" s="16" t="s">
        <v>30</v>
      </c>
      <c r="D80" s="14"/>
      <c r="E80" s="18">
        <v>1</v>
      </c>
      <c r="F80" s="12">
        <v>1</v>
      </c>
      <c r="G80" s="12">
        <v>852.99</v>
      </c>
      <c r="H80" s="81">
        <f>F80*G80/1000</f>
        <v>0.85299000000000003</v>
      </c>
      <c r="I80" s="12">
        <f>G80</f>
        <v>852.99</v>
      </c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</row>
    <row r="81" spans="1:21" s="35" customFormat="1" ht="30.75" customHeight="1">
      <c r="A81" s="26">
        <v>18</v>
      </c>
      <c r="B81" s="36" t="s">
        <v>234</v>
      </c>
      <c r="C81" s="37" t="s">
        <v>124</v>
      </c>
      <c r="D81" s="36" t="s">
        <v>235</v>
      </c>
      <c r="E81" s="18"/>
      <c r="F81" s="12"/>
      <c r="G81" s="34">
        <v>55.55</v>
      </c>
      <c r="H81" s="81"/>
      <c r="I81" s="12">
        <f>G81*1</f>
        <v>55.55</v>
      </c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</row>
    <row r="82" spans="1:21" s="35" customFormat="1" ht="20.25" hidden="1" customHeight="1">
      <c r="A82" s="26"/>
      <c r="B82" s="49" t="s">
        <v>75</v>
      </c>
      <c r="C82" s="37"/>
      <c r="D82" s="26"/>
      <c r="E82" s="18"/>
      <c r="F82" s="18"/>
      <c r="G82" s="34" t="s">
        <v>141</v>
      </c>
      <c r="H82" s="34"/>
      <c r="I82" s="18"/>
    </row>
    <row r="83" spans="1:21" s="35" customFormat="1" ht="18" hidden="1" customHeight="1">
      <c r="A83" s="26">
        <v>39</v>
      </c>
      <c r="B83" s="51" t="s">
        <v>130</v>
      </c>
      <c r="C83" s="16" t="s">
        <v>76</v>
      </c>
      <c r="D83" s="14"/>
      <c r="E83" s="18"/>
      <c r="F83" s="12">
        <v>1.35</v>
      </c>
      <c r="G83" s="12">
        <v>2759.44</v>
      </c>
      <c r="H83" s="81">
        <f t="shared" ref="H83" si="13">SUM(F83*G83/1000)</f>
        <v>3.725244</v>
      </c>
      <c r="I83" s="12">
        <v>0</v>
      </c>
    </row>
    <row r="84" spans="1:21" s="35" customFormat="1" ht="18" customHeight="1">
      <c r="A84" s="26"/>
      <c r="B84" s="170" t="s">
        <v>129</v>
      </c>
      <c r="C84" s="16"/>
      <c r="D84" s="14"/>
      <c r="E84" s="18"/>
      <c r="F84" s="12"/>
      <c r="G84" s="12"/>
      <c r="H84" s="12"/>
      <c r="I84" s="12"/>
    </row>
    <row r="85" spans="1:21" s="35" customFormat="1" ht="18" customHeight="1">
      <c r="A85" s="26">
        <v>19</v>
      </c>
      <c r="B85" s="171" t="s">
        <v>271</v>
      </c>
      <c r="C85" s="16"/>
      <c r="D85" s="14"/>
      <c r="E85" s="18"/>
      <c r="F85" s="12"/>
      <c r="G85" s="144">
        <v>29386</v>
      </c>
      <c r="H85" s="12"/>
      <c r="I85" s="12">
        <f>G85*1</f>
        <v>29386</v>
      </c>
    </row>
    <row r="86" spans="1:21" s="35" customFormat="1" ht="15.75" customHeight="1">
      <c r="A86" s="186" t="s">
        <v>151</v>
      </c>
      <c r="B86" s="187"/>
      <c r="C86" s="187"/>
      <c r="D86" s="187"/>
      <c r="E86" s="187"/>
      <c r="F86" s="187"/>
      <c r="G86" s="187"/>
      <c r="H86" s="187"/>
      <c r="I86" s="188"/>
    </row>
    <row r="87" spans="1:21" s="35" customFormat="1" ht="15.75" customHeight="1">
      <c r="A87" s="26">
        <v>20</v>
      </c>
      <c r="B87" s="88" t="s">
        <v>131</v>
      </c>
      <c r="C87" s="16" t="s">
        <v>54</v>
      </c>
      <c r="D87" s="109" t="s">
        <v>55</v>
      </c>
      <c r="E87" s="12">
        <v>5916.3</v>
      </c>
      <c r="F87" s="122">
        <f>SUM(E87*12)</f>
        <v>70995.600000000006</v>
      </c>
      <c r="G87" s="122">
        <v>3.22</v>
      </c>
      <c r="H87" s="81">
        <f>SUM(F87*G87/1000)</f>
        <v>228.60583200000002</v>
      </c>
      <c r="I87" s="12">
        <f>F87/12*G87</f>
        <v>19050.486000000001</v>
      </c>
    </row>
    <row r="88" spans="1:21" s="35" customFormat="1" ht="31.5" customHeight="1">
      <c r="A88" s="26">
        <v>21</v>
      </c>
      <c r="B88" s="14" t="s">
        <v>77</v>
      </c>
      <c r="C88" s="16"/>
      <c r="D88" s="109" t="s">
        <v>55</v>
      </c>
      <c r="E88" s="90">
        <v>5916.3</v>
      </c>
      <c r="F88" s="122">
        <f>E88*12</f>
        <v>70995.600000000006</v>
      </c>
      <c r="G88" s="122">
        <v>3.64</v>
      </c>
      <c r="H88" s="81">
        <f>F88*G88/1000</f>
        <v>258.42398400000002</v>
      </c>
      <c r="I88" s="12">
        <f>F88/12*G88</f>
        <v>21535.332000000002</v>
      </c>
    </row>
    <row r="89" spans="1:21" s="35" customFormat="1" ht="15.75" customHeight="1">
      <c r="A89" s="52"/>
      <c r="B89" s="38" t="s">
        <v>80</v>
      </c>
      <c r="C89" s="40"/>
      <c r="D89" s="15"/>
      <c r="E89" s="15"/>
      <c r="F89" s="15"/>
      <c r="G89" s="18"/>
      <c r="H89" s="18"/>
      <c r="I89" s="29">
        <f>I88+I87+I81+I76+I72+I62+I51+I50+I49+I48+I47+I35+I34+I32+I31+I28+I27+I18+I17+I16+I85</f>
        <v>156704.8906967222</v>
      </c>
    </row>
    <row r="90" spans="1:21" s="35" customFormat="1" ht="15.75" customHeight="1">
      <c r="A90" s="189" t="s">
        <v>60</v>
      </c>
      <c r="B90" s="190"/>
      <c r="C90" s="190"/>
      <c r="D90" s="190"/>
      <c r="E90" s="190"/>
      <c r="F90" s="190"/>
      <c r="G90" s="190"/>
      <c r="H90" s="190"/>
      <c r="I90" s="191"/>
    </row>
    <row r="91" spans="1:21" s="35" customFormat="1" ht="16.5" customHeight="1">
      <c r="A91" s="26">
        <v>22</v>
      </c>
      <c r="B91" s="60" t="s">
        <v>232</v>
      </c>
      <c r="C91" s="61" t="s">
        <v>92</v>
      </c>
      <c r="D91" s="36"/>
      <c r="E91" s="17"/>
      <c r="F91" s="34"/>
      <c r="G91" s="34">
        <v>290.33999999999997</v>
      </c>
      <c r="H91" s="111">
        <f t="shared" ref="H91:H92" si="14">G91*F91/1000</f>
        <v>0</v>
      </c>
      <c r="I91" s="12">
        <f>G91*1</f>
        <v>290.33999999999997</v>
      </c>
    </row>
    <row r="92" spans="1:21" s="35" customFormat="1" ht="15" customHeight="1">
      <c r="A92" s="31">
        <v>23</v>
      </c>
      <c r="B92" s="60" t="s">
        <v>227</v>
      </c>
      <c r="C92" s="61" t="s">
        <v>205</v>
      </c>
      <c r="D92" s="58"/>
      <c r="E92" s="34"/>
      <c r="F92" s="34"/>
      <c r="G92" s="34">
        <v>24829.08</v>
      </c>
      <c r="H92" s="111">
        <f t="shared" si="14"/>
        <v>0</v>
      </c>
      <c r="I92" s="12">
        <f>G92*0.01</f>
        <v>248.29080000000002</v>
      </c>
    </row>
    <row r="93" spans="1:21" s="35" customFormat="1" ht="17.25" customHeight="1">
      <c r="A93" s="31">
        <v>24</v>
      </c>
      <c r="B93" s="141" t="s">
        <v>228</v>
      </c>
      <c r="C93" s="40" t="s">
        <v>229</v>
      </c>
      <c r="D93" s="51"/>
      <c r="E93" s="12"/>
      <c r="F93" s="12"/>
      <c r="G93" s="34">
        <v>396.32</v>
      </c>
      <c r="H93" s="81">
        <f>G93*F93/1000</f>
        <v>0</v>
      </c>
      <c r="I93" s="12">
        <f>G93*0.1</f>
        <v>39.632000000000005</v>
      </c>
    </row>
    <row r="94" spans="1:21" s="35" customFormat="1" ht="17.25" customHeight="1">
      <c r="A94" s="31">
        <v>25</v>
      </c>
      <c r="B94" s="60" t="s">
        <v>230</v>
      </c>
      <c r="C94" s="61" t="s">
        <v>52</v>
      </c>
      <c r="D94" s="51"/>
      <c r="E94" s="12"/>
      <c r="F94" s="12"/>
      <c r="G94" s="34">
        <v>31303.91</v>
      </c>
      <c r="H94" s="81">
        <f>G94*F94/1000</f>
        <v>0</v>
      </c>
      <c r="I94" s="12">
        <f>G94*0.1</f>
        <v>3130.3910000000001</v>
      </c>
    </row>
    <row r="95" spans="1:21" s="35" customFormat="1" ht="31.5" customHeight="1">
      <c r="A95" s="31">
        <v>26</v>
      </c>
      <c r="B95" s="60" t="s">
        <v>164</v>
      </c>
      <c r="C95" s="61" t="s">
        <v>37</v>
      </c>
      <c r="D95" s="58"/>
      <c r="E95" s="34"/>
      <c r="F95" s="34"/>
      <c r="G95" s="34">
        <v>3724.37</v>
      </c>
      <c r="H95" s="111">
        <f>G95*F95/1000</f>
        <v>0</v>
      </c>
      <c r="I95" s="12">
        <f>G95*0.01</f>
        <v>37.243699999999997</v>
      </c>
    </row>
    <row r="96" spans="1:21" s="35" customFormat="1" ht="14.25" customHeight="1">
      <c r="A96" s="31">
        <v>27</v>
      </c>
      <c r="B96" s="60" t="s">
        <v>203</v>
      </c>
      <c r="C96" s="61" t="s">
        <v>84</v>
      </c>
      <c r="D96" s="58"/>
      <c r="E96" s="34"/>
      <c r="F96" s="34"/>
      <c r="G96" s="34">
        <v>203.68</v>
      </c>
      <c r="H96" s="111"/>
      <c r="I96" s="12">
        <f>G96*1</f>
        <v>203.68</v>
      </c>
    </row>
    <row r="97" spans="1:9" s="35" customFormat="1" ht="15.75" customHeight="1">
      <c r="A97" s="31">
        <v>28</v>
      </c>
      <c r="B97" s="123" t="s">
        <v>231</v>
      </c>
      <c r="C97" s="61" t="s">
        <v>124</v>
      </c>
      <c r="D97" s="58"/>
      <c r="E97" s="34"/>
      <c r="F97" s="34"/>
      <c r="G97" s="34">
        <v>197.26</v>
      </c>
      <c r="H97" s="111"/>
      <c r="I97" s="12">
        <f>G97*1</f>
        <v>197.26</v>
      </c>
    </row>
    <row r="98" spans="1:9" s="35" customFormat="1" ht="17.25" customHeight="1">
      <c r="A98" s="31">
        <v>29</v>
      </c>
      <c r="B98" s="60" t="s">
        <v>174</v>
      </c>
      <c r="C98" s="61" t="s">
        <v>175</v>
      </c>
      <c r="D98" s="58"/>
      <c r="E98" s="34"/>
      <c r="F98" s="34"/>
      <c r="G98" s="34">
        <v>134.12</v>
      </c>
      <c r="H98" s="111"/>
      <c r="I98" s="12">
        <f>G98*42</f>
        <v>5633.04</v>
      </c>
    </row>
    <row r="99" spans="1:9" s="35" customFormat="1" ht="15.75" customHeight="1">
      <c r="A99" s="26"/>
      <c r="B99" s="45" t="s">
        <v>51</v>
      </c>
      <c r="C99" s="41"/>
      <c r="D99" s="53"/>
      <c r="E99" s="41">
        <v>1</v>
      </c>
      <c r="F99" s="41"/>
      <c r="G99" s="41"/>
      <c r="H99" s="41"/>
      <c r="I99" s="29">
        <f>SUM(I91:I98)</f>
        <v>9779.8774999999987</v>
      </c>
    </row>
    <row r="100" spans="1:9" s="35" customFormat="1" ht="15.75" customHeight="1">
      <c r="A100" s="26"/>
      <c r="B100" s="51" t="s">
        <v>78</v>
      </c>
      <c r="C100" s="15"/>
      <c r="D100" s="15"/>
      <c r="E100" s="42"/>
      <c r="F100" s="42"/>
      <c r="G100" s="43"/>
      <c r="H100" s="43"/>
      <c r="I100" s="17">
        <v>0</v>
      </c>
    </row>
    <row r="101" spans="1:9" s="35" customFormat="1" ht="15.75" customHeight="1">
      <c r="A101" s="54"/>
      <c r="B101" s="46" t="s">
        <v>152</v>
      </c>
      <c r="C101" s="32"/>
      <c r="D101" s="32"/>
      <c r="E101" s="32"/>
      <c r="F101" s="32"/>
      <c r="G101" s="32"/>
      <c r="H101" s="32"/>
      <c r="I101" s="44">
        <f>I89+I99</f>
        <v>166484.7681967222</v>
      </c>
    </row>
    <row r="102" spans="1:9" ht="15.75" customHeight="1">
      <c r="A102" s="173" t="s">
        <v>272</v>
      </c>
      <c r="B102" s="173"/>
      <c r="C102" s="173"/>
      <c r="D102" s="173"/>
      <c r="E102" s="173"/>
      <c r="F102" s="173"/>
      <c r="G102" s="173"/>
      <c r="H102" s="173"/>
      <c r="I102" s="173"/>
    </row>
    <row r="103" spans="1:9" ht="15.75" customHeight="1">
      <c r="A103" s="75"/>
      <c r="B103" s="197" t="s">
        <v>273</v>
      </c>
      <c r="C103" s="197"/>
      <c r="D103" s="197"/>
      <c r="E103" s="197"/>
      <c r="F103" s="197"/>
      <c r="G103" s="197"/>
      <c r="H103" s="80"/>
      <c r="I103" s="3"/>
    </row>
    <row r="104" spans="1:9" ht="15.75" customHeight="1">
      <c r="A104" s="69"/>
      <c r="B104" s="193" t="s">
        <v>6</v>
      </c>
      <c r="C104" s="193"/>
      <c r="D104" s="193"/>
      <c r="E104" s="193"/>
      <c r="F104" s="193"/>
      <c r="G104" s="193"/>
      <c r="H104" s="21"/>
      <c r="I104" s="5"/>
    </row>
    <row r="105" spans="1:9" ht="8.25" customHeight="1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.75" customHeight="1">
      <c r="A106" s="198" t="s">
        <v>7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 customHeight="1">
      <c r="A107" s="198" t="s">
        <v>8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 customHeight="1">
      <c r="A108" s="199" t="s">
        <v>61</v>
      </c>
      <c r="B108" s="199"/>
      <c r="C108" s="199"/>
      <c r="D108" s="199"/>
      <c r="E108" s="199"/>
      <c r="F108" s="199"/>
      <c r="G108" s="199"/>
      <c r="H108" s="199"/>
      <c r="I108" s="199"/>
    </row>
    <row r="109" spans="1:9" ht="15.75" customHeight="1">
      <c r="A109" s="10"/>
    </row>
    <row r="110" spans="1:9" ht="15.75" customHeight="1">
      <c r="A110" s="180" t="s">
        <v>9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15.75" customHeight="1">
      <c r="A111" s="4"/>
    </row>
    <row r="112" spans="1:9" ht="15.75" customHeight="1">
      <c r="B112" s="74" t="s">
        <v>10</v>
      </c>
      <c r="C112" s="192" t="s">
        <v>90</v>
      </c>
      <c r="D112" s="192"/>
      <c r="E112" s="192"/>
      <c r="F112" s="78"/>
      <c r="I112" s="71"/>
    </row>
    <row r="113" spans="1:9" ht="15.75" customHeight="1">
      <c r="A113" s="69"/>
      <c r="C113" s="193" t="s">
        <v>11</v>
      </c>
      <c r="D113" s="193"/>
      <c r="E113" s="193"/>
      <c r="F113" s="21"/>
      <c r="I113" s="70" t="s">
        <v>12</v>
      </c>
    </row>
    <row r="114" spans="1:9" ht="15.75" customHeight="1">
      <c r="A114" s="22"/>
      <c r="C114" s="11"/>
      <c r="D114" s="11"/>
      <c r="G114" s="11"/>
      <c r="H114" s="11"/>
    </row>
    <row r="115" spans="1:9" ht="15.75" customHeight="1">
      <c r="B115" s="74" t="s">
        <v>13</v>
      </c>
      <c r="C115" s="194"/>
      <c r="D115" s="194"/>
      <c r="E115" s="194"/>
      <c r="F115" s="79"/>
      <c r="I115" s="71"/>
    </row>
    <row r="116" spans="1:9" ht="15.75" customHeight="1">
      <c r="A116" s="69"/>
      <c r="C116" s="195" t="s">
        <v>11</v>
      </c>
      <c r="D116" s="195"/>
      <c r="E116" s="195"/>
      <c r="F116" s="69"/>
      <c r="I116" s="70" t="s">
        <v>12</v>
      </c>
    </row>
    <row r="117" spans="1:9" ht="15.75" customHeight="1">
      <c r="A117" s="4" t="s">
        <v>14</v>
      </c>
    </row>
    <row r="118" spans="1:9">
      <c r="A118" s="196" t="s">
        <v>15</v>
      </c>
      <c r="B118" s="196"/>
      <c r="C118" s="196"/>
      <c r="D118" s="196"/>
      <c r="E118" s="196"/>
      <c r="F118" s="196"/>
      <c r="G118" s="196"/>
      <c r="H118" s="196"/>
      <c r="I118" s="196"/>
    </row>
    <row r="119" spans="1:9" ht="45" customHeight="1">
      <c r="A119" s="185" t="s">
        <v>16</v>
      </c>
      <c r="B119" s="185"/>
      <c r="C119" s="185"/>
      <c r="D119" s="185"/>
      <c r="E119" s="185"/>
      <c r="F119" s="185"/>
      <c r="G119" s="185"/>
      <c r="H119" s="185"/>
      <c r="I119" s="185"/>
    </row>
    <row r="120" spans="1:9" ht="30" customHeight="1">
      <c r="A120" s="185" t="s">
        <v>17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30" customHeight="1">
      <c r="A121" s="185" t="s">
        <v>21</v>
      </c>
      <c r="B121" s="185"/>
      <c r="C121" s="185"/>
      <c r="D121" s="185"/>
      <c r="E121" s="185"/>
      <c r="F121" s="185"/>
      <c r="G121" s="185"/>
      <c r="H121" s="185"/>
      <c r="I121" s="185"/>
    </row>
    <row r="122" spans="1:9" ht="14.25" customHeight="1">
      <c r="A122" s="185" t="s">
        <v>20</v>
      </c>
      <c r="B122" s="185"/>
      <c r="C122" s="185"/>
      <c r="D122" s="185"/>
      <c r="E122" s="185"/>
      <c r="F122" s="185"/>
      <c r="G122" s="185"/>
      <c r="H122" s="185"/>
      <c r="I122" s="185"/>
    </row>
  </sheetData>
  <autoFilter ref="I12:I71"/>
  <mergeCells count="29">
    <mergeCell ref="A118:I118"/>
    <mergeCell ref="A119:I119"/>
    <mergeCell ref="A120:I120"/>
    <mergeCell ref="A121:I121"/>
    <mergeCell ref="A122:I122"/>
    <mergeCell ref="R79:U79"/>
    <mergeCell ref="C116:E116"/>
    <mergeCell ref="A90:I90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6:I86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'03.18'!Заголовки_для_печати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2019-02-19T11:01:55Z</cp:lastPrinted>
  <dcterms:created xsi:type="dcterms:W3CDTF">2016-03-25T08:33:47Z</dcterms:created>
  <dcterms:modified xsi:type="dcterms:W3CDTF">2019-02-19T11:03:44Z</dcterms:modified>
</cp:coreProperties>
</file>