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1" sheetId="1" r:id="rId1"/>
  </sheets>
  <definedNames>
    <definedName name="_xlnm.Print_Area" localSheetId="0">'Нефт.,1'!$A$1:$W$111</definedName>
  </definedNames>
  <calcPr calcId="124519"/>
</workbook>
</file>

<file path=xl/calcChain.xml><?xml version="1.0" encoding="utf-8"?>
<calcChain xmlns="http://schemas.openxmlformats.org/spreadsheetml/2006/main">
  <c r="H99" i="1"/>
  <c r="U99"/>
  <c r="U98"/>
  <c r="H98"/>
  <c r="L98"/>
  <c r="I53"/>
  <c r="I52"/>
  <c r="U97"/>
  <c r="H97"/>
  <c r="L97"/>
  <c r="C109"/>
  <c r="C106"/>
  <c r="L73"/>
  <c r="K73"/>
  <c r="H96"/>
  <c r="L96"/>
  <c r="U96" s="1"/>
  <c r="L95"/>
  <c r="U95" s="1"/>
  <c r="H95"/>
  <c r="L94"/>
  <c r="L92"/>
  <c r="U80"/>
  <c r="L53"/>
  <c r="L52"/>
  <c r="L40" l="1"/>
  <c r="L34"/>
  <c r="K34"/>
  <c r="K94"/>
  <c r="U94"/>
  <c r="H94"/>
  <c r="K93" l="1"/>
  <c r="K92"/>
  <c r="U92" s="1"/>
  <c r="U93"/>
  <c r="H92"/>
  <c r="H93"/>
  <c r="K40" l="1"/>
  <c r="J34"/>
  <c r="S80" l="1"/>
  <c r="I91"/>
  <c r="U91" l="1"/>
  <c r="T102"/>
  <c r="S102"/>
  <c r="F52"/>
  <c r="M59"/>
  <c r="R102" l="1"/>
  <c r="Q102"/>
  <c r="P102"/>
  <c r="O102"/>
  <c r="N102"/>
  <c r="M102"/>
  <c r="F27"/>
  <c r="H80"/>
  <c r="J40"/>
  <c r="F53"/>
  <c r="U78"/>
  <c r="U76"/>
  <c r="U75"/>
  <c r="U74"/>
  <c r="U73"/>
  <c r="U72"/>
  <c r="U70"/>
  <c r="U68"/>
  <c r="U69"/>
  <c r="U67"/>
  <c r="U66"/>
  <c r="U65"/>
  <c r="U64"/>
  <c r="U63"/>
  <c r="U61"/>
  <c r="U59"/>
  <c r="U53"/>
  <c r="U52"/>
  <c r="U51"/>
  <c r="U36"/>
  <c r="U30"/>
  <c r="U29"/>
  <c r="U27"/>
  <c r="U26"/>
  <c r="U25"/>
  <c r="U24"/>
  <c r="U21"/>
  <c r="U20"/>
  <c r="U19"/>
  <c r="U18"/>
  <c r="U17"/>
  <c r="U14"/>
  <c r="I40"/>
  <c r="U40" s="1"/>
  <c r="I34"/>
  <c r="U34" s="1"/>
  <c r="H36" l="1"/>
  <c r="H91" l="1"/>
  <c r="H75"/>
  <c r="H74"/>
  <c r="H59"/>
  <c r="F38"/>
  <c r="H20"/>
  <c r="F19"/>
  <c r="K38" l="1"/>
  <c r="L38"/>
  <c r="I38"/>
  <c r="J38"/>
  <c r="F102"/>
  <c r="H101"/>
  <c r="E83"/>
  <c r="H87" s="1"/>
  <c r="F81"/>
  <c r="H78"/>
  <c r="F76"/>
  <c r="H76" s="1"/>
  <c r="F73"/>
  <c r="H73" s="1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7"/>
  <c r="F56"/>
  <c r="H53"/>
  <c r="H52"/>
  <c r="H51"/>
  <c r="F50"/>
  <c r="F49"/>
  <c r="F48"/>
  <c r="F47"/>
  <c r="F46"/>
  <c r="F45"/>
  <c r="F44"/>
  <c r="F43"/>
  <c r="H40"/>
  <c r="F39"/>
  <c r="H38"/>
  <c r="F37"/>
  <c r="F35"/>
  <c r="H34"/>
  <c r="F31"/>
  <c r="H30"/>
  <c r="H29"/>
  <c r="F28"/>
  <c r="H27"/>
  <c r="F26"/>
  <c r="H26" s="1"/>
  <c r="F25"/>
  <c r="H25" s="1"/>
  <c r="F24"/>
  <c r="H24" s="1"/>
  <c r="F21"/>
  <c r="H21" s="1"/>
  <c r="F18"/>
  <c r="H18" s="1"/>
  <c r="F17"/>
  <c r="H17" s="1"/>
  <c r="F16"/>
  <c r="F15"/>
  <c r="F14"/>
  <c r="H14" s="1"/>
  <c r="E13"/>
  <c r="F13" s="1"/>
  <c r="F12"/>
  <c r="F11"/>
  <c r="L11" l="1"/>
  <c r="K11"/>
  <c r="K13"/>
  <c r="L13"/>
  <c r="K15"/>
  <c r="L15"/>
  <c r="L31"/>
  <c r="K31"/>
  <c r="K35"/>
  <c r="L35"/>
  <c r="K56"/>
  <c r="L56"/>
  <c r="K12"/>
  <c r="L12"/>
  <c r="K16"/>
  <c r="L16"/>
  <c r="L28"/>
  <c r="K28"/>
  <c r="K37"/>
  <c r="L37"/>
  <c r="K39"/>
  <c r="L39"/>
  <c r="K57"/>
  <c r="L57"/>
  <c r="K81"/>
  <c r="L81"/>
  <c r="J11"/>
  <c r="J15"/>
  <c r="J31"/>
  <c r="J56"/>
  <c r="J28"/>
  <c r="J81"/>
  <c r="C108"/>
  <c r="I13"/>
  <c r="J13"/>
  <c r="I15"/>
  <c r="I12"/>
  <c r="J12"/>
  <c r="I16"/>
  <c r="J16"/>
  <c r="I28"/>
  <c r="J37"/>
  <c r="J39"/>
  <c r="H43"/>
  <c r="U43"/>
  <c r="H45"/>
  <c r="U45"/>
  <c r="H47"/>
  <c r="U47"/>
  <c r="H49"/>
  <c r="U49"/>
  <c r="I57"/>
  <c r="J57"/>
  <c r="I81"/>
  <c r="U38"/>
  <c r="I11"/>
  <c r="J35"/>
  <c r="H44"/>
  <c r="U44"/>
  <c r="H46"/>
  <c r="U46"/>
  <c r="I48"/>
  <c r="J48"/>
  <c r="H50"/>
  <c r="U50"/>
  <c r="H37"/>
  <c r="I37"/>
  <c r="U37" s="1"/>
  <c r="H39"/>
  <c r="I39"/>
  <c r="U39" s="1"/>
  <c r="H57"/>
  <c r="H31"/>
  <c r="I31"/>
  <c r="U31" s="1"/>
  <c r="H35"/>
  <c r="I35"/>
  <c r="U35" s="1"/>
  <c r="H56"/>
  <c r="I56"/>
  <c r="U56" s="1"/>
  <c r="H81"/>
  <c r="H28"/>
  <c r="H48"/>
  <c r="H54" s="1"/>
  <c r="H11"/>
  <c r="H12"/>
  <c r="H16"/>
  <c r="H13"/>
  <c r="H15"/>
  <c r="H82"/>
  <c r="F83"/>
  <c r="H19"/>
  <c r="H41"/>
  <c r="H79"/>
  <c r="K83" l="1"/>
  <c r="L83"/>
  <c r="H32"/>
  <c r="J83"/>
  <c r="J102" s="1"/>
  <c r="U48"/>
  <c r="U41"/>
  <c r="I83"/>
  <c r="L102"/>
  <c r="K102"/>
  <c r="U28"/>
  <c r="U32" s="1"/>
  <c r="U16"/>
  <c r="U12"/>
  <c r="U15"/>
  <c r="U13"/>
  <c r="U11"/>
  <c r="U81"/>
  <c r="U82" s="1"/>
  <c r="U57"/>
  <c r="U79" s="1"/>
  <c r="U54"/>
  <c r="H22"/>
  <c r="H83"/>
  <c r="H84" s="1"/>
  <c r="I102"/>
  <c r="H85" l="1"/>
  <c r="H88" s="1"/>
  <c r="G102" s="1"/>
  <c r="H102" s="1"/>
  <c r="U22"/>
  <c r="U83"/>
  <c r="U84" s="1"/>
  <c r="U85" l="1"/>
  <c r="U102" s="1"/>
  <c r="C111" s="1"/>
  <c r="C107" l="1"/>
</calcChain>
</file>

<file path=xl/sharedStrings.xml><?xml version="1.0" encoding="utf-8"?>
<sst xmlns="http://schemas.openxmlformats.org/spreadsheetml/2006/main" count="300" uniqueCount="221">
  <si>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</si>
  <si>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</si>
  <si>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</si>
  <si>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</si>
  <si>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</si>
  <si>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</si>
  <si>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</si>
  <si>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</si>
  <si>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</si>
  <si>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</si>
  <si>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</si>
  <si>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</si>
  <si>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</si>
  <si>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</si>
  <si>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</si>
  <si>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</si>
  <si>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</si>
  <si>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</si>
  <si>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</si>
  <si>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</si>
  <si>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</si>
  <si>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</si>
  <si>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</si>
  <si>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</si>
  <si>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</si>
  <si>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</si>
  <si>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</si>
  <si>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</si>
  <si>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</si>
  <si>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</si>
  <si>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</si>
  <si>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</si>
  <si>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</si>
  <si>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</si>
  <si>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</si>
  <si>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</si>
  <si>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</si>
  <si>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</si>
  <si>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</si>
  <si>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</si>
  <si>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</si>
  <si>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</si>
  <si>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</si>
  <si>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</si>
  <si>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</si>
  <si>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</si>
  <si>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</si>
  <si>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</si>
  <si>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</si>
  <si>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</si>
  <si>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</si>
  <si>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</si>
  <si>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</si>
  <si>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</si>
  <si>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</si>
  <si>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</si>
  <si>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</si>
  <si>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</si>
  <si>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</si>
  <si>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</si>
  <si>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</si>
  <si>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</si>
  <si>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</si>
  <si>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</si>
  <si>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</si>
  <si>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</si>
  <si>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</si>
  <si>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</si>
  <si>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</si>
  <si>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</si>
  <si>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</si>
  <si>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</si>
  <si>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</si>
  <si>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Осмотр и очистка оголовков дымоходов и вентканалов от наледи и снега (по необходимости) зимой</t>
  </si>
  <si>
    <t>2 раза в месяц</t>
  </si>
  <si>
    <t>Чердак, подвал, технический этаж</t>
  </si>
  <si>
    <t>Лестничная клетка</t>
  </si>
  <si>
    <t xml:space="preserve"> - установка пружин на входных дверях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</si>
  <si>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</si>
  <si>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</si>
  <si>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</si>
  <si>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</si>
  <si>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</si>
  <si>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</si>
  <si>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</si>
  <si>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</si>
  <si>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</si>
  <si>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</si>
  <si>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</si>
  <si>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</si>
  <si>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</si>
  <si>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</si>
  <si>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</si>
  <si>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</si>
  <si>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</si>
  <si>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</si>
  <si>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</si>
  <si>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</si>
  <si>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</si>
  <si>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</si>
  <si>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</si>
  <si>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</si>
  <si>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</si>
  <si>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</si>
  <si>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</si>
  <si>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</si>
  <si>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</si>
  <si>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</si>
  <si>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</si>
  <si>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</si>
  <si>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</si>
  <si>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</si>
  <si>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</si>
  <si>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год  </t>
  </si>
  <si>
    <t>Влажная протирка шкафов для щитов и слаботочн. устройств</t>
  </si>
  <si>
    <t>20 раз за сезон</t>
  </si>
  <si>
    <t>3 раза в год</t>
  </si>
  <si>
    <t>Очистка чердака, подвала от мусора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</si>
  <si>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</si>
  <si>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</si>
  <si>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</si>
  <si>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</si>
  <si>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</si>
  <si>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</si>
  <si>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</si>
  <si>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</si>
  <si>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</si>
  <si>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</si>
  <si>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</si>
  <si>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</si>
  <si>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</si>
  <si>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</si>
  <si>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</si>
  <si>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</si>
  <si>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</si>
  <si>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</si>
  <si>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</si>
  <si>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</si>
  <si>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</si>
  <si>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</si>
  <si>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Смена дверных приборов (замки навесные)</t>
  </si>
  <si>
    <t>С учетом показателя инфляции (К=1,094)</t>
  </si>
  <si>
    <t>Смена отдельных участков наружной проводки</t>
  </si>
  <si>
    <t>м</t>
  </si>
  <si>
    <t>Смена светильника РКУ</t>
  </si>
  <si>
    <t>калькуляция</t>
  </si>
  <si>
    <t>Работа автовышки</t>
  </si>
  <si>
    <t>маш/час</t>
  </si>
  <si>
    <t>Очистка края кровли от слежавшегося снега со сбрасыванием сосулек (10% от S кровли) и козырьки</t>
  </si>
  <si>
    <t>Подключение и отключение сварочного аппарата</t>
  </si>
  <si>
    <t>Ремонт групповых щитков на лестничной клетке без ремонта автоматов</t>
  </si>
  <si>
    <t>Просроченная задолженность по Вашему дому по статье "Содержание и текущий ремонт МКД" на конец апреля 2016 г., составляет:</t>
  </si>
  <si>
    <t>Баланс выполненных работ на 01.05.2016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</si>
  <si>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январь-апрель 2016 года</t>
    </r>
  </si>
  <si>
    <t>Начислено за содержание и текущий ремонт за январь-апрель 2016  г.</t>
  </si>
  <si>
    <t>Выполнено работ по содержанию за январь-апрель 2016 г.</t>
  </si>
  <si>
    <t>Выполнено работ по текущему ремонту за январь-апрель 2016 г.</t>
  </si>
  <si>
    <t>Фактически оплачено за январь-апрель 2016 г.</t>
  </si>
  <si>
    <t>смета</t>
  </si>
  <si>
    <t>Замена окон в подъездах</t>
  </si>
  <si>
    <t>тыс.руб.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</si>
  <si>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</si>
  <si>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</si>
  <si>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</si>
  <si>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</si>
  <si>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</si>
  <si>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 xml:space="preserve">Погрузка травы, ветвей </t>
  </si>
  <si>
    <t xml:space="preserve"> - Уборка газонов</t>
  </si>
  <si>
    <t>Вывоз смета, травы, ветвей и т.п.- м/ч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</si>
  <si>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</si>
  <si>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</si>
  <si>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</si>
  <si>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</si>
  <si>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</si>
  <si>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</si>
  <si>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</si>
  <si>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</si>
  <si>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</si>
  <si>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</si>
  <si>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</si>
  <si>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</si>
  <si>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</si>
  <si>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</si>
  <si>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</si>
  <si>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</si>
  <si>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</si>
  <si>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</si>
  <si>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</si>
  <si>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</si>
  <si>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</si>
  <si>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</si>
  <si>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</si>
  <si>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</si>
  <si>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</si>
  <si>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</si>
  <si>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</si>
  <si>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</si>
  <si>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</si>
  <si>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</si>
  <si>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</si>
  <si>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</si>
  <si>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 xml:space="preserve">пр.ТЕР 54-041 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</si>
  <si>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</si>
  <si>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</si>
  <si>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</si>
  <si>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</si>
  <si>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</si>
  <si>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</si>
  <si>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</si>
  <si>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</si>
  <si>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</si>
  <si>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</si>
  <si>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33-028</t>
  </si>
  <si>
    <t>ТЕР 33-043</t>
  </si>
  <si>
    <t>ТЕР 33-025</t>
  </si>
  <si>
    <t>ТЕР 15-051</t>
  </si>
  <si>
    <t>ТЕР 33-034</t>
  </si>
  <si>
    <t>ТЕР 33-048</t>
  </si>
  <si>
    <t>ТЕР 33-060</t>
  </si>
  <si>
    <t>ТЕР 33-030</t>
  </si>
  <si>
    <t>Косметический ремонт подъездов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</si>
</sst>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5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5"/>
  <sheetViews>
    <sheetView tabSelected="1" view="pageBreakPreview" zoomScaleNormal="75" zoomScaleSheetLayoutView="100" workbookViewId="0">
      <pane ySplit="7" topLeftCell="A107" activePane="bottomLeft" state="frozen"/>
      <selection activeCell="B1" sqref="B1"/>
      <selection pane="bottomLeft" activeCell="C108" sqref="C108:F10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20" width="9.85546875" hidden="1" customWidth="1"/>
    <col min="21" max="21" width="12.28515625" customWidth="1"/>
    <col min="22" max="23" width="9.140625" style="142"/>
  </cols>
  <sheetData>
    <row r="1" spans="1:21" ht="14.25" customHeight="1"/>
    <row r="3" spans="1:21" ht="18">
      <c r="A3" s="128"/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33" customHeight="1">
      <c r="A4" s="112"/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8">
      <c r="A5" s="112"/>
      <c r="B5" s="167" t="s">
        <v>153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25">
      <c r="A6" s="112"/>
      <c r="B6" s="168" t="s">
        <v>135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54" customHeight="1">
      <c r="A7" s="144" t="s">
        <v>2</v>
      </c>
      <c r="B7" s="145" t="s">
        <v>3</v>
      </c>
      <c r="C7" s="145" t="s">
        <v>4</v>
      </c>
      <c r="D7" s="145" t="s">
        <v>5</v>
      </c>
      <c r="E7" s="145" t="s">
        <v>6</v>
      </c>
      <c r="F7" s="145" t="s">
        <v>7</v>
      </c>
      <c r="G7" s="145" t="s">
        <v>8</v>
      </c>
      <c r="H7" s="146" t="s">
        <v>9</v>
      </c>
      <c r="I7" s="23" t="s">
        <v>123</v>
      </c>
      <c r="J7" s="23" t="s">
        <v>124</v>
      </c>
      <c r="K7" s="23" t="s">
        <v>125</v>
      </c>
      <c r="L7" s="23" t="s">
        <v>126</v>
      </c>
      <c r="M7" s="23" t="s">
        <v>127</v>
      </c>
      <c r="N7" s="23" t="s">
        <v>128</v>
      </c>
      <c r="O7" s="23" t="s">
        <v>129</v>
      </c>
      <c r="P7" s="23" t="s">
        <v>130</v>
      </c>
      <c r="Q7" s="23" t="s">
        <v>131</v>
      </c>
      <c r="R7" s="23" t="s">
        <v>132</v>
      </c>
      <c r="S7" s="23" t="s">
        <v>133</v>
      </c>
      <c r="T7" s="23" t="s">
        <v>134</v>
      </c>
      <c r="U7" s="23" t="s">
        <v>136</v>
      </c>
    </row>
    <row r="8" spans="1:21">
      <c r="A8" s="147">
        <v>1</v>
      </c>
      <c r="B8" s="8">
        <v>2</v>
      </c>
      <c r="C8" s="24">
        <v>3</v>
      </c>
      <c r="D8" s="8">
        <v>4</v>
      </c>
      <c r="E8" s="8">
        <v>5</v>
      </c>
      <c r="F8" s="24">
        <v>6</v>
      </c>
      <c r="G8" s="24">
        <v>7</v>
      </c>
      <c r="H8" s="25">
        <v>8</v>
      </c>
      <c r="I8" s="26">
        <v>10</v>
      </c>
      <c r="J8" s="26">
        <v>11</v>
      </c>
      <c r="K8" s="26">
        <v>12</v>
      </c>
      <c r="L8" s="26">
        <v>13</v>
      </c>
      <c r="M8" s="27">
        <v>14</v>
      </c>
      <c r="N8" s="26">
        <v>15</v>
      </c>
      <c r="O8" s="26">
        <v>16</v>
      </c>
      <c r="P8" s="26">
        <v>17</v>
      </c>
      <c r="Q8" s="26">
        <v>18</v>
      </c>
      <c r="R8" s="26">
        <v>19</v>
      </c>
      <c r="S8" s="26">
        <v>20</v>
      </c>
      <c r="T8" s="26">
        <v>21</v>
      </c>
      <c r="U8" s="26">
        <v>14</v>
      </c>
    </row>
    <row r="9" spans="1:21" ht="38.25">
      <c r="A9" s="147"/>
      <c r="B9" s="10" t="s">
        <v>10</v>
      </c>
      <c r="C9" s="24"/>
      <c r="D9" s="11"/>
      <c r="E9" s="11"/>
      <c r="F9" s="24"/>
      <c r="G9" s="24"/>
      <c r="H9" s="29"/>
      <c r="I9" s="30"/>
      <c r="J9" s="30"/>
      <c r="K9" s="30"/>
      <c r="L9" s="30"/>
      <c r="M9" s="31"/>
      <c r="N9" s="28"/>
      <c r="O9" s="28"/>
      <c r="P9" s="28"/>
      <c r="Q9" s="28"/>
      <c r="R9" s="28"/>
      <c r="S9" s="28"/>
      <c r="T9" s="28"/>
      <c r="U9" s="28"/>
    </row>
    <row r="10" spans="1:21">
      <c r="A10" s="147"/>
      <c r="B10" s="10" t="s">
        <v>11</v>
      </c>
      <c r="C10" s="24"/>
      <c r="D10" s="11"/>
      <c r="E10" s="11"/>
      <c r="F10" s="24"/>
      <c r="G10" s="24"/>
      <c r="H10" s="29"/>
      <c r="I10" s="30"/>
      <c r="J10" s="30"/>
      <c r="K10" s="30"/>
      <c r="L10" s="30"/>
      <c r="M10" s="31"/>
      <c r="N10" s="28"/>
      <c r="O10" s="28"/>
      <c r="P10" s="28"/>
      <c r="Q10" s="28"/>
      <c r="R10" s="28"/>
      <c r="S10" s="28"/>
      <c r="T10" s="28"/>
      <c r="U10" s="28"/>
    </row>
    <row r="11" spans="1:21" ht="25.5">
      <c r="A11" s="147" t="s">
        <v>171</v>
      </c>
      <c r="B11" s="11" t="s">
        <v>12</v>
      </c>
      <c r="C11" s="24" t="s">
        <v>13</v>
      </c>
      <c r="D11" s="11" t="s">
        <v>14</v>
      </c>
      <c r="E11" s="32">
        <v>53.8</v>
      </c>
      <c r="F11" s="33">
        <f>SUM(E11*156/100)</f>
        <v>83.927999999999997</v>
      </c>
      <c r="G11" s="33">
        <v>175.38</v>
      </c>
      <c r="H11" s="34">
        <f t="shared" ref="H11:H21" si="0">SUM(F11*G11/1000)</f>
        <v>14.719292639999999</v>
      </c>
      <c r="I11" s="35">
        <f>F11/12*G11</f>
        <v>1226.60772</v>
      </c>
      <c r="J11" s="35">
        <f>F11/12*G11</f>
        <v>1226.60772</v>
      </c>
      <c r="K11" s="35">
        <f>F11/12*G11</f>
        <v>1226.60772</v>
      </c>
      <c r="L11" s="35">
        <f>F11/12*G11</f>
        <v>1226.60772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f t="shared" ref="U11:U21" si="1">SUM(I11:T11)</f>
        <v>4906.4308799999999</v>
      </c>
    </row>
    <row r="12" spans="1:21" ht="25.5">
      <c r="A12" s="147" t="s">
        <v>171</v>
      </c>
      <c r="B12" s="11" t="s">
        <v>169</v>
      </c>
      <c r="C12" s="24" t="s">
        <v>13</v>
      </c>
      <c r="D12" s="11" t="s">
        <v>15</v>
      </c>
      <c r="E12" s="32">
        <v>107.6</v>
      </c>
      <c r="F12" s="33">
        <f>SUM(E12*104/100)</f>
        <v>111.904</v>
      </c>
      <c r="G12" s="33">
        <v>175.38</v>
      </c>
      <c r="H12" s="34">
        <f t="shared" si="0"/>
        <v>19.625723520000001</v>
      </c>
      <c r="I12" s="35">
        <f>F12/12*G12</f>
        <v>1635.47696</v>
      </c>
      <c r="J12" s="35">
        <f>F12/12*G12</f>
        <v>1635.47696</v>
      </c>
      <c r="K12" s="35">
        <f t="shared" ref="K12:K13" si="2">F12/12*G12</f>
        <v>1635.47696</v>
      </c>
      <c r="L12" s="35">
        <f t="shared" ref="L12:L13" si="3">F12/12*G12</f>
        <v>1635.47696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f t="shared" si="1"/>
        <v>6541.9078399999999</v>
      </c>
    </row>
    <row r="13" spans="1:21" ht="25.5">
      <c r="A13" s="147" t="s">
        <v>172</v>
      </c>
      <c r="B13" s="11" t="s">
        <v>170</v>
      </c>
      <c r="C13" s="24" t="s">
        <v>13</v>
      </c>
      <c r="D13" s="11" t="s">
        <v>16</v>
      </c>
      <c r="E13" s="32">
        <f>SUM(E11+E12)</f>
        <v>161.39999999999998</v>
      </c>
      <c r="F13" s="33">
        <f>SUM(E13*24/100)</f>
        <v>38.735999999999997</v>
      </c>
      <c r="G13" s="33">
        <v>504.5</v>
      </c>
      <c r="H13" s="34">
        <f t="shared" si="0"/>
        <v>19.542311999999999</v>
      </c>
      <c r="I13" s="35">
        <f>F13/12*G13</f>
        <v>1628.5259999999998</v>
      </c>
      <c r="J13" s="35">
        <f>F13/12*G13</f>
        <v>1628.5259999999998</v>
      </c>
      <c r="K13" s="35">
        <f t="shared" si="2"/>
        <v>1628.5259999999998</v>
      </c>
      <c r="L13" s="35">
        <f t="shared" si="3"/>
        <v>1628.5259999999998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f t="shared" si="1"/>
        <v>6514.1039999999994</v>
      </c>
    </row>
    <row r="14" spans="1:21">
      <c r="A14" s="147" t="s">
        <v>173</v>
      </c>
      <c r="B14" s="11" t="s">
        <v>17</v>
      </c>
      <c r="C14" s="24" t="s">
        <v>18</v>
      </c>
      <c r="D14" s="11" t="s">
        <v>111</v>
      </c>
      <c r="E14" s="32">
        <v>15.3</v>
      </c>
      <c r="F14" s="33">
        <f>SUM(E14/10)</f>
        <v>1.53</v>
      </c>
      <c r="G14" s="33">
        <v>170.16</v>
      </c>
      <c r="H14" s="34">
        <f t="shared" si="0"/>
        <v>0.26034480000000004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0</v>
      </c>
    </row>
    <row r="15" spans="1:21">
      <c r="A15" s="147" t="s">
        <v>174</v>
      </c>
      <c r="B15" s="11" t="s">
        <v>19</v>
      </c>
      <c r="C15" s="24" t="s">
        <v>13</v>
      </c>
      <c r="D15" s="11" t="s">
        <v>112</v>
      </c>
      <c r="E15" s="32">
        <v>19.62</v>
      </c>
      <c r="F15" s="33">
        <f>SUM(E15*12/100)</f>
        <v>2.3544</v>
      </c>
      <c r="G15" s="33">
        <v>217.88</v>
      </c>
      <c r="H15" s="34">
        <f t="shared" si="0"/>
        <v>0.51297667199999997</v>
      </c>
      <c r="I15" s="35">
        <f>F15/12*G15</f>
        <v>42.748056000000005</v>
      </c>
      <c r="J15" s="35">
        <f>F15/12*G15</f>
        <v>42.748056000000005</v>
      </c>
      <c r="K15" s="35">
        <f>F15/12*G15</f>
        <v>42.748056000000005</v>
      </c>
      <c r="L15" s="35">
        <f>F15/12*G15</f>
        <v>42.748056000000005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f t="shared" si="1"/>
        <v>170.99222400000002</v>
      </c>
    </row>
    <row r="16" spans="1:21">
      <c r="A16" s="147" t="s">
        <v>175</v>
      </c>
      <c r="B16" s="11" t="s">
        <v>20</v>
      </c>
      <c r="C16" s="24" t="s">
        <v>13</v>
      </c>
      <c r="D16" s="11" t="s">
        <v>112</v>
      </c>
      <c r="E16" s="32">
        <v>8.68</v>
      </c>
      <c r="F16" s="33">
        <f>SUM(E16*12/100)</f>
        <v>1.0415999999999999</v>
      </c>
      <c r="G16" s="33">
        <v>216.12</v>
      </c>
      <c r="H16" s="34">
        <f t="shared" si="0"/>
        <v>0.22511059199999997</v>
      </c>
      <c r="I16" s="35">
        <f>F16/12*G16</f>
        <v>18.759215999999999</v>
      </c>
      <c r="J16" s="35">
        <f>F16/12*G16</f>
        <v>18.759215999999999</v>
      </c>
      <c r="K16" s="35">
        <f>F16/12*G16</f>
        <v>18.759215999999999</v>
      </c>
      <c r="L16" s="35">
        <f>F16/12*G16</f>
        <v>18.759215999999999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f t="shared" si="1"/>
        <v>75.036863999999994</v>
      </c>
    </row>
    <row r="17" spans="1:23">
      <c r="A17" s="147" t="s">
        <v>176</v>
      </c>
      <c r="B17" s="11" t="s">
        <v>21</v>
      </c>
      <c r="C17" s="24" t="s">
        <v>22</v>
      </c>
      <c r="D17" s="11" t="s">
        <v>111</v>
      </c>
      <c r="E17" s="32">
        <v>215</v>
      </c>
      <c r="F17" s="33">
        <f>SUM(E17/100)</f>
        <v>2.15</v>
      </c>
      <c r="G17" s="33">
        <v>269.26</v>
      </c>
      <c r="H17" s="34">
        <f t="shared" si="0"/>
        <v>0.57890900000000001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0</v>
      </c>
    </row>
    <row r="18" spans="1:23">
      <c r="A18" s="147" t="s">
        <v>177</v>
      </c>
      <c r="B18" s="11" t="s">
        <v>23</v>
      </c>
      <c r="C18" s="24" t="s">
        <v>22</v>
      </c>
      <c r="D18" s="11" t="s">
        <v>111</v>
      </c>
      <c r="E18" s="37">
        <v>17.64</v>
      </c>
      <c r="F18" s="33">
        <f>SUM(E18/100)</f>
        <v>0.1764</v>
      </c>
      <c r="G18" s="33">
        <v>44.29</v>
      </c>
      <c r="H18" s="34">
        <f t="shared" si="0"/>
        <v>7.8127560000000006E-3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0</v>
      </c>
    </row>
    <row r="19" spans="1:23">
      <c r="A19" s="147" t="s">
        <v>178</v>
      </c>
      <c r="B19" s="11" t="s">
        <v>24</v>
      </c>
      <c r="C19" s="24" t="s">
        <v>22</v>
      </c>
      <c r="D19" s="11" t="s">
        <v>113</v>
      </c>
      <c r="E19" s="32">
        <v>4.5</v>
      </c>
      <c r="F19" s="33">
        <f>E19/100</f>
        <v>4.4999999999999998E-2</v>
      </c>
      <c r="G19" s="33">
        <v>389.72</v>
      </c>
      <c r="H19" s="34">
        <f t="shared" si="0"/>
        <v>1.7537400000000002E-2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0</v>
      </c>
    </row>
    <row r="20" spans="1:23" ht="25.5">
      <c r="A20" s="147" t="s">
        <v>179</v>
      </c>
      <c r="B20" s="11" t="s">
        <v>114</v>
      </c>
      <c r="C20" s="24" t="s">
        <v>22</v>
      </c>
      <c r="D20" s="11" t="s">
        <v>33</v>
      </c>
      <c r="E20" s="32">
        <v>9.4499999999999993</v>
      </c>
      <c r="F20" s="33">
        <v>0.09</v>
      </c>
      <c r="G20" s="33">
        <v>216.12</v>
      </c>
      <c r="H20" s="34">
        <f>G20*F20/1000</f>
        <v>1.9450800000000001E-2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0</v>
      </c>
    </row>
    <row r="21" spans="1:23">
      <c r="A21" s="147" t="s">
        <v>180</v>
      </c>
      <c r="B21" s="11" t="s">
        <v>25</v>
      </c>
      <c r="C21" s="24" t="s">
        <v>22</v>
      </c>
      <c r="D21" s="11" t="s">
        <v>111</v>
      </c>
      <c r="E21" s="32">
        <v>14.4</v>
      </c>
      <c r="F21" s="33">
        <f>SUM(E21/100)</f>
        <v>0.14400000000000002</v>
      </c>
      <c r="G21" s="33">
        <v>520.79999999999995</v>
      </c>
      <c r="H21" s="34">
        <f t="shared" si="0"/>
        <v>7.4995199999999998E-2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0</v>
      </c>
    </row>
    <row r="22" spans="1:23" s="20" customFormat="1">
      <c r="A22" s="148"/>
      <c r="B22" s="21" t="s">
        <v>26</v>
      </c>
      <c r="C22" s="38"/>
      <c r="D22" s="21"/>
      <c r="E22" s="39"/>
      <c r="F22" s="40"/>
      <c r="G22" s="40"/>
      <c r="H22" s="41">
        <f>SUM(H11:H21)</f>
        <v>55.584465379999997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18208.471808000002</v>
      </c>
      <c r="V22" s="142"/>
      <c r="W22" s="142"/>
    </row>
    <row r="23" spans="1:23">
      <c r="A23" s="147"/>
      <c r="B23" s="13" t="s">
        <v>27</v>
      </c>
      <c r="C23" s="24"/>
      <c r="D23" s="11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3" ht="25.5" customHeight="1">
      <c r="A24" s="147" t="s">
        <v>181</v>
      </c>
      <c r="B24" s="11" t="s">
        <v>167</v>
      </c>
      <c r="C24" s="24" t="s">
        <v>30</v>
      </c>
      <c r="D24" s="11" t="s">
        <v>28</v>
      </c>
      <c r="E24" s="33">
        <v>549.28</v>
      </c>
      <c r="F24" s="33">
        <f>SUM(E24*52/1000)</f>
        <v>28.562559999999998</v>
      </c>
      <c r="G24" s="33">
        <v>155.88999999999999</v>
      </c>
      <c r="H24" s="34">
        <f t="shared" ref="H24:H31" si="4">SUM(F24*G24/1000)</f>
        <v>4.4526174783999997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f t="shared" ref="U24:U30" si="5">SUM(I24:T24)</f>
        <v>0</v>
      </c>
    </row>
    <row r="25" spans="1:23" ht="38.25" customHeight="1">
      <c r="A25" s="147" t="s">
        <v>182</v>
      </c>
      <c r="B25" s="11" t="s">
        <v>29</v>
      </c>
      <c r="C25" s="24" t="s">
        <v>30</v>
      </c>
      <c r="D25" s="11" t="s">
        <v>31</v>
      </c>
      <c r="E25" s="33">
        <v>245.1</v>
      </c>
      <c r="F25" s="33">
        <f>SUM(E25*78/1000)</f>
        <v>19.117799999999999</v>
      </c>
      <c r="G25" s="33">
        <v>258.63</v>
      </c>
      <c r="H25" s="34">
        <f t="shared" si="4"/>
        <v>4.9444366139999989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f t="shared" si="5"/>
        <v>0</v>
      </c>
    </row>
    <row r="26" spans="1:23">
      <c r="A26" s="147" t="s">
        <v>183</v>
      </c>
      <c r="B26" s="11" t="s">
        <v>32</v>
      </c>
      <c r="C26" s="24" t="s">
        <v>30</v>
      </c>
      <c r="D26" s="11" t="s">
        <v>33</v>
      </c>
      <c r="E26" s="33">
        <v>549.28</v>
      </c>
      <c r="F26" s="33">
        <f>SUM(E26/1000)</f>
        <v>0.54927999999999999</v>
      </c>
      <c r="G26" s="33">
        <v>3020.33</v>
      </c>
      <c r="H26" s="34">
        <f t="shared" si="4"/>
        <v>1.6590068623999998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5"/>
        <v>0</v>
      </c>
    </row>
    <row r="27" spans="1:23">
      <c r="A27" s="147" t="s">
        <v>184</v>
      </c>
      <c r="B27" s="11" t="s">
        <v>34</v>
      </c>
      <c r="C27" s="24" t="s">
        <v>35</v>
      </c>
      <c r="D27" s="11" t="s">
        <v>36</v>
      </c>
      <c r="E27" s="44">
        <v>0.33333333333333331</v>
      </c>
      <c r="F27" s="33">
        <f>155/3</f>
        <v>51.666666666666664</v>
      </c>
      <c r="G27" s="33">
        <v>56.69</v>
      </c>
      <c r="H27" s="34">
        <f>SUM(G27*155/3/1000)</f>
        <v>2.9289833333333331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f t="shared" si="5"/>
        <v>0</v>
      </c>
    </row>
    <row r="28" spans="1:23" ht="12.75" customHeight="1">
      <c r="A28" s="147" t="s">
        <v>185</v>
      </c>
      <c r="B28" s="11" t="s">
        <v>37</v>
      </c>
      <c r="C28" s="24" t="s">
        <v>38</v>
      </c>
      <c r="D28" s="11" t="s">
        <v>39</v>
      </c>
      <c r="E28" s="45">
        <v>0.1</v>
      </c>
      <c r="F28" s="33">
        <f>SUM(E28*365)</f>
        <v>36.5</v>
      </c>
      <c r="G28" s="33">
        <v>147.03</v>
      </c>
      <c r="H28" s="34">
        <f t="shared" si="4"/>
        <v>5.3665950000000002</v>
      </c>
      <c r="I28" s="35">
        <f>F28/12*G28</f>
        <v>447.21625</v>
      </c>
      <c r="J28" s="35">
        <f>F28/12*G28</f>
        <v>447.21625</v>
      </c>
      <c r="K28" s="35">
        <f>F28/12*G28</f>
        <v>447.21625</v>
      </c>
      <c r="L28" s="35">
        <f>F28/12*G28</f>
        <v>447.21625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f t="shared" si="5"/>
        <v>1788.865</v>
      </c>
    </row>
    <row r="29" spans="1:23" ht="12.75" customHeight="1">
      <c r="A29" s="147" t="s">
        <v>186</v>
      </c>
      <c r="B29" s="11" t="s">
        <v>166</v>
      </c>
      <c r="C29" s="24" t="s">
        <v>38</v>
      </c>
      <c r="D29" s="11" t="s">
        <v>40</v>
      </c>
      <c r="E29" s="32"/>
      <c r="F29" s="33">
        <v>2</v>
      </c>
      <c r="G29" s="33">
        <v>191.32</v>
      </c>
      <c r="H29" s="34">
        <f t="shared" si="4"/>
        <v>0.38263999999999998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5"/>
        <v>0</v>
      </c>
    </row>
    <row r="30" spans="1:23" ht="13.5" customHeight="1">
      <c r="A30" s="147" t="s">
        <v>145</v>
      </c>
      <c r="B30" s="11" t="s">
        <v>168</v>
      </c>
      <c r="C30" s="24" t="s">
        <v>41</v>
      </c>
      <c r="D30" s="11" t="s">
        <v>40</v>
      </c>
      <c r="E30" s="32"/>
      <c r="F30" s="33">
        <v>3</v>
      </c>
      <c r="G30" s="33">
        <v>1136.32</v>
      </c>
      <c r="H30" s="34">
        <f t="shared" si="4"/>
        <v>3.40896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5"/>
        <v>0</v>
      </c>
    </row>
    <row r="31" spans="1:23">
      <c r="A31" s="147"/>
      <c r="B31" s="46" t="s">
        <v>42</v>
      </c>
      <c r="C31" s="24" t="s">
        <v>43</v>
      </c>
      <c r="D31" s="46" t="s">
        <v>44</v>
      </c>
      <c r="E31" s="32">
        <v>1832</v>
      </c>
      <c r="F31" s="33">
        <f>SUM(E31*12)</f>
        <v>21984</v>
      </c>
      <c r="G31" s="33">
        <v>5.25</v>
      </c>
      <c r="H31" s="34">
        <f t="shared" si="4"/>
        <v>115.416</v>
      </c>
      <c r="I31" s="35">
        <f>F31/12*G31</f>
        <v>9618</v>
      </c>
      <c r="J31" s="35">
        <f>F31/12*G31</f>
        <v>9618</v>
      </c>
      <c r="K31" s="35">
        <f>F31/12*G31</f>
        <v>9618</v>
      </c>
      <c r="L31" s="35">
        <f>F31/12*G31</f>
        <v>9618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f>SUM(I31:T31)</f>
        <v>38472</v>
      </c>
    </row>
    <row r="32" spans="1:23" s="20" customFormat="1">
      <c r="A32" s="148"/>
      <c r="B32" s="21" t="s">
        <v>26</v>
      </c>
      <c r="C32" s="38"/>
      <c r="D32" s="21"/>
      <c r="E32" s="39"/>
      <c r="F32" s="40"/>
      <c r="G32" s="40"/>
      <c r="H32" s="47">
        <f>SUM(H24:H31)</f>
        <v>138.55923928813331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40260.864999999998</v>
      </c>
      <c r="V32" s="142"/>
      <c r="W32" s="142"/>
    </row>
    <row r="33" spans="1:23">
      <c r="A33" s="147"/>
      <c r="B33" s="13" t="s">
        <v>45</v>
      </c>
      <c r="C33" s="24"/>
      <c r="D33" s="11"/>
      <c r="E33" s="32"/>
      <c r="F33" s="33"/>
      <c r="G33" s="33"/>
      <c r="H33" s="34" t="s">
        <v>44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3" ht="12.75" customHeight="1">
      <c r="A34" s="147" t="s">
        <v>145</v>
      </c>
      <c r="B34" s="14" t="s">
        <v>46</v>
      </c>
      <c r="C34" s="24" t="s">
        <v>41</v>
      </c>
      <c r="D34" s="11"/>
      <c r="E34" s="32"/>
      <c r="F34" s="33">
        <v>4</v>
      </c>
      <c r="G34" s="33">
        <v>1527.22</v>
      </c>
      <c r="H34" s="34">
        <f t="shared" ref="H34:H40" si="6">SUM(F34*G34/1000)</f>
        <v>6.1088800000000001</v>
      </c>
      <c r="I34" s="35">
        <f>F34/6*G34</f>
        <v>1018.1466666666666</v>
      </c>
      <c r="J34" s="35">
        <f>F34/6*G34</f>
        <v>1018.1466666666666</v>
      </c>
      <c r="K34" s="35">
        <f>F34/6*G34</f>
        <v>1018.1466666666666</v>
      </c>
      <c r="L34" s="35">
        <f>F34/6*G34</f>
        <v>1018.1466666666666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f t="shared" ref="U34:U40" si="7">SUM(I34:T34)</f>
        <v>4072.5866666666666</v>
      </c>
    </row>
    <row r="35" spans="1:23" s="1" customFormat="1">
      <c r="A35" s="149" t="s">
        <v>187</v>
      </c>
      <c r="B35" s="14" t="s">
        <v>47</v>
      </c>
      <c r="C35" s="48" t="s">
        <v>48</v>
      </c>
      <c r="D35" s="14" t="s">
        <v>49</v>
      </c>
      <c r="E35" s="49">
        <v>245.1</v>
      </c>
      <c r="F35" s="49">
        <f>SUM(E35*50/1000)</f>
        <v>12.255000000000001</v>
      </c>
      <c r="G35" s="49">
        <v>2102.71</v>
      </c>
      <c r="H35" s="34">
        <f t="shared" si="6"/>
        <v>25.76871105</v>
      </c>
      <c r="I35" s="50">
        <f>F35/6*G35</f>
        <v>4294.785175</v>
      </c>
      <c r="J35" s="50">
        <f>F35/6*G35</f>
        <v>4294.785175</v>
      </c>
      <c r="K35" s="35">
        <f t="shared" ref="K35:K40" si="8">F35/6*G35</f>
        <v>4294.785175</v>
      </c>
      <c r="L35" s="35">
        <f t="shared" ref="L35:L40" si="9">F35/6*G35</f>
        <v>4294.785175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f t="shared" si="7"/>
        <v>17179.1407</v>
      </c>
      <c r="V35" s="143"/>
      <c r="W35" s="143"/>
    </row>
    <row r="36" spans="1:23">
      <c r="A36" s="147" t="s">
        <v>145</v>
      </c>
      <c r="B36" s="11" t="s">
        <v>122</v>
      </c>
      <c r="C36" s="24" t="s">
        <v>78</v>
      </c>
      <c r="D36" s="11" t="s">
        <v>40</v>
      </c>
      <c r="E36" s="32"/>
      <c r="F36" s="49">
        <v>20</v>
      </c>
      <c r="G36" s="33">
        <v>213.2</v>
      </c>
      <c r="H36" s="34">
        <f>G36*F36/1000</f>
        <v>4.2640000000000002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f t="shared" si="7"/>
        <v>0</v>
      </c>
    </row>
    <row r="37" spans="1:23" ht="24.75" customHeight="1">
      <c r="A37" s="147" t="s">
        <v>188</v>
      </c>
      <c r="B37" s="11" t="s">
        <v>161</v>
      </c>
      <c r="C37" s="24" t="s">
        <v>48</v>
      </c>
      <c r="D37" s="11" t="s">
        <v>50</v>
      </c>
      <c r="E37" s="33">
        <v>42.5</v>
      </c>
      <c r="F37" s="49">
        <f>SUM(E37*155/1000)</f>
        <v>6.5875000000000004</v>
      </c>
      <c r="G37" s="33">
        <v>350.75</v>
      </c>
      <c r="H37" s="34">
        <f t="shared" si="6"/>
        <v>2.3105656250000002</v>
      </c>
      <c r="I37" s="35">
        <f>F37/6*G37</f>
        <v>385.09427083333333</v>
      </c>
      <c r="J37" s="35">
        <f>F37/6*G37</f>
        <v>385.09427083333333</v>
      </c>
      <c r="K37" s="35">
        <f t="shared" si="8"/>
        <v>385.09427083333333</v>
      </c>
      <c r="L37" s="35">
        <f t="shared" si="9"/>
        <v>385.09427083333333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f t="shared" si="7"/>
        <v>1540.3770833333333</v>
      </c>
    </row>
    <row r="38" spans="1:23" ht="51" customHeight="1">
      <c r="A38" s="147" t="s">
        <v>189</v>
      </c>
      <c r="B38" s="11" t="s">
        <v>162</v>
      </c>
      <c r="C38" s="24" t="s">
        <v>30</v>
      </c>
      <c r="D38" s="11" t="s">
        <v>115</v>
      </c>
      <c r="E38" s="33">
        <v>42.5</v>
      </c>
      <c r="F38" s="49">
        <f>SUM(E38*20/1000)</f>
        <v>0.85</v>
      </c>
      <c r="G38" s="33">
        <v>5803.28</v>
      </c>
      <c r="H38" s="34">
        <f t="shared" si="6"/>
        <v>4.9327879999999995</v>
      </c>
      <c r="I38" s="35">
        <f>F38/6*G38</f>
        <v>822.13133333333326</v>
      </c>
      <c r="J38" s="35">
        <f>F38/6*G38</f>
        <v>822.13133333333326</v>
      </c>
      <c r="K38" s="35">
        <f t="shared" si="8"/>
        <v>822.13133333333326</v>
      </c>
      <c r="L38" s="35">
        <f t="shared" si="9"/>
        <v>822.13133333333326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f t="shared" si="7"/>
        <v>3288.525333333333</v>
      </c>
    </row>
    <row r="39" spans="1:23" ht="12.75" customHeight="1">
      <c r="A39" s="147" t="s">
        <v>190</v>
      </c>
      <c r="B39" s="11" t="s">
        <v>163</v>
      </c>
      <c r="C39" s="24" t="s">
        <v>30</v>
      </c>
      <c r="D39" s="11" t="s">
        <v>51</v>
      </c>
      <c r="E39" s="33">
        <v>42.5</v>
      </c>
      <c r="F39" s="49">
        <f>SUM(E39*45/1000)</f>
        <v>1.9125000000000001</v>
      </c>
      <c r="G39" s="33">
        <v>428.7</v>
      </c>
      <c r="H39" s="34">
        <f t="shared" si="6"/>
        <v>0.81988875000000005</v>
      </c>
      <c r="I39" s="35">
        <f>F39/6*G39</f>
        <v>136.64812500000002</v>
      </c>
      <c r="J39" s="35">
        <f>F39/6*G39</f>
        <v>136.64812500000002</v>
      </c>
      <c r="K39" s="35">
        <f t="shared" si="8"/>
        <v>136.64812500000002</v>
      </c>
      <c r="L39" s="35">
        <f t="shared" si="9"/>
        <v>136.64812500000002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f t="shared" si="7"/>
        <v>546.59250000000009</v>
      </c>
    </row>
    <row r="40" spans="1:23" s="2" customFormat="1">
      <c r="A40" s="149"/>
      <c r="B40" s="14" t="s">
        <v>164</v>
      </c>
      <c r="C40" s="48" t="s">
        <v>38</v>
      </c>
      <c r="D40" s="14"/>
      <c r="E40" s="45"/>
      <c r="F40" s="49">
        <v>0.5</v>
      </c>
      <c r="G40" s="49">
        <v>798</v>
      </c>
      <c r="H40" s="34">
        <f t="shared" si="6"/>
        <v>0.39900000000000002</v>
      </c>
      <c r="I40" s="50">
        <f>F40/6*G40</f>
        <v>66.5</v>
      </c>
      <c r="J40" s="50">
        <f>F40/6*G40</f>
        <v>66.5</v>
      </c>
      <c r="K40" s="35">
        <f t="shared" si="8"/>
        <v>66.5</v>
      </c>
      <c r="L40" s="35">
        <f t="shared" si="9"/>
        <v>66.5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f t="shared" si="7"/>
        <v>266</v>
      </c>
      <c r="V40" s="142"/>
      <c r="W40" s="142"/>
    </row>
    <row r="41" spans="1:23" s="20" customFormat="1">
      <c r="A41" s="148"/>
      <c r="B41" s="21" t="s">
        <v>26</v>
      </c>
      <c r="C41" s="38"/>
      <c r="D41" s="21"/>
      <c r="E41" s="39"/>
      <c r="F41" s="40" t="s">
        <v>44</v>
      </c>
      <c r="G41" s="40"/>
      <c r="H41" s="47">
        <f>SUM(H34:H40)</f>
        <v>44.603833425000005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SUM(U34:U40)</f>
        <v>26893.222283333329</v>
      </c>
      <c r="V41" s="142"/>
      <c r="W41" s="142"/>
    </row>
    <row r="42" spans="1:23">
      <c r="A42" s="147"/>
      <c r="B42" s="15" t="s">
        <v>52</v>
      </c>
      <c r="C42" s="24"/>
      <c r="D42" s="11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3">
      <c r="A43" s="147" t="s">
        <v>191</v>
      </c>
      <c r="B43" s="11" t="s">
        <v>165</v>
      </c>
      <c r="C43" s="24" t="s">
        <v>30</v>
      </c>
      <c r="D43" s="11" t="s">
        <v>53</v>
      </c>
      <c r="E43" s="32">
        <v>1060.4000000000001</v>
      </c>
      <c r="F43" s="33">
        <f>SUM(E43*2/1000)</f>
        <v>2.1208</v>
      </c>
      <c r="G43" s="51">
        <v>809.74</v>
      </c>
      <c r="H43" s="34">
        <f t="shared" ref="H43:H53" si="10">SUM(F43*G43/1000)</f>
        <v>1.7172965920000001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f t="shared" ref="U43:U53" si="11">SUM(I43:T43)</f>
        <v>0</v>
      </c>
    </row>
    <row r="44" spans="1:23">
      <c r="A44" s="147" t="s">
        <v>192</v>
      </c>
      <c r="B44" s="11" t="s">
        <v>54</v>
      </c>
      <c r="C44" s="24" t="s">
        <v>30</v>
      </c>
      <c r="D44" s="11" t="s">
        <v>53</v>
      </c>
      <c r="E44" s="32">
        <v>19.8</v>
      </c>
      <c r="F44" s="33">
        <f>SUM(E44*2/1000)</f>
        <v>3.9600000000000003E-2</v>
      </c>
      <c r="G44" s="51">
        <v>579.48</v>
      </c>
      <c r="H44" s="34">
        <f t="shared" si="10"/>
        <v>2.2947408000000002E-2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f t="shared" si="11"/>
        <v>0</v>
      </c>
    </row>
    <row r="45" spans="1:23" ht="12.75" customHeight="1">
      <c r="A45" s="147" t="s">
        <v>193</v>
      </c>
      <c r="B45" s="11" t="s">
        <v>55</v>
      </c>
      <c r="C45" s="24" t="s">
        <v>30</v>
      </c>
      <c r="D45" s="11" t="s">
        <v>53</v>
      </c>
      <c r="E45" s="32">
        <v>660.84</v>
      </c>
      <c r="F45" s="33">
        <f>SUM(E45*2/1000)</f>
        <v>1.32168</v>
      </c>
      <c r="G45" s="51">
        <v>579.48</v>
      </c>
      <c r="H45" s="34">
        <f t="shared" si="10"/>
        <v>0.76588712640000001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f t="shared" si="11"/>
        <v>0</v>
      </c>
    </row>
    <row r="46" spans="1:23">
      <c r="A46" s="147" t="s">
        <v>194</v>
      </c>
      <c r="B46" s="11" t="s">
        <v>56</v>
      </c>
      <c r="C46" s="24" t="s">
        <v>30</v>
      </c>
      <c r="D46" s="11" t="s">
        <v>53</v>
      </c>
      <c r="E46" s="32">
        <v>1156.21</v>
      </c>
      <c r="F46" s="33">
        <f>SUM(E46*2/1000)</f>
        <v>2.3124199999999999</v>
      </c>
      <c r="G46" s="51">
        <v>606.77</v>
      </c>
      <c r="H46" s="34">
        <f t="shared" si="10"/>
        <v>1.4031070833999999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f t="shared" si="11"/>
        <v>0</v>
      </c>
    </row>
    <row r="47" spans="1:23">
      <c r="A47" s="147" t="s">
        <v>195</v>
      </c>
      <c r="B47" s="11" t="s">
        <v>57</v>
      </c>
      <c r="C47" s="24" t="s">
        <v>58</v>
      </c>
      <c r="D47" s="11" t="s">
        <v>53</v>
      </c>
      <c r="E47" s="32">
        <v>15.38</v>
      </c>
      <c r="F47" s="33">
        <f>SUM(E47*2/100)</f>
        <v>0.30760000000000004</v>
      </c>
      <c r="G47" s="51">
        <v>72.81</v>
      </c>
      <c r="H47" s="34">
        <f t="shared" si="10"/>
        <v>2.2396356000000003E-2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f t="shared" si="11"/>
        <v>0</v>
      </c>
    </row>
    <row r="48" spans="1:23" ht="25.5">
      <c r="A48" s="147" t="s">
        <v>196</v>
      </c>
      <c r="B48" s="11" t="s">
        <v>59</v>
      </c>
      <c r="C48" s="24" t="s">
        <v>30</v>
      </c>
      <c r="D48" s="11" t="s">
        <v>60</v>
      </c>
      <c r="E48" s="32">
        <v>823</v>
      </c>
      <c r="F48" s="33">
        <f>SUM(E48*5/1000)</f>
        <v>4.1150000000000002</v>
      </c>
      <c r="G48" s="51">
        <v>1213.55</v>
      </c>
      <c r="H48" s="34">
        <f t="shared" si="10"/>
        <v>4.99375825</v>
      </c>
      <c r="I48" s="35">
        <f>F48/5*G48</f>
        <v>998.75165000000004</v>
      </c>
      <c r="J48" s="35">
        <f>F48/5*G48</f>
        <v>998.75165000000004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f t="shared" si="11"/>
        <v>1997.5033000000001</v>
      </c>
    </row>
    <row r="49" spans="1:23" ht="39.6" customHeight="1">
      <c r="A49" s="147" t="s">
        <v>197</v>
      </c>
      <c r="B49" s="11" t="s">
        <v>61</v>
      </c>
      <c r="C49" s="24" t="s">
        <v>30</v>
      </c>
      <c r="D49" s="11" t="s">
        <v>53</v>
      </c>
      <c r="E49" s="32">
        <v>823</v>
      </c>
      <c r="F49" s="33">
        <f>SUM(E49*2/1000)</f>
        <v>1.6459999999999999</v>
      </c>
      <c r="G49" s="51">
        <v>1213.55</v>
      </c>
      <c r="H49" s="34">
        <f t="shared" si="10"/>
        <v>1.9975032999999998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f t="shared" si="11"/>
        <v>0</v>
      </c>
    </row>
    <row r="50" spans="1:23" ht="25.5" customHeight="1">
      <c r="A50" s="147" t="s">
        <v>198</v>
      </c>
      <c r="B50" s="11" t="s">
        <v>62</v>
      </c>
      <c r="C50" s="24" t="s">
        <v>63</v>
      </c>
      <c r="D50" s="11" t="s">
        <v>53</v>
      </c>
      <c r="E50" s="32">
        <v>9</v>
      </c>
      <c r="F50" s="33">
        <f>SUM(E50*2/100)</f>
        <v>0.18</v>
      </c>
      <c r="G50" s="51">
        <v>2730.49</v>
      </c>
      <c r="H50" s="34">
        <f t="shared" si="10"/>
        <v>0.49148819999999993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f t="shared" si="11"/>
        <v>0</v>
      </c>
    </row>
    <row r="51" spans="1:23">
      <c r="A51" s="147" t="s">
        <v>199</v>
      </c>
      <c r="B51" s="11" t="s">
        <v>64</v>
      </c>
      <c r="C51" s="24" t="s">
        <v>65</v>
      </c>
      <c r="D51" s="11" t="s">
        <v>53</v>
      </c>
      <c r="E51" s="32">
        <v>1</v>
      </c>
      <c r="F51" s="33">
        <v>0.02</v>
      </c>
      <c r="G51" s="51">
        <v>5652.13</v>
      </c>
      <c r="H51" s="34">
        <f t="shared" si="10"/>
        <v>0.11304260000000001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f t="shared" si="11"/>
        <v>0</v>
      </c>
    </row>
    <row r="52" spans="1:23" ht="13.5" customHeight="1">
      <c r="A52" s="147" t="s">
        <v>66</v>
      </c>
      <c r="B52" s="11" t="s">
        <v>67</v>
      </c>
      <c r="C52" s="24" t="s">
        <v>68</v>
      </c>
      <c r="D52" s="11" t="s">
        <v>116</v>
      </c>
      <c r="E52" s="32">
        <v>36</v>
      </c>
      <c r="F52" s="33">
        <f>SUM(E52*3)</f>
        <v>108</v>
      </c>
      <c r="G52" s="52">
        <v>141.12</v>
      </c>
      <c r="H52" s="34">
        <f t="shared" si="10"/>
        <v>15.240960000000001</v>
      </c>
      <c r="I52" s="35">
        <f>E52*G52</f>
        <v>5080.32</v>
      </c>
      <c r="J52" s="35">
        <v>0</v>
      </c>
      <c r="K52" s="35">
        <v>0</v>
      </c>
      <c r="L52" s="35">
        <f>E52*G52</f>
        <v>5080.32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f t="shared" si="11"/>
        <v>10160.64</v>
      </c>
    </row>
    <row r="53" spans="1:23" ht="13.5" customHeight="1">
      <c r="A53" s="147" t="s">
        <v>69</v>
      </c>
      <c r="B53" s="11" t="s">
        <v>70</v>
      </c>
      <c r="C53" s="24" t="s">
        <v>68</v>
      </c>
      <c r="D53" s="11" t="s">
        <v>116</v>
      </c>
      <c r="E53" s="32">
        <v>36</v>
      </c>
      <c r="F53" s="33">
        <f>SUM(E53)*3</f>
        <v>108</v>
      </c>
      <c r="G53" s="52">
        <v>61.84</v>
      </c>
      <c r="H53" s="34">
        <f t="shared" si="10"/>
        <v>6.6787200000000002</v>
      </c>
      <c r="I53" s="35">
        <f>E53*G53</f>
        <v>2226.2400000000002</v>
      </c>
      <c r="J53" s="35">
        <v>0</v>
      </c>
      <c r="K53" s="35">
        <v>0</v>
      </c>
      <c r="L53" s="35">
        <f>E53*G53</f>
        <v>2226.2400000000002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f t="shared" si="11"/>
        <v>4452.4800000000005</v>
      </c>
    </row>
    <row r="54" spans="1:23" s="22" customFormat="1">
      <c r="A54" s="150"/>
      <c r="B54" s="21" t="s">
        <v>26</v>
      </c>
      <c r="C54" s="53"/>
      <c r="D54" s="21"/>
      <c r="E54" s="54"/>
      <c r="F54" s="55"/>
      <c r="G54" s="55"/>
      <c r="H54" s="47">
        <f>SUM(H43:H53)</f>
        <v>33.447106915799999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>
        <f>SUM(U43:U53)</f>
        <v>16610.623299999999</v>
      </c>
      <c r="V54" s="142"/>
      <c r="W54" s="142"/>
    </row>
    <row r="55" spans="1:23">
      <c r="A55" s="147"/>
      <c r="B55" s="13" t="s">
        <v>71</v>
      </c>
      <c r="C55" s="24"/>
      <c r="D55" s="11"/>
      <c r="E55" s="32"/>
      <c r="F55" s="33"/>
      <c r="G55" s="33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3" ht="38.25" customHeight="1">
      <c r="A56" s="151" t="s">
        <v>200</v>
      </c>
      <c r="B56" s="11" t="s">
        <v>148</v>
      </c>
      <c r="C56" s="24" t="s">
        <v>13</v>
      </c>
      <c r="D56" s="11" t="s">
        <v>72</v>
      </c>
      <c r="E56" s="32">
        <v>80.02</v>
      </c>
      <c r="F56" s="33">
        <f>SUM(E56*6/100)</f>
        <v>4.8011999999999997</v>
      </c>
      <c r="G56" s="51">
        <v>1547.28</v>
      </c>
      <c r="H56" s="34">
        <f>SUM(F56*G56/1000)</f>
        <v>7.4288007359999995</v>
      </c>
      <c r="I56" s="35">
        <f>F56/6*G56</f>
        <v>1238.1334559999998</v>
      </c>
      <c r="J56" s="35">
        <f>F56/6*G56</f>
        <v>1238.1334559999998</v>
      </c>
      <c r="K56" s="35">
        <f>F56/6*G56</f>
        <v>1238.1334559999998</v>
      </c>
      <c r="L56" s="35">
        <f>F56/6*G56</f>
        <v>1238.1334559999998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f>SUM(I56:T56)</f>
        <v>4952.5338239999992</v>
      </c>
    </row>
    <row r="57" spans="1:23" ht="38.25">
      <c r="A57" s="147" t="s">
        <v>201</v>
      </c>
      <c r="B57" s="11" t="s">
        <v>73</v>
      </c>
      <c r="C57" s="24" t="s">
        <v>13</v>
      </c>
      <c r="D57" s="11" t="s">
        <v>74</v>
      </c>
      <c r="E57" s="57">
        <v>5.85</v>
      </c>
      <c r="F57" s="51">
        <f>E57*2*6/100</f>
        <v>0.70199999999999985</v>
      </c>
      <c r="G57" s="49">
        <v>1547.28</v>
      </c>
      <c r="H57" s="34">
        <f>SUM(F57*G57/1000)</f>
        <v>1.0861905599999997</v>
      </c>
      <c r="I57" s="35">
        <f>F57/6*G57</f>
        <v>181.03175999999996</v>
      </c>
      <c r="J57" s="35">
        <f>F57/6*G57</f>
        <v>181.03175999999996</v>
      </c>
      <c r="K57" s="35">
        <f>F57/6*G57</f>
        <v>181.03175999999996</v>
      </c>
      <c r="L57" s="35">
        <f>F57/6*G57</f>
        <v>181.03175999999996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>SUM(I57:T57)</f>
        <v>724.12703999999985</v>
      </c>
    </row>
    <row r="58" spans="1:23">
      <c r="A58" s="147"/>
      <c r="B58" s="12" t="s">
        <v>75</v>
      </c>
      <c r="C58" s="24"/>
      <c r="D58" s="11"/>
      <c r="E58" s="32"/>
      <c r="F58" s="33"/>
      <c r="G58" s="58"/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3">
      <c r="A59" s="147" t="s">
        <v>202</v>
      </c>
      <c r="B59" s="11" t="s">
        <v>117</v>
      </c>
      <c r="C59" s="24"/>
      <c r="D59" s="11" t="s">
        <v>33</v>
      </c>
      <c r="E59" s="32">
        <v>868.7</v>
      </c>
      <c r="F59" s="34">
        <v>8.6869999999999994</v>
      </c>
      <c r="G59" s="51">
        <v>793.61</v>
      </c>
      <c r="H59" s="59">
        <f>F59*G59/1000</f>
        <v>6.894090069999999</v>
      </c>
      <c r="I59" s="35">
        <v>0</v>
      </c>
      <c r="J59" s="35">
        <v>0</v>
      </c>
      <c r="K59" s="35">
        <v>0</v>
      </c>
      <c r="L59" s="35">
        <v>0</v>
      </c>
      <c r="M59" s="35">
        <f>0</f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f>SUM(I59:T59)</f>
        <v>0</v>
      </c>
    </row>
    <row r="60" spans="1:23">
      <c r="A60" s="147"/>
      <c r="B60" s="13" t="s">
        <v>76</v>
      </c>
      <c r="C60" s="24"/>
      <c r="D60" s="11"/>
      <c r="E60" s="32"/>
      <c r="F60" s="33"/>
      <c r="G60" s="60"/>
      <c r="H60" s="34" t="s">
        <v>44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3">
      <c r="A61" s="147" t="s">
        <v>203</v>
      </c>
      <c r="B61" s="11" t="s">
        <v>77</v>
      </c>
      <c r="C61" s="24" t="s">
        <v>68</v>
      </c>
      <c r="D61" s="11" t="s">
        <v>40</v>
      </c>
      <c r="E61" s="32">
        <v>1</v>
      </c>
      <c r="F61" s="33">
        <f>SUM(E61)</f>
        <v>1</v>
      </c>
      <c r="G61" s="61">
        <v>237.75</v>
      </c>
      <c r="H61" s="34">
        <f t="shared" ref="H61:H78" si="12">SUM(F61*G61/1000)</f>
        <v>0.23774999999999999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f>SUM(I61:T61)</f>
        <v>0</v>
      </c>
    </row>
    <row r="62" spans="1:23">
      <c r="A62" s="152"/>
      <c r="B62" s="16" t="s">
        <v>79</v>
      </c>
      <c r="C62" s="62"/>
      <c r="D62" s="63"/>
      <c r="E62" s="64"/>
      <c r="F62" s="65"/>
      <c r="G62" s="65"/>
      <c r="H62" s="66" t="s">
        <v>44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3" ht="12.75" customHeight="1">
      <c r="A63" s="67" t="s">
        <v>204</v>
      </c>
      <c r="B63" s="17" t="s">
        <v>80</v>
      </c>
      <c r="C63" s="67" t="s">
        <v>68</v>
      </c>
      <c r="D63" s="9" t="s">
        <v>40</v>
      </c>
      <c r="E63" s="68">
        <v>10</v>
      </c>
      <c r="F63" s="33">
        <v>10</v>
      </c>
      <c r="G63" s="51">
        <v>222.4</v>
      </c>
      <c r="H63" s="141">
        <f t="shared" si="12"/>
        <v>2.2240000000000002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ref="U63:U70" si="13">SUM(I63:T63)</f>
        <v>0</v>
      </c>
    </row>
    <row r="64" spans="1:23" ht="12.75" customHeight="1">
      <c r="A64" s="67" t="s">
        <v>205</v>
      </c>
      <c r="B64" s="17" t="s">
        <v>81</v>
      </c>
      <c r="C64" s="67" t="s">
        <v>68</v>
      </c>
      <c r="D64" s="9" t="s">
        <v>40</v>
      </c>
      <c r="E64" s="68">
        <v>3</v>
      </c>
      <c r="F64" s="33">
        <v>3</v>
      </c>
      <c r="G64" s="51">
        <v>76.25</v>
      </c>
      <c r="H64" s="141">
        <f t="shared" si="12"/>
        <v>0.22875000000000001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3"/>
        <v>0</v>
      </c>
    </row>
    <row r="65" spans="1:23" s="2" customFormat="1">
      <c r="A65" s="69" t="s">
        <v>206</v>
      </c>
      <c r="B65" s="17" t="s">
        <v>82</v>
      </c>
      <c r="C65" s="69" t="s">
        <v>83</v>
      </c>
      <c r="D65" s="9" t="s">
        <v>33</v>
      </c>
      <c r="E65" s="32">
        <v>7265</v>
      </c>
      <c r="F65" s="52">
        <f>SUM(E65/100)</f>
        <v>72.650000000000006</v>
      </c>
      <c r="G65" s="51">
        <v>212.15</v>
      </c>
      <c r="H65" s="141">
        <f t="shared" si="12"/>
        <v>15.412697500000002</v>
      </c>
      <c r="I65" s="50">
        <v>0</v>
      </c>
      <c r="J65" s="50">
        <v>0</v>
      </c>
      <c r="K65" s="50">
        <v>0</v>
      </c>
      <c r="L65" s="50">
        <v>0</v>
      </c>
      <c r="M65" s="35">
        <v>0</v>
      </c>
      <c r="N65" s="50">
        <v>0</v>
      </c>
      <c r="O65" s="50">
        <v>0</v>
      </c>
      <c r="P65" s="50">
        <v>0</v>
      </c>
      <c r="Q65" s="50">
        <v>0</v>
      </c>
      <c r="R65" s="35">
        <v>0</v>
      </c>
      <c r="S65" s="50">
        <v>0</v>
      </c>
      <c r="T65" s="50">
        <v>0</v>
      </c>
      <c r="U65" s="35">
        <f t="shared" si="13"/>
        <v>0</v>
      </c>
      <c r="V65" s="142"/>
      <c r="W65" s="142"/>
    </row>
    <row r="66" spans="1:23" ht="12.75" customHeight="1">
      <c r="A66" s="67" t="s">
        <v>207</v>
      </c>
      <c r="B66" s="17" t="s">
        <v>84</v>
      </c>
      <c r="C66" s="67" t="s">
        <v>85</v>
      </c>
      <c r="D66" s="9"/>
      <c r="E66" s="32">
        <v>7265</v>
      </c>
      <c r="F66" s="51">
        <f>SUM(E66/1000)</f>
        <v>7.2649999999999997</v>
      </c>
      <c r="G66" s="51">
        <v>165.21</v>
      </c>
      <c r="H66" s="141">
        <f t="shared" si="12"/>
        <v>1.2002506499999999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3"/>
        <v>0</v>
      </c>
    </row>
    <row r="67" spans="1:23">
      <c r="A67" s="67" t="s">
        <v>208</v>
      </c>
      <c r="B67" s="17" t="s">
        <v>86</v>
      </c>
      <c r="C67" s="67" t="s">
        <v>87</v>
      </c>
      <c r="D67" s="9" t="s">
        <v>33</v>
      </c>
      <c r="E67" s="32">
        <v>1090</v>
      </c>
      <c r="F67" s="51">
        <f>SUM(E67/100)</f>
        <v>10.9</v>
      </c>
      <c r="G67" s="51">
        <v>2074.63</v>
      </c>
      <c r="H67" s="141">
        <f t="shared" si="12"/>
        <v>22.613467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13"/>
        <v>0</v>
      </c>
    </row>
    <row r="68" spans="1:23">
      <c r="A68" s="67"/>
      <c r="B68" s="18" t="s">
        <v>118</v>
      </c>
      <c r="C68" s="67" t="s">
        <v>38</v>
      </c>
      <c r="D68" s="9"/>
      <c r="E68" s="32">
        <v>7.4</v>
      </c>
      <c r="F68" s="51">
        <f>SUM(E68)</f>
        <v>7.4</v>
      </c>
      <c r="G68" s="51">
        <v>42.67</v>
      </c>
      <c r="H68" s="141">
        <f t="shared" si="12"/>
        <v>0.31575800000000004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13"/>
        <v>0</v>
      </c>
    </row>
    <row r="69" spans="1:23" ht="12.75" customHeight="1">
      <c r="A69" s="67"/>
      <c r="B69" s="18" t="s">
        <v>119</v>
      </c>
      <c r="C69" s="67" t="s">
        <v>38</v>
      </c>
      <c r="D69" s="9"/>
      <c r="E69" s="32">
        <v>7.4</v>
      </c>
      <c r="F69" s="51">
        <f>SUM(E69)</f>
        <v>7.4</v>
      </c>
      <c r="G69" s="51">
        <v>39.81</v>
      </c>
      <c r="H69" s="141">
        <f t="shared" si="12"/>
        <v>0.29459400000000008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13"/>
        <v>0</v>
      </c>
    </row>
    <row r="70" spans="1:23">
      <c r="A70" s="67" t="s">
        <v>209</v>
      </c>
      <c r="B70" s="9" t="s">
        <v>88</v>
      </c>
      <c r="C70" s="67" t="s">
        <v>89</v>
      </c>
      <c r="D70" s="9" t="s">
        <v>33</v>
      </c>
      <c r="E70" s="68">
        <v>3</v>
      </c>
      <c r="F70" s="33">
        <f>SUM(E70)</f>
        <v>3</v>
      </c>
      <c r="G70" s="51">
        <v>49.88</v>
      </c>
      <c r="H70" s="141">
        <f t="shared" si="12"/>
        <v>0.14964000000000002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13"/>
        <v>0</v>
      </c>
    </row>
    <row r="71" spans="1:23">
      <c r="A71" s="67"/>
      <c r="B71" s="19" t="s">
        <v>90</v>
      </c>
      <c r="C71" s="67"/>
      <c r="D71" s="9"/>
      <c r="E71" s="68"/>
      <c r="F71" s="51"/>
      <c r="G71" s="51"/>
      <c r="H71" s="141" t="s">
        <v>44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3">
      <c r="A72" s="67" t="s">
        <v>210</v>
      </c>
      <c r="B72" s="9" t="s">
        <v>91</v>
      </c>
      <c r="C72" s="67" t="s">
        <v>92</v>
      </c>
      <c r="D72" s="9"/>
      <c r="E72" s="68">
        <v>5</v>
      </c>
      <c r="F72" s="51">
        <v>0.5</v>
      </c>
      <c r="G72" s="51">
        <v>501.62</v>
      </c>
      <c r="H72" s="141">
        <f t="shared" si="12"/>
        <v>0.25080999999999998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>SUM(I72:T72)</f>
        <v>0</v>
      </c>
    </row>
    <row r="73" spans="1:23">
      <c r="A73" s="67" t="s">
        <v>211</v>
      </c>
      <c r="B73" s="9" t="s">
        <v>95</v>
      </c>
      <c r="C73" s="67" t="s">
        <v>35</v>
      </c>
      <c r="D73" s="9"/>
      <c r="E73" s="68">
        <v>1</v>
      </c>
      <c r="F73" s="33">
        <f>SUM(E73)</f>
        <v>1</v>
      </c>
      <c r="G73" s="51">
        <v>358.51</v>
      </c>
      <c r="H73" s="141">
        <f t="shared" si="12"/>
        <v>0.35851</v>
      </c>
      <c r="I73" s="35">
        <v>0</v>
      </c>
      <c r="J73" s="35">
        <v>0</v>
      </c>
      <c r="K73" s="35">
        <f>G73</f>
        <v>358.51</v>
      </c>
      <c r="L73" s="35">
        <f>G73</f>
        <v>358.51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>SUM(I73:T73)</f>
        <v>717.02</v>
      </c>
    </row>
    <row r="74" spans="1:23">
      <c r="A74" s="67" t="s">
        <v>212</v>
      </c>
      <c r="B74" s="9" t="s">
        <v>94</v>
      </c>
      <c r="C74" s="67" t="s">
        <v>35</v>
      </c>
      <c r="D74" s="9"/>
      <c r="E74" s="68">
        <v>1</v>
      </c>
      <c r="F74" s="51">
        <v>1</v>
      </c>
      <c r="G74" s="51">
        <v>120.26</v>
      </c>
      <c r="H74" s="141">
        <f>F74*G74/1000</f>
        <v>0.12026000000000001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f>SUM(I74:T74)</f>
        <v>0</v>
      </c>
    </row>
    <row r="75" spans="1:23">
      <c r="A75" s="67" t="s">
        <v>213</v>
      </c>
      <c r="B75" s="9" t="s">
        <v>120</v>
      </c>
      <c r="C75" s="67" t="s">
        <v>35</v>
      </c>
      <c r="D75" s="9"/>
      <c r="E75" s="68">
        <v>1</v>
      </c>
      <c r="F75" s="51">
        <v>1</v>
      </c>
      <c r="G75" s="51">
        <v>852.99</v>
      </c>
      <c r="H75" s="141">
        <f>F75*G75/1000</f>
        <v>0.85299000000000003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f>SUM(I75:T75)</f>
        <v>0</v>
      </c>
    </row>
    <row r="76" spans="1:23">
      <c r="A76" s="67" t="s">
        <v>214</v>
      </c>
      <c r="B76" s="9" t="s">
        <v>93</v>
      </c>
      <c r="C76" s="67" t="s">
        <v>35</v>
      </c>
      <c r="D76" s="9"/>
      <c r="E76" s="68">
        <v>1</v>
      </c>
      <c r="F76" s="51">
        <f>E76</f>
        <v>1</v>
      </c>
      <c r="G76" s="51">
        <v>99.85</v>
      </c>
      <c r="H76" s="141">
        <f>F76*G76/1000</f>
        <v>9.9849999999999994E-2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f>SUM(I76:T76)</f>
        <v>0</v>
      </c>
    </row>
    <row r="77" spans="1:23">
      <c r="A77" s="67"/>
      <c r="B77" s="70" t="s">
        <v>96</v>
      </c>
      <c r="C77" s="67"/>
      <c r="D77" s="9"/>
      <c r="E77" s="68"/>
      <c r="F77" s="51"/>
      <c r="G77" s="51" t="s">
        <v>44</v>
      </c>
      <c r="H77" s="141" t="s">
        <v>44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  <row r="78" spans="1:23" s="2" customFormat="1">
      <c r="A78" s="69" t="s">
        <v>97</v>
      </c>
      <c r="B78" s="71" t="s">
        <v>98</v>
      </c>
      <c r="C78" s="69" t="s">
        <v>87</v>
      </c>
      <c r="D78" s="17"/>
      <c r="E78" s="72"/>
      <c r="F78" s="52">
        <v>1.35</v>
      </c>
      <c r="G78" s="52">
        <v>2759.44</v>
      </c>
      <c r="H78" s="141">
        <f t="shared" si="12"/>
        <v>3.725244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35">
        <f>SUM(I78:T78)</f>
        <v>0</v>
      </c>
      <c r="V78" s="142"/>
      <c r="W78" s="142"/>
    </row>
    <row r="79" spans="1:23" s="22" customFormat="1">
      <c r="A79" s="73"/>
      <c r="B79" s="21" t="s">
        <v>26</v>
      </c>
      <c r="C79" s="74"/>
      <c r="D79" s="75"/>
      <c r="E79" s="76"/>
      <c r="F79" s="56"/>
      <c r="G79" s="56"/>
      <c r="H79" s="77">
        <f>SUM(H56:H78)</f>
        <v>63.493652516000012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>
        <f>SUM(U56:U78)</f>
        <v>6393.6808639999999</v>
      </c>
      <c r="V79" s="142"/>
      <c r="W79" s="142"/>
    </row>
    <row r="80" spans="1:23">
      <c r="A80" s="153" t="s">
        <v>137</v>
      </c>
      <c r="B80" s="11" t="s">
        <v>138</v>
      </c>
      <c r="C80" s="78"/>
      <c r="D80" s="79"/>
      <c r="E80" s="127"/>
      <c r="F80" s="80">
        <v>1</v>
      </c>
      <c r="G80" s="81">
        <v>11197.2</v>
      </c>
      <c r="H80" s="141">
        <f>G80*F80/1000</f>
        <v>11.1972</v>
      </c>
      <c r="I80" s="35">
        <v>0</v>
      </c>
      <c r="J80" s="35">
        <v>0</v>
      </c>
      <c r="K80" s="35">
        <v>0</v>
      </c>
      <c r="L80" s="35">
        <v>0</v>
      </c>
      <c r="M80" s="36">
        <v>0</v>
      </c>
      <c r="N80" s="36">
        <v>0</v>
      </c>
      <c r="O80" s="35">
        <v>0</v>
      </c>
      <c r="P80" s="35">
        <v>0</v>
      </c>
      <c r="Q80" s="35">
        <v>0</v>
      </c>
      <c r="R80" s="35">
        <v>0</v>
      </c>
      <c r="S80" s="35">
        <f>G80</f>
        <v>11197.2</v>
      </c>
      <c r="T80" s="35">
        <v>0</v>
      </c>
      <c r="U80" s="35">
        <f>SUM(I80:L80)</f>
        <v>0</v>
      </c>
    </row>
    <row r="81" spans="1:26" ht="12.75" customHeight="1">
      <c r="A81" s="154"/>
      <c r="B81" s="12" t="s">
        <v>99</v>
      </c>
      <c r="C81" s="67" t="s">
        <v>100</v>
      </c>
      <c r="D81" s="82"/>
      <c r="E81" s="51">
        <v>1832</v>
      </c>
      <c r="F81" s="51">
        <f>SUM(E81*12)</f>
        <v>21984</v>
      </c>
      <c r="G81" s="83">
        <v>2.1</v>
      </c>
      <c r="H81" s="141">
        <f>SUM(F81*G81/1000)</f>
        <v>46.166400000000003</v>
      </c>
      <c r="I81" s="35">
        <f>F81/12*G81</f>
        <v>3847.2000000000003</v>
      </c>
      <c r="J81" s="35">
        <f>F81/12*G81</f>
        <v>3847.2000000000003</v>
      </c>
      <c r="K81" s="35">
        <f>F81/12*G81</f>
        <v>3847.2000000000003</v>
      </c>
      <c r="L81" s="35">
        <f>F81/12*G81</f>
        <v>3847.2000000000003</v>
      </c>
      <c r="M81" s="36">
        <v>0</v>
      </c>
      <c r="N81" s="36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f>SUM(I81:T81)</f>
        <v>15388.800000000001</v>
      </c>
    </row>
    <row r="82" spans="1:26" s="20" customFormat="1">
      <c r="A82" s="84"/>
      <c r="B82" s="21" t="s">
        <v>26</v>
      </c>
      <c r="C82" s="85"/>
      <c r="D82" s="86"/>
      <c r="E82" s="87"/>
      <c r="F82" s="42"/>
      <c r="G82" s="88"/>
      <c r="H82" s="43">
        <f>SUM(H80:H81)</f>
        <v>57.363600000000005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>
        <f>SUM(U80:U81)</f>
        <v>15388.800000000001</v>
      </c>
      <c r="V82" s="142"/>
      <c r="W82" s="142"/>
    </row>
    <row r="83" spans="1:26" ht="25.5" customHeight="1">
      <c r="A83" s="89"/>
      <c r="B83" s="9" t="s">
        <v>101</v>
      </c>
      <c r="C83" s="67"/>
      <c r="D83" s="90"/>
      <c r="E83" s="32">
        <f>E81</f>
        <v>1832</v>
      </c>
      <c r="F83" s="51">
        <f>E83*12</f>
        <v>21984</v>
      </c>
      <c r="G83" s="51">
        <v>1.63</v>
      </c>
      <c r="H83" s="141">
        <f>F83*G83/1000</f>
        <v>35.833919999999999</v>
      </c>
      <c r="I83" s="35">
        <f>F83/12*G83</f>
        <v>2986.16</v>
      </c>
      <c r="J83" s="35">
        <f>F83/12*G83</f>
        <v>2986.16</v>
      </c>
      <c r="K83" s="35">
        <f>F83/12*G83</f>
        <v>2986.16</v>
      </c>
      <c r="L83" s="35">
        <f>F83/12*G83</f>
        <v>2986.16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f>SUM(I83:T83)</f>
        <v>11944.64</v>
      </c>
    </row>
    <row r="84" spans="1:26" s="20" customFormat="1">
      <c r="A84" s="84"/>
      <c r="B84" s="91" t="s">
        <v>102</v>
      </c>
      <c r="C84" s="92"/>
      <c r="D84" s="91"/>
      <c r="E84" s="42"/>
      <c r="F84" s="42"/>
      <c r="G84" s="42"/>
      <c r="H84" s="77">
        <f>H83</f>
        <v>35.833919999999999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123">
        <f>U83</f>
        <v>11944.64</v>
      </c>
      <c r="V84" s="142"/>
      <c r="W84" s="142"/>
    </row>
    <row r="85" spans="1:26" s="20" customFormat="1">
      <c r="A85" s="84"/>
      <c r="B85" s="91" t="s">
        <v>103</v>
      </c>
      <c r="C85" s="93"/>
      <c r="D85" s="94"/>
      <c r="E85" s="95"/>
      <c r="F85" s="95"/>
      <c r="G85" s="95"/>
      <c r="H85" s="77">
        <f>SUM(H84+H82+H79+H54+H41+H32+H22)</f>
        <v>428.88581752493326</v>
      </c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123">
        <f>SUM(U84+U82+U79+U54+U41+U32+U22)*1.094</f>
        <v>148456.13176133469</v>
      </c>
      <c r="V85" s="142"/>
      <c r="W85" s="142"/>
    </row>
    <row r="86" spans="1:26" s="121" customFormat="1" ht="51" customHeight="1">
      <c r="A86" s="89"/>
      <c r="B86" s="70"/>
      <c r="C86" s="67"/>
      <c r="D86" s="90"/>
      <c r="E86" s="51"/>
      <c r="F86" s="51"/>
      <c r="G86" s="51"/>
      <c r="H86" s="120"/>
      <c r="I86" s="51"/>
      <c r="J86" s="51"/>
      <c r="K86" s="51"/>
      <c r="L86" s="51"/>
      <c r="M86" s="51"/>
      <c r="N86" s="51"/>
      <c r="O86" s="51"/>
      <c r="P86" s="51"/>
      <c r="Q86" s="51"/>
      <c r="R86" s="129"/>
      <c r="S86" s="129"/>
      <c r="T86" s="129"/>
      <c r="U86" s="130" t="s">
        <v>141</v>
      </c>
      <c r="V86" s="142"/>
      <c r="W86" s="165"/>
      <c r="X86" s="165"/>
      <c r="Y86" s="165"/>
      <c r="Z86" s="165"/>
    </row>
    <row r="87" spans="1:26">
      <c r="A87" s="89"/>
      <c r="B87" s="90" t="s">
        <v>104</v>
      </c>
      <c r="C87" s="67"/>
      <c r="D87" s="90"/>
      <c r="E87" s="51"/>
      <c r="F87" s="51"/>
      <c r="G87" s="51" t="s">
        <v>105</v>
      </c>
      <c r="H87" s="96">
        <f>E83</f>
        <v>1832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6" s="20" customFormat="1">
      <c r="A88" s="84"/>
      <c r="B88" s="94" t="s">
        <v>106</v>
      </c>
      <c r="C88" s="93"/>
      <c r="D88" s="94"/>
      <c r="E88" s="95"/>
      <c r="F88" s="95"/>
      <c r="G88" s="95"/>
      <c r="H88" s="97">
        <f>SUM(H85/H87/12*1000)</f>
        <v>19.508998249860504</v>
      </c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124"/>
      <c r="V88" s="142"/>
      <c r="W88" s="142"/>
    </row>
    <row r="89" spans="1:26">
      <c r="A89" s="89"/>
      <c r="B89" s="90"/>
      <c r="C89" s="67"/>
      <c r="D89" s="90"/>
      <c r="E89" s="51"/>
      <c r="F89" s="51"/>
      <c r="G89" s="51"/>
      <c r="H89" s="98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25"/>
    </row>
    <row r="90" spans="1:26">
      <c r="A90" s="89"/>
      <c r="B90" s="70" t="s">
        <v>107</v>
      </c>
      <c r="C90" s="67"/>
      <c r="D90" s="90"/>
      <c r="E90" s="51"/>
      <c r="F90" s="51"/>
      <c r="G90" s="51"/>
      <c r="H90" s="5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</row>
    <row r="91" spans="1:26">
      <c r="A91" s="133" t="s">
        <v>215</v>
      </c>
      <c r="B91" s="134" t="s">
        <v>140</v>
      </c>
      <c r="C91" s="131" t="s">
        <v>68</v>
      </c>
      <c r="D91" s="132"/>
      <c r="E91" s="51"/>
      <c r="F91" s="51">
        <v>1</v>
      </c>
      <c r="G91" s="51">
        <v>179.96</v>
      </c>
      <c r="H91" s="51">
        <f t="shared" ref="H91:H98" si="14">G91*F91/1000</f>
        <v>0.17996000000000001</v>
      </c>
      <c r="I91" s="35">
        <f>G91</f>
        <v>179.96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f t="shared" ref="U91:U98" si="15">SUM(I91:T91)</f>
        <v>179.96</v>
      </c>
    </row>
    <row r="92" spans="1:26" ht="12.75" customHeight="1">
      <c r="A92" s="137" t="s">
        <v>216</v>
      </c>
      <c r="B92" s="136" t="s">
        <v>142</v>
      </c>
      <c r="C92" s="131" t="s">
        <v>143</v>
      </c>
      <c r="D92" s="132"/>
      <c r="E92" s="51"/>
      <c r="F92" s="51">
        <v>11</v>
      </c>
      <c r="G92" s="51">
        <v>83.63</v>
      </c>
      <c r="H92" s="51">
        <f t="shared" si="14"/>
        <v>0.91992999999999991</v>
      </c>
      <c r="I92" s="35">
        <v>0</v>
      </c>
      <c r="J92" s="35">
        <v>0</v>
      </c>
      <c r="K92" s="35">
        <f>G92*10</f>
        <v>836.3</v>
      </c>
      <c r="L92" s="35">
        <f>G92</f>
        <v>83.63</v>
      </c>
      <c r="M92" s="35"/>
      <c r="N92" s="35"/>
      <c r="O92" s="35"/>
      <c r="P92" s="35"/>
      <c r="Q92" s="35"/>
      <c r="R92" s="35"/>
      <c r="S92" s="35"/>
      <c r="T92" s="35"/>
      <c r="U92" s="35">
        <f t="shared" si="15"/>
        <v>919.93</v>
      </c>
    </row>
    <row r="93" spans="1:26">
      <c r="A93" s="131" t="s">
        <v>217</v>
      </c>
      <c r="B93" s="136" t="s">
        <v>144</v>
      </c>
      <c r="C93" s="131" t="s">
        <v>68</v>
      </c>
      <c r="D93" s="132"/>
      <c r="E93" s="51"/>
      <c r="F93" s="51">
        <v>1</v>
      </c>
      <c r="G93" s="51">
        <v>1523.56</v>
      </c>
      <c r="H93" s="51">
        <f t="shared" si="14"/>
        <v>1.52356</v>
      </c>
      <c r="I93" s="35">
        <v>0</v>
      </c>
      <c r="J93" s="35">
        <v>0</v>
      </c>
      <c r="K93" s="35">
        <f>G93</f>
        <v>1523.56</v>
      </c>
      <c r="L93" s="35">
        <v>0</v>
      </c>
      <c r="M93" s="35"/>
      <c r="N93" s="35"/>
      <c r="O93" s="35"/>
      <c r="P93" s="35"/>
      <c r="Q93" s="35"/>
      <c r="R93" s="35"/>
      <c r="S93" s="35"/>
      <c r="T93" s="35"/>
      <c r="U93" s="35">
        <f t="shared" si="15"/>
        <v>1523.56</v>
      </c>
    </row>
    <row r="94" spans="1:26">
      <c r="A94" s="89" t="s">
        <v>145</v>
      </c>
      <c r="B94" s="90" t="s">
        <v>146</v>
      </c>
      <c r="C94" s="67" t="s">
        <v>147</v>
      </c>
      <c r="D94" s="90"/>
      <c r="E94" s="51"/>
      <c r="F94" s="51">
        <v>2.5</v>
      </c>
      <c r="G94" s="51">
        <v>1501</v>
      </c>
      <c r="H94" s="141">
        <f t="shared" si="14"/>
        <v>3.7524999999999999</v>
      </c>
      <c r="I94" s="35">
        <v>0</v>
      </c>
      <c r="J94" s="35">
        <v>0</v>
      </c>
      <c r="K94" s="35">
        <f>G94*1.5</f>
        <v>2251.5</v>
      </c>
      <c r="L94" s="35">
        <f>G94</f>
        <v>1501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f t="shared" si="15"/>
        <v>3752.5</v>
      </c>
    </row>
    <row r="95" spans="1:26" ht="25.5">
      <c r="A95" s="138" t="s">
        <v>218</v>
      </c>
      <c r="B95" s="139" t="s">
        <v>149</v>
      </c>
      <c r="C95" s="138" t="s">
        <v>68</v>
      </c>
      <c r="D95" s="90"/>
      <c r="E95" s="51"/>
      <c r="F95" s="51">
        <v>1</v>
      </c>
      <c r="G95" s="51">
        <v>180.15</v>
      </c>
      <c r="H95" s="141">
        <f t="shared" si="14"/>
        <v>0.18015</v>
      </c>
      <c r="I95" s="35">
        <v>0</v>
      </c>
      <c r="J95" s="35">
        <v>0</v>
      </c>
      <c r="K95" s="35">
        <v>0</v>
      </c>
      <c r="L95" s="35">
        <f>G95</f>
        <v>180.15</v>
      </c>
      <c r="M95" s="35"/>
      <c r="N95" s="35"/>
      <c r="O95" s="35"/>
      <c r="P95" s="35"/>
      <c r="Q95" s="35"/>
      <c r="R95" s="35"/>
      <c r="S95" s="35"/>
      <c r="T95" s="35"/>
      <c r="U95" s="35">
        <f t="shared" si="15"/>
        <v>180.15</v>
      </c>
    </row>
    <row r="96" spans="1:26" ht="25.5">
      <c r="A96" s="140" t="s">
        <v>219</v>
      </c>
      <c r="B96" s="139" t="s">
        <v>150</v>
      </c>
      <c r="C96" s="138" t="s">
        <v>68</v>
      </c>
      <c r="D96" s="90"/>
      <c r="E96" s="51"/>
      <c r="F96" s="51">
        <v>1</v>
      </c>
      <c r="G96" s="51">
        <v>79.09</v>
      </c>
      <c r="H96" s="141">
        <f t="shared" si="14"/>
        <v>7.9090000000000008E-2</v>
      </c>
      <c r="I96" s="35">
        <v>0</v>
      </c>
      <c r="J96" s="35">
        <v>0</v>
      </c>
      <c r="K96" s="35">
        <v>0</v>
      </c>
      <c r="L96" s="35">
        <f>G96</f>
        <v>79.09</v>
      </c>
      <c r="M96" s="35"/>
      <c r="N96" s="35"/>
      <c r="O96" s="35"/>
      <c r="P96" s="35"/>
      <c r="Q96" s="35"/>
      <c r="R96" s="35"/>
      <c r="S96" s="35"/>
      <c r="T96" s="35"/>
      <c r="U96" s="35">
        <f t="shared" si="15"/>
        <v>79.09</v>
      </c>
    </row>
    <row r="97" spans="1:23">
      <c r="A97" s="140" t="s">
        <v>158</v>
      </c>
      <c r="B97" s="139" t="s">
        <v>159</v>
      </c>
      <c r="C97" s="138" t="s">
        <v>160</v>
      </c>
      <c r="D97" s="90"/>
      <c r="E97" s="51"/>
      <c r="F97" s="51">
        <v>1</v>
      </c>
      <c r="G97" s="51">
        <v>72541</v>
      </c>
      <c r="H97" s="141">
        <f t="shared" si="14"/>
        <v>72.540999999999997</v>
      </c>
      <c r="I97" s="35">
        <v>0</v>
      </c>
      <c r="J97" s="35">
        <v>0</v>
      </c>
      <c r="K97" s="35">
        <v>0</v>
      </c>
      <c r="L97" s="35">
        <f>G97</f>
        <v>72541</v>
      </c>
      <c r="M97" s="35"/>
      <c r="N97" s="35"/>
      <c r="O97" s="35"/>
      <c r="P97" s="35"/>
      <c r="Q97" s="35"/>
      <c r="R97" s="35"/>
      <c r="S97" s="35"/>
      <c r="T97" s="35"/>
      <c r="U97" s="35">
        <f t="shared" si="15"/>
        <v>72541</v>
      </c>
    </row>
    <row r="98" spans="1:23">
      <c r="A98" s="140" t="s">
        <v>158</v>
      </c>
      <c r="B98" s="139" t="s">
        <v>220</v>
      </c>
      <c r="C98" s="138" t="s">
        <v>160</v>
      </c>
      <c r="D98" s="90"/>
      <c r="E98" s="51"/>
      <c r="F98" s="51">
        <v>1</v>
      </c>
      <c r="G98" s="51">
        <v>285278</v>
      </c>
      <c r="H98" s="141">
        <f t="shared" si="14"/>
        <v>285.27800000000002</v>
      </c>
      <c r="I98" s="35">
        <v>0</v>
      </c>
      <c r="J98" s="35">
        <v>0</v>
      </c>
      <c r="K98" s="35">
        <v>0</v>
      </c>
      <c r="L98" s="35">
        <f>G98</f>
        <v>285278</v>
      </c>
      <c r="M98" s="35"/>
      <c r="N98" s="35"/>
      <c r="O98" s="35"/>
      <c r="P98" s="35"/>
      <c r="Q98" s="35"/>
      <c r="R98" s="35"/>
      <c r="S98" s="35"/>
      <c r="T98" s="35"/>
      <c r="U98" s="35">
        <f t="shared" si="15"/>
        <v>285278</v>
      </c>
    </row>
    <row r="99" spans="1:23" s="20" customFormat="1">
      <c r="A99" s="99"/>
      <c r="B99" s="100" t="s">
        <v>108</v>
      </c>
      <c r="C99" s="99"/>
      <c r="D99" s="99"/>
      <c r="E99" s="95"/>
      <c r="F99" s="95"/>
      <c r="G99" s="95"/>
      <c r="H99" s="43">
        <f>SUM(H91:H98)</f>
        <v>364.45419000000004</v>
      </c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42">
        <f>SUM(U91:U98)</f>
        <v>364454.19</v>
      </c>
      <c r="V99" s="142"/>
      <c r="W99" s="142"/>
    </row>
    <row r="100" spans="1:23">
      <c r="A100" s="101"/>
      <c r="B100" s="102"/>
      <c r="C100" s="101"/>
      <c r="D100" s="101"/>
      <c r="E100" s="51"/>
      <c r="F100" s="51"/>
      <c r="G100" s="51"/>
      <c r="H100" s="103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126"/>
    </row>
    <row r="101" spans="1:23" ht="12" customHeight="1">
      <c r="A101" s="89"/>
      <c r="B101" s="19" t="s">
        <v>109</v>
      </c>
      <c r="C101" s="67"/>
      <c r="D101" s="90"/>
      <c r="E101" s="51"/>
      <c r="F101" s="51"/>
      <c r="G101" s="51"/>
      <c r="H101" s="104">
        <f>H99/E102/12*1000</f>
        <v>16.578156386462883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26"/>
    </row>
    <row r="102" spans="1:23" s="20" customFormat="1">
      <c r="A102" s="105"/>
      <c r="B102" s="106" t="s">
        <v>110</v>
      </c>
      <c r="C102" s="107"/>
      <c r="D102" s="106"/>
      <c r="E102" s="155">
        <v>1832</v>
      </c>
      <c r="F102" s="108">
        <f>SUM(E102*12)</f>
        <v>21984</v>
      </c>
      <c r="G102" s="109">
        <f>H88+H101</f>
        <v>36.08715463632339</v>
      </c>
      <c r="H102" s="110">
        <f>SUM(F102*G102/1000)</f>
        <v>793.34000752493341</v>
      </c>
      <c r="I102" s="95">
        <f t="shared" ref="I102:R102" si="16">SUM(I11:I101)</f>
        <v>38078.436638833336</v>
      </c>
      <c r="J102" s="95">
        <f t="shared" si="16"/>
        <v>30591.91663883334</v>
      </c>
      <c r="K102" s="95">
        <f t="shared" si="16"/>
        <v>34563.034988833344</v>
      </c>
      <c r="L102" s="95">
        <f t="shared" si="16"/>
        <v>396921.10498883331</v>
      </c>
      <c r="M102" s="95">
        <f t="shared" si="16"/>
        <v>0</v>
      </c>
      <c r="N102" s="95">
        <f t="shared" si="16"/>
        <v>0</v>
      </c>
      <c r="O102" s="95">
        <f t="shared" si="16"/>
        <v>0</v>
      </c>
      <c r="P102" s="95">
        <f t="shared" si="16"/>
        <v>0</v>
      </c>
      <c r="Q102" s="95">
        <f t="shared" si="16"/>
        <v>0</v>
      </c>
      <c r="R102" s="95">
        <f t="shared" si="16"/>
        <v>0</v>
      </c>
      <c r="S102" s="95">
        <f>SUM(S11:S101)</f>
        <v>11197.2</v>
      </c>
      <c r="T102" s="95">
        <f>SUM(T11:T101)</f>
        <v>0</v>
      </c>
      <c r="U102" s="42">
        <f>U85+U99</f>
        <v>512910.32176133466</v>
      </c>
      <c r="V102" s="142"/>
      <c r="W102" s="142"/>
    </row>
    <row r="103" spans="1:23">
      <c r="A103" s="112"/>
      <c r="B103" s="112"/>
      <c r="C103" s="112"/>
      <c r="D103" s="112"/>
      <c r="E103" s="111"/>
      <c r="F103" s="111"/>
      <c r="G103" s="111"/>
      <c r="H103" s="111"/>
      <c r="I103" s="111"/>
      <c r="J103" s="111"/>
      <c r="K103" s="111"/>
      <c r="L103" s="111"/>
      <c r="M103" s="112"/>
      <c r="N103" s="111"/>
      <c r="O103" s="112"/>
      <c r="P103" s="112"/>
      <c r="Q103" s="112"/>
      <c r="R103" s="112"/>
      <c r="S103" s="112"/>
      <c r="T103" s="112"/>
      <c r="U103" s="112"/>
    </row>
    <row r="104" spans="1:23">
      <c r="A104" s="112"/>
      <c r="B104" s="112"/>
      <c r="C104" s="112"/>
      <c r="D104" s="112"/>
      <c r="E104" s="111"/>
      <c r="F104" s="111"/>
      <c r="G104" s="111"/>
      <c r="H104" s="111"/>
      <c r="I104" s="111"/>
      <c r="J104" s="113"/>
      <c r="K104" s="114"/>
      <c r="L104" s="113"/>
      <c r="M104" s="111"/>
      <c r="N104" s="112"/>
      <c r="O104" s="112"/>
      <c r="P104" s="112"/>
      <c r="Q104" s="112"/>
      <c r="R104" s="112"/>
      <c r="S104" s="112"/>
      <c r="T104" s="112"/>
      <c r="U104" s="112"/>
    </row>
    <row r="105" spans="1:23" ht="51.75" customHeight="1">
      <c r="A105" s="112"/>
      <c r="B105" s="119" t="s">
        <v>139</v>
      </c>
      <c r="C105" s="156">
        <v>-54096.42</v>
      </c>
      <c r="D105" s="157"/>
      <c r="E105" s="157"/>
      <c r="F105" s="158"/>
      <c r="G105" s="111"/>
      <c r="H105" s="111"/>
      <c r="I105" s="111"/>
      <c r="J105" s="113"/>
      <c r="K105" s="114"/>
      <c r="L105" s="113"/>
      <c r="M105" s="111"/>
      <c r="N105" s="112"/>
      <c r="O105" s="112"/>
      <c r="P105" s="112"/>
      <c r="Q105" s="112"/>
      <c r="R105" s="112"/>
      <c r="S105" s="112"/>
      <c r="T105" s="112"/>
      <c r="U105" s="112"/>
    </row>
    <row r="106" spans="1:23" ht="33.75" customHeight="1">
      <c r="A106" s="112"/>
      <c r="B106" s="119" t="s">
        <v>154</v>
      </c>
      <c r="C106" s="156">
        <f>41366.54*4</f>
        <v>165466.16</v>
      </c>
      <c r="D106" s="157"/>
      <c r="E106" s="157"/>
      <c r="F106" s="158"/>
      <c r="G106" s="111"/>
      <c r="H106" s="111"/>
      <c r="I106" s="111"/>
      <c r="J106" s="113"/>
      <c r="K106" s="114"/>
      <c r="L106" s="113"/>
      <c r="M106" s="111"/>
      <c r="N106" s="112"/>
      <c r="O106" s="112"/>
      <c r="P106" s="112"/>
      <c r="Q106" s="112"/>
      <c r="R106" s="112"/>
      <c r="S106" s="112"/>
      <c r="T106" s="112"/>
      <c r="U106" s="112"/>
    </row>
    <row r="107" spans="1:23" ht="33.75" customHeight="1">
      <c r="A107" s="112"/>
      <c r="B107" s="119" t="s">
        <v>155</v>
      </c>
      <c r="C107" s="156">
        <f>SUM(U102-U99)</f>
        <v>148456.13176133466</v>
      </c>
      <c r="D107" s="157"/>
      <c r="E107" s="157"/>
      <c r="F107" s="158"/>
      <c r="G107" s="111"/>
      <c r="H107" s="111"/>
      <c r="I107" s="111"/>
      <c r="J107" s="113"/>
      <c r="K107" s="114"/>
      <c r="L107" s="113"/>
      <c r="M107" s="111"/>
      <c r="N107" s="112"/>
      <c r="O107" s="112"/>
      <c r="P107" s="112"/>
      <c r="Q107" s="112"/>
      <c r="R107" s="112"/>
      <c r="S107" s="112"/>
      <c r="T107" s="112"/>
      <c r="U107" s="112"/>
    </row>
    <row r="108" spans="1:23" ht="33.75" customHeight="1">
      <c r="A108" s="112"/>
      <c r="B108" s="119" t="s">
        <v>156</v>
      </c>
      <c r="C108" s="156">
        <f>SUM(U99)</f>
        <v>364454.19</v>
      </c>
      <c r="D108" s="157"/>
      <c r="E108" s="157"/>
      <c r="F108" s="158"/>
      <c r="G108" s="111"/>
      <c r="H108" s="111"/>
      <c r="I108" s="111"/>
      <c r="J108" s="113"/>
      <c r="K108" s="114"/>
      <c r="L108" s="113"/>
      <c r="M108" s="111"/>
      <c r="N108" s="112"/>
      <c r="O108" s="112"/>
      <c r="P108" s="112"/>
      <c r="Q108" s="112"/>
      <c r="R108" s="112"/>
      <c r="S108" s="112"/>
      <c r="T108" s="112"/>
      <c r="U108" s="112"/>
    </row>
    <row r="109" spans="1:23" ht="33.75" customHeight="1">
      <c r="A109" s="112"/>
      <c r="B109" s="122" t="s">
        <v>157</v>
      </c>
      <c r="C109" s="156">
        <f>35886.37+45633.53+38787.9+36099.55</f>
        <v>156407.34999999998</v>
      </c>
      <c r="D109" s="157"/>
      <c r="E109" s="157"/>
      <c r="F109" s="158"/>
      <c r="G109" s="112"/>
      <c r="H109" s="115" t="s">
        <v>121</v>
      </c>
      <c r="I109" s="116"/>
      <c r="J109" s="116"/>
      <c r="K109" s="117"/>
      <c r="L109" s="118"/>
      <c r="M109" s="115"/>
      <c r="N109" s="115"/>
      <c r="O109" s="112"/>
      <c r="P109" s="112"/>
      <c r="Q109" s="112"/>
      <c r="R109" s="112"/>
      <c r="S109" s="112"/>
      <c r="T109" s="112"/>
      <c r="U109" s="112"/>
    </row>
    <row r="110" spans="1:23" ht="78.75">
      <c r="A110" s="112"/>
      <c r="B110" s="135" t="s">
        <v>151</v>
      </c>
      <c r="C110" s="162">
        <v>53655.62</v>
      </c>
      <c r="D110" s="163"/>
      <c r="E110" s="163"/>
      <c r="F110" s="164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</row>
    <row r="111" spans="1:23" ht="51.75" customHeight="1">
      <c r="A111" s="112"/>
      <c r="B111" s="119" t="s">
        <v>152</v>
      </c>
      <c r="C111" s="159">
        <f>SUM(U102-C106)+C105</f>
        <v>293347.74176133465</v>
      </c>
      <c r="D111" s="160"/>
      <c r="E111" s="160"/>
      <c r="F111" s="161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</row>
    <row r="113" spans="7:13">
      <c r="J113" s="4"/>
      <c r="K113" s="5"/>
      <c r="L113" s="5"/>
      <c r="M113" s="3"/>
    </row>
    <row r="114" spans="7:13">
      <c r="G114" s="6"/>
      <c r="H114" s="6"/>
    </row>
    <row r="115" spans="7:13">
      <c r="G115" s="7"/>
    </row>
  </sheetData>
  <mergeCells count="12">
    <mergeCell ref="W86:Z86"/>
    <mergeCell ref="B3:L3"/>
    <mergeCell ref="B4:L4"/>
    <mergeCell ref="B5:L5"/>
    <mergeCell ref="B6:L6"/>
    <mergeCell ref="C105:F105"/>
    <mergeCell ref="C111:F111"/>
    <mergeCell ref="C106:F106"/>
    <mergeCell ref="C107:F107"/>
    <mergeCell ref="C108:F108"/>
    <mergeCell ref="C109:F109"/>
    <mergeCell ref="C110:F110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</vt:lpstr>
      <vt:lpstr>'Нефт.,1'!Область_печати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2017-02-28T13:28:28Z</dcterms:modified>
</cp:coreProperties>
</file>