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240" windowWidth="15480" windowHeight="11280" activeTab="11"/>
  </bookViews>
  <sheets>
    <sheet name="01.20" sheetId="8" r:id="rId1"/>
    <sheet name="02.20" sheetId="9" r:id="rId2"/>
    <sheet name="03.20" sheetId="10" r:id="rId3"/>
    <sheet name="04.20" sheetId="11" r:id="rId4"/>
    <sheet name="05.20" sheetId="12" r:id="rId5"/>
    <sheet name="06.20" sheetId="13" r:id="rId6"/>
    <sheet name="07.20" sheetId="14" r:id="rId7"/>
    <sheet name="08.20" sheetId="15" r:id="rId8"/>
    <sheet name="09.20" sheetId="16" r:id="rId9"/>
    <sheet name="10.20" sheetId="17" r:id="rId10"/>
    <sheet name="11.20" sheetId="18" r:id="rId11"/>
    <sheet name="12.20" sheetId="19" r:id="rId12"/>
  </sheets>
  <definedNames>
    <definedName name="_xlnm._FilterDatabase" localSheetId="0" hidden="1">'01.20'!$I$12:$I$64</definedName>
    <definedName name="_xlnm._FilterDatabase" localSheetId="1" hidden="1">'02.20'!$I$12:$I$64</definedName>
    <definedName name="_xlnm._FilterDatabase" localSheetId="2" hidden="1">'03.20'!$I$12:$I$64</definedName>
    <definedName name="_xlnm._FilterDatabase" localSheetId="3" hidden="1">'04.20'!$I$12:$I$64</definedName>
    <definedName name="_xlnm._FilterDatabase" localSheetId="4" hidden="1">'05.20'!$I$12:$I$63</definedName>
    <definedName name="_xlnm._FilterDatabase" localSheetId="5" hidden="1">'06.20'!$I$12:$I$63</definedName>
    <definedName name="_xlnm._FilterDatabase" localSheetId="6" hidden="1">'07.20'!$I$12:$I$63</definedName>
    <definedName name="_xlnm._FilterDatabase" localSheetId="7" hidden="1">'08.20'!$I$12:$I$63</definedName>
    <definedName name="_xlnm._FilterDatabase" localSheetId="8" hidden="1">'09.20'!$I$12:$I$63</definedName>
    <definedName name="_xlnm._FilterDatabase" localSheetId="9" hidden="1">'10.20'!$I$12:$I$63</definedName>
    <definedName name="_xlnm._FilterDatabase" localSheetId="10" hidden="1">'11.20'!$I$12:$I$65</definedName>
    <definedName name="_xlnm._FilterDatabase" localSheetId="11" hidden="1">'12.20'!$I$12:$I$65</definedName>
    <definedName name="_xlnm.Print_Area" localSheetId="0">'01.20'!$A$1:$I$114</definedName>
    <definedName name="_xlnm.Print_Area" localSheetId="1">'02.20'!$A$1:$I$114</definedName>
    <definedName name="_xlnm.Print_Area" localSheetId="2">'03.20'!$A$1:$I$117</definedName>
    <definedName name="_xlnm.Print_Area" localSheetId="3">'04.20'!$A$1:$I$115</definedName>
    <definedName name="_xlnm.Print_Area" localSheetId="4">'05.20'!$A$1:$I$110</definedName>
    <definedName name="_xlnm.Print_Area" localSheetId="5">'06.20'!$A$1:$I$110</definedName>
    <definedName name="_xlnm.Print_Area" localSheetId="6">'07.20'!$A$1:$I$117</definedName>
    <definedName name="_xlnm.Print_Area" localSheetId="7">'08.20'!$A$1:$I$112</definedName>
    <definedName name="_xlnm.Print_Area" localSheetId="8">'09.20'!$A$1:$I$115</definedName>
    <definedName name="_xlnm.Print_Area" localSheetId="9">'10.20'!$A$1:$I$112</definedName>
    <definedName name="_xlnm.Print_Area" localSheetId="10">'11.20'!$A$1:$I$115</definedName>
    <definedName name="_xlnm.Print_Area" localSheetId="11">'12.20'!$A$1:$I$116</definedName>
  </definedNames>
  <calcPr calcId="124519"/>
</workbook>
</file>

<file path=xl/calcChain.xml><?xml version="1.0" encoding="utf-8"?>
<calcChain xmlns="http://schemas.openxmlformats.org/spreadsheetml/2006/main">
  <c r="I91" i="14"/>
  <c r="I87" i="19"/>
  <c r="I93"/>
  <c r="I39"/>
  <c r="I87" i="18"/>
  <c r="I92"/>
  <c r="I44"/>
  <c r="I43"/>
  <c r="I85" i="17"/>
  <c r="I89"/>
  <c r="I88"/>
  <c r="I85" i="16"/>
  <c r="I92"/>
  <c r="I91"/>
  <c r="I90"/>
  <c r="I62"/>
  <c r="I85" i="15" l="1"/>
  <c r="I89"/>
  <c r="I94" i="14" l="1"/>
  <c r="I92" l="1"/>
  <c r="I81" i="10" l="1"/>
  <c r="I86"/>
  <c r="I84" i="14" l="1"/>
  <c r="I90"/>
  <c r="I89"/>
  <c r="I88"/>
  <c r="I87"/>
  <c r="I94" i="10" l="1"/>
  <c r="I93"/>
  <c r="I84" i="12"/>
  <c r="I88" i="11"/>
  <c r="I92"/>
  <c r="I91"/>
  <c r="I92" i="10" l="1"/>
  <c r="I91"/>
  <c r="I59"/>
  <c r="I58"/>
  <c r="I89"/>
  <c r="I43"/>
  <c r="I42"/>
  <c r="I38"/>
  <c r="I93" i="9" l="1"/>
  <c r="I87"/>
  <c r="I58"/>
  <c r="I38"/>
  <c r="I86" i="8"/>
  <c r="I91"/>
  <c r="I90"/>
  <c r="F54" l="1"/>
  <c r="H54" s="1"/>
  <c r="I54"/>
  <c r="F55"/>
  <c r="H55" s="1"/>
  <c r="I55"/>
  <c r="I38"/>
  <c r="I44" i="19"/>
  <c r="H44"/>
  <c r="E43"/>
  <c r="F43" s="1"/>
  <c r="H43" s="1"/>
  <c r="E42"/>
  <c r="F42" s="1"/>
  <c r="H42" s="1"/>
  <c r="F41"/>
  <c r="H41" s="1"/>
  <c r="F40"/>
  <c r="I4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0" i="18"/>
  <c r="I39"/>
  <c r="F27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33" i="17"/>
  <c r="H33" s="1"/>
  <c r="F32"/>
  <c r="I32" s="1"/>
  <c r="F31"/>
  <c r="H31" s="1"/>
  <c r="F30"/>
  <c r="I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33" i="16"/>
  <c r="H33" s="1"/>
  <c r="F32"/>
  <c r="I32" s="1"/>
  <c r="F31"/>
  <c r="H31" s="1"/>
  <c r="F30"/>
  <c r="I30" s="1"/>
  <c r="F27"/>
  <c r="H27" s="1"/>
  <c r="E18"/>
  <c r="F18" s="1"/>
  <c r="F17"/>
  <c r="I17" s="1"/>
  <c r="F16"/>
  <c r="I16" s="1"/>
  <c r="F33" i="15"/>
  <c r="H33" s="1"/>
  <c r="F32"/>
  <c r="I32" s="1"/>
  <c r="F31"/>
  <c r="H31" s="1"/>
  <c r="F30"/>
  <c r="I30" s="1"/>
  <c r="F27"/>
  <c r="H27" s="1"/>
  <c r="F26"/>
  <c r="I26" s="1"/>
  <c r="I25"/>
  <c r="H25"/>
  <c r="I24"/>
  <c r="H24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22" i="19" l="1"/>
  <c r="H17"/>
  <c r="H20"/>
  <c r="H26"/>
  <c r="H40"/>
  <c r="I41"/>
  <c r="I42"/>
  <c r="I43"/>
  <c r="I18"/>
  <c r="H18"/>
  <c r="I16"/>
  <c r="I19"/>
  <c r="I21"/>
  <c r="I23"/>
  <c r="I27"/>
  <c r="I18" i="18"/>
  <c r="H18"/>
  <c r="I16"/>
  <c r="I19"/>
  <c r="I21"/>
  <c r="I23"/>
  <c r="I27"/>
  <c r="H30" i="17"/>
  <c r="I31"/>
  <c r="H32"/>
  <c r="I33"/>
  <c r="I18"/>
  <c r="H18"/>
  <c r="I16"/>
  <c r="H17"/>
  <c r="I19"/>
  <c r="H20"/>
  <c r="I21"/>
  <c r="H22"/>
  <c r="I23"/>
  <c r="H26"/>
  <c r="I27"/>
  <c r="H30" i="16"/>
  <c r="I31"/>
  <c r="H32"/>
  <c r="I33"/>
  <c r="H17"/>
  <c r="I27"/>
  <c r="H18"/>
  <c r="I18"/>
  <c r="H16"/>
  <c r="H19" i="15"/>
  <c r="H23"/>
  <c r="H30"/>
  <c r="H16"/>
  <c r="H21"/>
  <c r="H32"/>
  <c r="I31"/>
  <c r="I33"/>
  <c r="H17"/>
  <c r="H18"/>
  <c r="H20"/>
  <c r="H22"/>
  <c r="H26"/>
  <c r="I27"/>
  <c r="F27" i="14" l="1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13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E18"/>
  <c r="F18" s="1"/>
  <c r="F17"/>
  <c r="I17" s="1"/>
  <c r="F16"/>
  <c r="H16" s="1"/>
  <c r="F27" i="12"/>
  <c r="H27" s="1"/>
  <c r="E18"/>
  <c r="F18" s="1"/>
  <c r="H18" s="1"/>
  <c r="F17"/>
  <c r="I17" s="1"/>
  <c r="F16"/>
  <c r="H16" s="1"/>
  <c r="F27" i="11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H27" i="10"/>
  <c r="F27"/>
  <c r="I27" s="1"/>
  <c r="F26"/>
  <c r="H26" s="1"/>
  <c r="I25"/>
  <c r="H25"/>
  <c r="I24"/>
  <c r="H24"/>
  <c r="H23"/>
  <c r="F23"/>
  <c r="I23" s="1"/>
  <c r="F22"/>
  <c r="H22" s="1"/>
  <c r="H21"/>
  <c r="F21"/>
  <c r="I21" s="1"/>
  <c r="F20"/>
  <c r="H20" s="1"/>
  <c r="H19"/>
  <c r="F19"/>
  <c r="I19" s="1"/>
  <c r="F18"/>
  <c r="H18" s="1"/>
  <c r="E18"/>
  <c r="F17"/>
  <c r="H17" s="1"/>
  <c r="H16"/>
  <c r="F16"/>
  <c r="I16" s="1"/>
  <c r="F27" i="9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8"/>
  <c r="H19" i="13" l="1"/>
  <c r="I19"/>
  <c r="H17" i="9"/>
  <c r="H20" i="14"/>
  <c r="H22"/>
  <c r="I18"/>
  <c r="H18"/>
  <c r="I16"/>
  <c r="H17"/>
  <c r="I19"/>
  <c r="I21"/>
  <c r="I23"/>
  <c r="H26"/>
  <c r="I27"/>
  <c r="I18" i="13"/>
  <c r="H18"/>
  <c r="I16"/>
  <c r="H17"/>
  <c r="H20"/>
  <c r="I21"/>
  <c r="H22"/>
  <c r="I23"/>
  <c r="H26"/>
  <c r="I27"/>
  <c r="H17" i="12"/>
  <c r="I27"/>
  <c r="I16"/>
  <c r="I18"/>
  <c r="I18" i="11"/>
  <c r="H18"/>
  <c r="I16"/>
  <c r="I19"/>
  <c r="I21"/>
  <c r="I23"/>
  <c r="I27"/>
  <c r="I17" i="10"/>
  <c r="I18"/>
  <c r="I20"/>
  <c r="I22"/>
  <c r="I26"/>
  <c r="I18" i="9"/>
  <c r="H18"/>
  <c r="I16"/>
  <c r="I19"/>
  <c r="H20"/>
  <c r="I21"/>
  <c r="H22"/>
  <c r="I23"/>
  <c r="H26"/>
  <c r="I27"/>
  <c r="I62" i="12" l="1"/>
  <c r="I90" i="9" l="1"/>
  <c r="I89" i="8" l="1"/>
  <c r="I90" i="19"/>
  <c r="I89"/>
  <c r="H89"/>
  <c r="I89" i="18" l="1"/>
  <c r="H89"/>
  <c r="I87" i="17" l="1"/>
  <c r="H87"/>
  <c r="I78"/>
  <c r="I87" i="16"/>
  <c r="H87"/>
  <c r="I87" i="15"/>
  <c r="H87"/>
  <c r="I86" i="14" l="1"/>
  <c r="H86"/>
  <c r="I86" i="13"/>
  <c r="I87" s="1"/>
  <c r="H86"/>
  <c r="I87" i="11"/>
  <c r="I85" i="10"/>
  <c r="I86" i="12" l="1"/>
  <c r="I87" s="1"/>
  <c r="H86"/>
  <c r="I59" i="11"/>
  <c r="I53"/>
  <c r="I58" l="1"/>
  <c r="I90"/>
  <c r="I83"/>
  <c r="I43"/>
  <c r="I88" i="10"/>
  <c r="H88"/>
  <c r="I43" i="9" l="1"/>
  <c r="I43" i="8"/>
  <c r="I89" i="9" l="1"/>
  <c r="I91" s="1"/>
  <c r="H89"/>
  <c r="H89" i="8"/>
  <c r="I88"/>
  <c r="H88"/>
  <c r="I60" i="19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85" i="18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H44"/>
  <c r="E43"/>
  <c r="F43" s="1"/>
  <c r="E42"/>
  <c r="F42" s="1"/>
  <c r="F41"/>
  <c r="I41" s="1"/>
  <c r="F40"/>
  <c r="H40" s="1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I52" i="19" l="1"/>
  <c r="H52"/>
  <c r="I70"/>
  <c r="H70"/>
  <c r="I67"/>
  <c r="H67"/>
  <c r="H28"/>
  <c r="I31"/>
  <c r="H32"/>
  <c r="I33"/>
  <c r="H34"/>
  <c r="I46"/>
  <c r="H47"/>
  <c r="I48"/>
  <c r="H49"/>
  <c r="I50"/>
  <c r="H51"/>
  <c r="I53"/>
  <c r="H59"/>
  <c r="H66"/>
  <c r="I68"/>
  <c r="H69"/>
  <c r="I71"/>
  <c r="H72"/>
  <c r="I84"/>
  <c r="H85"/>
  <c r="H28" i="18"/>
  <c r="H85"/>
  <c r="H72"/>
  <c r="H32"/>
  <c r="H34"/>
  <c r="H43"/>
  <c r="I67"/>
  <c r="H67"/>
  <c r="I42"/>
  <c r="H42"/>
  <c r="I52"/>
  <c r="H52"/>
  <c r="I70"/>
  <c r="H70"/>
  <c r="I40"/>
  <c r="H41"/>
  <c r="I46"/>
  <c r="H47"/>
  <c r="I48"/>
  <c r="H49"/>
  <c r="I50"/>
  <c r="H51"/>
  <c r="I53"/>
  <c r="H59"/>
  <c r="H66"/>
  <c r="I68"/>
  <c r="H69"/>
  <c r="I71"/>
  <c r="I84"/>
  <c r="I31"/>
  <c r="I33"/>
  <c r="I95" i="19" l="1"/>
  <c r="I94" i="18"/>
  <c r="F83" i="17" l="1"/>
  <c r="I83" s="1"/>
  <c r="F82"/>
  <c r="H82" s="1"/>
  <c r="I80"/>
  <c r="H80"/>
  <c r="H78"/>
  <c r="I76"/>
  <c r="F76"/>
  <c r="H76" s="1"/>
  <c r="H75"/>
  <c r="F74"/>
  <c r="H74" s="1"/>
  <c r="H73"/>
  <c r="F72"/>
  <c r="H72" s="1"/>
  <c r="F70"/>
  <c r="I70" s="1"/>
  <c r="F69"/>
  <c r="H69" s="1"/>
  <c r="E68"/>
  <c r="F68" s="1"/>
  <c r="F67"/>
  <c r="I67" s="1"/>
  <c r="F66"/>
  <c r="H66" s="1"/>
  <c r="E65"/>
  <c r="F65" s="1"/>
  <c r="F64"/>
  <c r="I64" s="1"/>
  <c r="H63"/>
  <c r="F62"/>
  <c r="H62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E41"/>
  <c r="F41" s="1"/>
  <c r="E40"/>
  <c r="F40" s="1"/>
  <c r="F39"/>
  <c r="I39" s="1"/>
  <c r="F38"/>
  <c r="H38" s="1"/>
  <c r="I37"/>
  <c r="H37"/>
  <c r="H35"/>
  <c r="H34"/>
  <c r="F83" i="16"/>
  <c r="I83" s="1"/>
  <c r="F82"/>
  <c r="H82" s="1"/>
  <c r="I80"/>
  <c r="H80"/>
  <c r="H78"/>
  <c r="I76"/>
  <c r="F76"/>
  <c r="H76" s="1"/>
  <c r="H75"/>
  <c r="F74"/>
  <c r="H74" s="1"/>
  <c r="H73"/>
  <c r="F72"/>
  <c r="H72" s="1"/>
  <c r="F70"/>
  <c r="I70" s="1"/>
  <c r="F69"/>
  <c r="H69" s="1"/>
  <c r="E68"/>
  <c r="F68" s="1"/>
  <c r="F67"/>
  <c r="H67" s="1"/>
  <c r="F66"/>
  <c r="I66" s="1"/>
  <c r="E65"/>
  <c r="F65" s="1"/>
  <c r="H65" s="1"/>
  <c r="F64"/>
  <c r="H64" s="1"/>
  <c r="H63"/>
  <c r="F62"/>
  <c r="H62" s="1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E41"/>
  <c r="F41" s="1"/>
  <c r="E40"/>
  <c r="F40" s="1"/>
  <c r="F39"/>
  <c r="H39" s="1"/>
  <c r="F38"/>
  <c r="I38" s="1"/>
  <c r="I37"/>
  <c r="H37"/>
  <c r="H35"/>
  <c r="H34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F83" i="15"/>
  <c r="I83" s="1"/>
  <c r="F82"/>
  <c r="I82" s="1"/>
  <c r="I80"/>
  <c r="H80"/>
  <c r="H78"/>
  <c r="I76"/>
  <c r="F76"/>
  <c r="H76" s="1"/>
  <c r="H75"/>
  <c r="F74"/>
  <c r="H74" s="1"/>
  <c r="H73"/>
  <c r="F72"/>
  <c r="H72" s="1"/>
  <c r="F70"/>
  <c r="H70" s="1"/>
  <c r="F69"/>
  <c r="H69" s="1"/>
  <c r="E68"/>
  <c r="F68" s="1"/>
  <c r="F67"/>
  <c r="I67" s="1"/>
  <c r="F66"/>
  <c r="H66" s="1"/>
  <c r="E65"/>
  <c r="F65" s="1"/>
  <c r="F64"/>
  <c r="I64" s="1"/>
  <c r="H63"/>
  <c r="F62"/>
  <c r="H62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E41"/>
  <c r="F41" s="1"/>
  <c r="E40"/>
  <c r="F40" s="1"/>
  <c r="F39"/>
  <c r="I39" s="1"/>
  <c r="F38"/>
  <c r="H38" s="1"/>
  <c r="I37"/>
  <c r="H37"/>
  <c r="H35"/>
  <c r="H34"/>
  <c r="F83" i="14"/>
  <c r="I83" s="1"/>
  <c r="F82"/>
  <c r="I82" s="1"/>
  <c r="I80"/>
  <c r="H80"/>
  <c r="H78"/>
  <c r="I76"/>
  <c r="F76"/>
  <c r="H76" s="1"/>
  <c r="H75"/>
  <c r="F74"/>
  <c r="H74" s="1"/>
  <c r="H73"/>
  <c r="F72"/>
  <c r="H72" s="1"/>
  <c r="F70"/>
  <c r="H70" s="1"/>
  <c r="F69"/>
  <c r="H69" s="1"/>
  <c r="E68"/>
  <c r="F68" s="1"/>
  <c r="F67"/>
  <c r="I67" s="1"/>
  <c r="F66"/>
  <c r="H66" s="1"/>
  <c r="E65"/>
  <c r="F65" s="1"/>
  <c r="F64"/>
  <c r="I64" s="1"/>
  <c r="H63"/>
  <c r="F62"/>
  <c r="H62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E50"/>
  <c r="F50" s="1"/>
  <c r="F49"/>
  <c r="I49" s="1"/>
  <c r="F48"/>
  <c r="H48" s="1"/>
  <c r="F47"/>
  <c r="I47" s="1"/>
  <c r="F46"/>
  <c r="H46" s="1"/>
  <c r="F45"/>
  <c r="I45" s="1"/>
  <c r="F44"/>
  <c r="H44" s="1"/>
  <c r="I42"/>
  <c r="H42"/>
  <c r="E41"/>
  <c r="F41" s="1"/>
  <c r="E40"/>
  <c r="F40" s="1"/>
  <c r="F39"/>
  <c r="I39" s="1"/>
  <c r="F38"/>
  <c r="I38" s="1"/>
  <c r="I37"/>
  <c r="H37"/>
  <c r="H35"/>
  <c r="H34"/>
  <c r="F33"/>
  <c r="I33" s="1"/>
  <c r="F32"/>
  <c r="H32" s="1"/>
  <c r="F31"/>
  <c r="I31" s="1"/>
  <c r="F30"/>
  <c r="H30" s="1"/>
  <c r="H83" i="17" l="1"/>
  <c r="H83" i="15"/>
  <c r="H83" i="14"/>
  <c r="H38"/>
  <c r="I41" i="17"/>
  <c r="H41"/>
  <c r="I65"/>
  <c r="H65"/>
  <c r="I40"/>
  <c r="H40"/>
  <c r="I50"/>
  <c r="H50"/>
  <c r="I68"/>
  <c r="H68"/>
  <c r="I38"/>
  <c r="H39"/>
  <c r="I44"/>
  <c r="H45"/>
  <c r="I46"/>
  <c r="H47"/>
  <c r="I48"/>
  <c r="H49"/>
  <c r="I51"/>
  <c r="H57"/>
  <c r="H64"/>
  <c r="I66"/>
  <c r="H67"/>
  <c r="I69"/>
  <c r="H70"/>
  <c r="I82"/>
  <c r="I69" i="16"/>
  <c r="H41"/>
  <c r="I41"/>
  <c r="H40"/>
  <c r="I40"/>
  <c r="H50"/>
  <c r="I50"/>
  <c r="H68"/>
  <c r="I68"/>
  <c r="H19"/>
  <c r="I20"/>
  <c r="H21"/>
  <c r="I22"/>
  <c r="H23"/>
  <c r="I26"/>
  <c r="H38"/>
  <c r="I39"/>
  <c r="H44"/>
  <c r="I45"/>
  <c r="H46"/>
  <c r="I47"/>
  <c r="H48"/>
  <c r="I49"/>
  <c r="H51"/>
  <c r="I57"/>
  <c r="I64"/>
  <c r="I65"/>
  <c r="H66"/>
  <c r="I67"/>
  <c r="H70"/>
  <c r="I82"/>
  <c r="H83"/>
  <c r="I40" i="15"/>
  <c r="H40"/>
  <c r="I50"/>
  <c r="H50"/>
  <c r="I68"/>
  <c r="H68"/>
  <c r="I41"/>
  <c r="H41"/>
  <c r="I65"/>
  <c r="H65"/>
  <c r="I38"/>
  <c r="H39"/>
  <c r="I44"/>
  <c r="H45"/>
  <c r="I46"/>
  <c r="H47"/>
  <c r="I48"/>
  <c r="H49"/>
  <c r="I51"/>
  <c r="H57"/>
  <c r="H64"/>
  <c r="I66"/>
  <c r="H67"/>
  <c r="I70"/>
  <c r="H82"/>
  <c r="I41" i="14"/>
  <c r="H41"/>
  <c r="I68"/>
  <c r="H68"/>
  <c r="I40"/>
  <c r="H40"/>
  <c r="I50"/>
  <c r="H50"/>
  <c r="I65"/>
  <c r="H65"/>
  <c r="I30"/>
  <c r="H31"/>
  <c r="I32"/>
  <c r="H33"/>
  <c r="H39"/>
  <c r="I44"/>
  <c r="H45"/>
  <c r="I46"/>
  <c r="H47"/>
  <c r="I48"/>
  <c r="H49"/>
  <c r="I51"/>
  <c r="H57"/>
  <c r="H64"/>
  <c r="I66"/>
  <c r="H67"/>
  <c r="I70"/>
  <c r="H82"/>
  <c r="I96" l="1"/>
  <c r="I91" i="17"/>
  <c r="I94" i="16"/>
  <c r="I91" i="15"/>
  <c r="F83" i="13" l="1"/>
  <c r="I83" s="1"/>
  <c r="F82"/>
  <c r="H82" s="1"/>
  <c r="I80"/>
  <c r="H80"/>
  <c r="H78"/>
  <c r="I76"/>
  <c r="F76"/>
  <c r="H76" s="1"/>
  <c r="H75"/>
  <c r="F74"/>
  <c r="H74" s="1"/>
  <c r="H73"/>
  <c r="F72"/>
  <c r="H72" s="1"/>
  <c r="F70"/>
  <c r="I70" s="1"/>
  <c r="F69"/>
  <c r="H69" s="1"/>
  <c r="E68"/>
  <c r="F68" s="1"/>
  <c r="F67"/>
  <c r="H67" s="1"/>
  <c r="F66"/>
  <c r="I66" s="1"/>
  <c r="E65"/>
  <c r="F65" s="1"/>
  <c r="H65" s="1"/>
  <c r="F64"/>
  <c r="H64" s="1"/>
  <c r="H63"/>
  <c r="F62"/>
  <c r="H62" s="1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E50"/>
  <c r="F50" s="1"/>
  <c r="F49"/>
  <c r="H49" s="1"/>
  <c r="F48"/>
  <c r="I48" s="1"/>
  <c r="F47"/>
  <c r="H47" s="1"/>
  <c r="F46"/>
  <c r="I46" s="1"/>
  <c r="F45"/>
  <c r="H45" s="1"/>
  <c r="F44"/>
  <c r="I44" s="1"/>
  <c r="I42"/>
  <c r="H42"/>
  <c r="E41"/>
  <c r="F41" s="1"/>
  <c r="E40"/>
  <c r="F40" s="1"/>
  <c r="F39"/>
  <c r="H39" s="1"/>
  <c r="F38"/>
  <c r="I38" s="1"/>
  <c r="I37"/>
  <c r="H37"/>
  <c r="H35"/>
  <c r="H34"/>
  <c r="F33"/>
  <c r="H33" s="1"/>
  <c r="F32"/>
  <c r="I32" s="1"/>
  <c r="F31"/>
  <c r="H31" s="1"/>
  <c r="F30"/>
  <c r="I30" s="1"/>
  <c r="I52" i="12"/>
  <c r="F83"/>
  <c r="I83" s="1"/>
  <c r="F82"/>
  <c r="H82" s="1"/>
  <c r="I80"/>
  <c r="H80"/>
  <c r="H78"/>
  <c r="I76"/>
  <c r="F76"/>
  <c r="H76" s="1"/>
  <c r="H75"/>
  <c r="F74"/>
  <c r="H74" s="1"/>
  <c r="H73"/>
  <c r="F72"/>
  <c r="H72" s="1"/>
  <c r="F70"/>
  <c r="I70" s="1"/>
  <c r="F69"/>
  <c r="H69" s="1"/>
  <c r="E68"/>
  <c r="F68" s="1"/>
  <c r="H68" s="1"/>
  <c r="F67"/>
  <c r="H67" s="1"/>
  <c r="F66"/>
  <c r="H66" s="1"/>
  <c r="E65"/>
  <c r="F65" s="1"/>
  <c r="H65" s="1"/>
  <c r="F64"/>
  <c r="H64" s="1"/>
  <c r="H63"/>
  <c r="F62"/>
  <c r="H62" s="1"/>
  <c r="F60"/>
  <c r="H60" s="1"/>
  <c r="I58"/>
  <c r="H58"/>
  <c r="F57"/>
  <c r="I57" s="1"/>
  <c r="I54"/>
  <c r="F54"/>
  <c r="H54" s="1"/>
  <c r="I53"/>
  <c r="F53"/>
  <c r="H53" s="1"/>
  <c r="H52"/>
  <c r="F51"/>
  <c r="H51" s="1"/>
  <c r="E50"/>
  <c r="F50" s="1"/>
  <c r="H50" s="1"/>
  <c r="F49"/>
  <c r="H49" s="1"/>
  <c r="F48"/>
  <c r="H48" s="1"/>
  <c r="F47"/>
  <c r="H47" s="1"/>
  <c r="F46"/>
  <c r="H46" s="1"/>
  <c r="F45"/>
  <c r="H45" s="1"/>
  <c r="F44"/>
  <c r="H44" s="1"/>
  <c r="I42"/>
  <c r="H42"/>
  <c r="E41"/>
  <c r="F41" s="1"/>
  <c r="E40"/>
  <c r="F40" s="1"/>
  <c r="F39"/>
  <c r="I39" s="1"/>
  <c r="F38"/>
  <c r="H38" s="1"/>
  <c r="I37"/>
  <c r="H37"/>
  <c r="H35"/>
  <c r="H34"/>
  <c r="F33"/>
  <c r="I33" s="1"/>
  <c r="F32"/>
  <c r="H32" s="1"/>
  <c r="F31"/>
  <c r="I31" s="1"/>
  <c r="F30"/>
  <c r="H30" s="1"/>
  <c r="F26"/>
  <c r="I26" s="1"/>
  <c r="I25"/>
  <c r="H25"/>
  <c r="I24"/>
  <c r="H24"/>
  <c r="F23"/>
  <c r="H23" s="1"/>
  <c r="F22"/>
  <c r="I22" s="1"/>
  <c r="F21"/>
  <c r="H21" s="1"/>
  <c r="F20"/>
  <c r="I20" s="1"/>
  <c r="F19"/>
  <c r="H90" i="11"/>
  <c r="F86"/>
  <c r="I86" s="1"/>
  <c r="F85"/>
  <c r="H85" s="1"/>
  <c r="I81"/>
  <c r="H81"/>
  <c r="H79"/>
  <c r="I77"/>
  <c r="F77"/>
  <c r="H77" s="1"/>
  <c r="H76"/>
  <c r="F75"/>
  <c r="H75" s="1"/>
  <c r="H74"/>
  <c r="F73"/>
  <c r="H73" s="1"/>
  <c r="F71"/>
  <c r="I71" s="1"/>
  <c r="F70"/>
  <c r="H70" s="1"/>
  <c r="F69"/>
  <c r="H69" s="1"/>
  <c r="E69"/>
  <c r="H68"/>
  <c r="F68"/>
  <c r="H67"/>
  <c r="F67"/>
  <c r="E66"/>
  <c r="F66" s="1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E51"/>
  <c r="F51" s="1"/>
  <c r="F50"/>
  <c r="I50" s="1"/>
  <c r="F49"/>
  <c r="H49" s="1"/>
  <c r="F48"/>
  <c r="H48" s="1"/>
  <c r="F47"/>
  <c r="H47" s="1"/>
  <c r="F46"/>
  <c r="H46" s="1"/>
  <c r="F45"/>
  <c r="H45" s="1"/>
  <c r="H43"/>
  <c r="E42"/>
  <c r="F42" s="1"/>
  <c r="I42" s="1"/>
  <c r="E41"/>
  <c r="F41" s="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84" i="10"/>
  <c r="I84" s="1"/>
  <c r="F83"/>
  <c r="H83" s="1"/>
  <c r="H81"/>
  <c r="H79"/>
  <c r="I77"/>
  <c r="F77"/>
  <c r="H77" s="1"/>
  <c r="H76"/>
  <c r="F75"/>
  <c r="H75" s="1"/>
  <c r="H74"/>
  <c r="F73"/>
  <c r="H73" s="1"/>
  <c r="F71"/>
  <c r="I71" s="1"/>
  <c r="F70"/>
  <c r="H70" s="1"/>
  <c r="E69"/>
  <c r="F69" s="1"/>
  <c r="H69" s="1"/>
  <c r="F68"/>
  <c r="H68" s="1"/>
  <c r="F67"/>
  <c r="H67" s="1"/>
  <c r="E66"/>
  <c r="F66" s="1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H52" s="1"/>
  <c r="E51"/>
  <c r="F51" s="1"/>
  <c r="H51" s="1"/>
  <c r="F50"/>
  <c r="I50" s="1"/>
  <c r="F49"/>
  <c r="H49" s="1"/>
  <c r="F48"/>
  <c r="H48" s="1"/>
  <c r="F47"/>
  <c r="H47" s="1"/>
  <c r="F46"/>
  <c r="H46" s="1"/>
  <c r="F45"/>
  <c r="H45" s="1"/>
  <c r="H43"/>
  <c r="E42"/>
  <c r="F42" s="1"/>
  <c r="E41"/>
  <c r="F41" s="1"/>
  <c r="F40"/>
  <c r="H40" s="1"/>
  <c r="F39"/>
  <c r="I39" s="1"/>
  <c r="H38"/>
  <c r="H36"/>
  <c r="H35"/>
  <c r="H34"/>
  <c r="F34"/>
  <c r="I34" s="1"/>
  <c r="E34"/>
  <c r="F33"/>
  <c r="H33" s="1"/>
  <c r="F32"/>
  <c r="I32" s="1"/>
  <c r="F31"/>
  <c r="H31" s="1"/>
  <c r="F30"/>
  <c r="I30" s="1"/>
  <c r="I82" i="9"/>
  <c r="F85"/>
  <c r="I85" s="1"/>
  <c r="F84"/>
  <c r="H84" s="1"/>
  <c r="H82"/>
  <c r="H80"/>
  <c r="I78"/>
  <c r="F78"/>
  <c r="H78" s="1"/>
  <c r="H77"/>
  <c r="F76"/>
  <c r="H76" s="1"/>
  <c r="H75"/>
  <c r="F74"/>
  <c r="H74" s="1"/>
  <c r="F72"/>
  <c r="H72" s="1"/>
  <c r="F70"/>
  <c r="H70" s="1"/>
  <c r="E69"/>
  <c r="F69" s="1"/>
  <c r="H69" s="1"/>
  <c r="F68"/>
  <c r="H68" s="1"/>
  <c r="F67"/>
  <c r="H67" s="1"/>
  <c r="E66"/>
  <c r="F66" s="1"/>
  <c r="H66" s="1"/>
  <c r="F65"/>
  <c r="H65" s="1"/>
  <c r="H64"/>
  <c r="F63"/>
  <c r="H63" s="1"/>
  <c r="F61"/>
  <c r="H61" s="1"/>
  <c r="H59"/>
  <c r="F58"/>
  <c r="I55"/>
  <c r="F55"/>
  <c r="H55" s="1"/>
  <c r="I54"/>
  <c r="F54"/>
  <c r="H54" s="1"/>
  <c r="H53"/>
  <c r="F52"/>
  <c r="H52" s="1"/>
  <c r="E51"/>
  <c r="F51" s="1"/>
  <c r="H51" s="1"/>
  <c r="F50"/>
  <c r="H50" s="1"/>
  <c r="F49"/>
  <c r="H49" s="1"/>
  <c r="F48"/>
  <c r="H48" s="1"/>
  <c r="F47"/>
  <c r="H47" s="1"/>
  <c r="F46"/>
  <c r="H46" s="1"/>
  <c r="F45"/>
  <c r="H45" s="1"/>
  <c r="H43"/>
  <c r="E42"/>
  <c r="F42" s="1"/>
  <c r="I42" s="1"/>
  <c r="E41"/>
  <c r="F41" s="1"/>
  <c r="F40"/>
  <c r="I40" s="1"/>
  <c r="F39"/>
  <c r="H39" s="1"/>
  <c r="H38"/>
  <c r="H36"/>
  <c r="H35"/>
  <c r="H34"/>
  <c r="F34"/>
  <c r="I34" s="1"/>
  <c r="E34"/>
  <c r="F33"/>
  <c r="I33" s="1"/>
  <c r="F32"/>
  <c r="H32" s="1"/>
  <c r="F31"/>
  <c r="I31" s="1"/>
  <c r="F30"/>
  <c r="H30" s="1"/>
  <c r="F84" i="8"/>
  <c r="H84" s="1"/>
  <c r="F83"/>
  <c r="H83" s="1"/>
  <c r="H81"/>
  <c r="H79"/>
  <c r="I77"/>
  <c r="F77"/>
  <c r="H77" s="1"/>
  <c r="H76"/>
  <c r="F75"/>
  <c r="H75" s="1"/>
  <c r="H74"/>
  <c r="F73"/>
  <c r="H73" s="1"/>
  <c r="F71"/>
  <c r="H71" s="1"/>
  <c r="F70"/>
  <c r="H70" s="1"/>
  <c r="E69"/>
  <c r="F69" s="1"/>
  <c r="H69" s="1"/>
  <c r="F68"/>
  <c r="H68" s="1"/>
  <c r="F67"/>
  <c r="H67" s="1"/>
  <c r="E66"/>
  <c r="F66" s="1"/>
  <c r="H66" s="1"/>
  <c r="F65"/>
  <c r="H65" s="1"/>
  <c r="H64"/>
  <c r="F63"/>
  <c r="H63" s="1"/>
  <c r="H19" i="12" l="1"/>
  <c r="I19"/>
  <c r="I71" i="8"/>
  <c r="H51" i="11"/>
  <c r="I51"/>
  <c r="H52"/>
  <c r="I52"/>
  <c r="H41" i="13"/>
  <c r="I41"/>
  <c r="H40"/>
  <c r="I40"/>
  <c r="H50"/>
  <c r="I50"/>
  <c r="H68"/>
  <c r="I68"/>
  <c r="H30"/>
  <c r="I31"/>
  <c r="H32"/>
  <c r="I33"/>
  <c r="H38"/>
  <c r="I39"/>
  <c r="H44"/>
  <c r="I45"/>
  <c r="H46"/>
  <c r="I47"/>
  <c r="H48"/>
  <c r="I49"/>
  <c r="H51"/>
  <c r="I57"/>
  <c r="I64"/>
  <c r="I65"/>
  <c r="H66"/>
  <c r="I67"/>
  <c r="H70"/>
  <c r="I82"/>
  <c r="I84" s="1"/>
  <c r="H83"/>
  <c r="I48" i="12"/>
  <c r="I46"/>
  <c r="I44"/>
  <c r="I64"/>
  <c r="I67"/>
  <c r="I65"/>
  <c r="I47"/>
  <c r="I45"/>
  <c r="I50"/>
  <c r="I51"/>
  <c r="I68"/>
  <c r="I66"/>
  <c r="I41"/>
  <c r="H41"/>
  <c r="I40"/>
  <c r="H40"/>
  <c r="H20"/>
  <c r="I21"/>
  <c r="H22"/>
  <c r="I23"/>
  <c r="H26"/>
  <c r="I30"/>
  <c r="H31"/>
  <c r="I32"/>
  <c r="H33"/>
  <c r="I38"/>
  <c r="H39"/>
  <c r="I49"/>
  <c r="H57"/>
  <c r="H70"/>
  <c r="I82"/>
  <c r="H83"/>
  <c r="H41" i="11"/>
  <c r="I41"/>
  <c r="H42"/>
  <c r="H30"/>
  <c r="I31"/>
  <c r="H32"/>
  <c r="I33"/>
  <c r="H39"/>
  <c r="I40"/>
  <c r="H50"/>
  <c r="H71"/>
  <c r="I85"/>
  <c r="H86"/>
  <c r="H42" i="10"/>
  <c r="H41"/>
  <c r="I41"/>
  <c r="H30"/>
  <c r="I31"/>
  <c r="H32"/>
  <c r="I33"/>
  <c r="H39"/>
  <c r="I40"/>
  <c r="H50"/>
  <c r="H71"/>
  <c r="I83"/>
  <c r="H84"/>
  <c r="H42" i="9"/>
  <c r="I41"/>
  <c r="H41"/>
  <c r="I30"/>
  <c r="H31"/>
  <c r="I32"/>
  <c r="H33"/>
  <c r="I39"/>
  <c r="H40"/>
  <c r="I50"/>
  <c r="H58"/>
  <c r="I72"/>
  <c r="I84"/>
  <c r="H85"/>
  <c r="I84" i="8"/>
  <c r="I83"/>
  <c r="I89" i="13" l="1"/>
  <c r="I89" i="12"/>
  <c r="I94" i="11"/>
  <c r="I96" i="10"/>
  <c r="F61" i="8" l="1"/>
  <c r="H59"/>
  <c r="F58"/>
  <c r="H58" s="1"/>
  <c r="H53"/>
  <c r="H52" s="1"/>
  <c r="F52"/>
  <c r="F51"/>
  <c r="E51"/>
  <c r="H51" l="1"/>
  <c r="I58"/>
  <c r="H61"/>
  <c r="F50"/>
  <c r="F49"/>
  <c r="F48"/>
  <c r="F47"/>
  <c r="F46"/>
  <c r="F45"/>
  <c r="H43"/>
  <c r="E42"/>
  <c r="E41"/>
  <c r="F40"/>
  <c r="H40" s="1"/>
  <c r="F39"/>
  <c r="H39" s="1"/>
  <c r="H38"/>
  <c r="H36"/>
  <c r="H35"/>
  <c r="H34"/>
  <c r="F34"/>
  <c r="I34" s="1"/>
  <c r="E34"/>
  <c r="F33"/>
  <c r="I33" s="1"/>
  <c r="H33" s="1"/>
  <c r="F32"/>
  <c r="I32" s="1"/>
  <c r="H32" s="1"/>
  <c r="F31"/>
  <c r="I31" s="1"/>
  <c r="H31" s="1"/>
  <c r="F30"/>
  <c r="I30" s="1"/>
  <c r="H30" s="1"/>
  <c r="I27"/>
  <c r="F26"/>
  <c r="I26" s="1"/>
  <c r="I25"/>
  <c r="H25"/>
  <c r="I24"/>
  <c r="H24"/>
  <c r="F23"/>
  <c r="I23" s="1"/>
  <c r="F22"/>
  <c r="H22" s="1"/>
  <c r="F21"/>
  <c r="I21" s="1"/>
  <c r="F20"/>
  <c r="H20" s="1"/>
  <c r="H27" l="1"/>
  <c r="H21"/>
  <c r="H45"/>
  <c r="H47"/>
  <c r="H49"/>
  <c r="H23"/>
  <c r="I20"/>
  <c r="I22"/>
  <c r="H26"/>
  <c r="I39"/>
  <c r="I40"/>
  <c r="H46"/>
  <c r="H48"/>
  <c r="I50"/>
  <c r="F19"/>
  <c r="I19" s="1"/>
  <c r="H50" l="1"/>
  <c r="H19"/>
  <c r="E18"/>
  <c r="F17"/>
  <c r="H17" s="1"/>
  <c r="F16"/>
  <c r="H16" s="1"/>
  <c r="I16" l="1"/>
  <c r="I17"/>
  <c r="F18"/>
  <c r="I18"/>
  <c r="F41"/>
  <c r="I41"/>
  <c r="F42"/>
  <c r="I42" s="1"/>
  <c r="H18"/>
  <c r="H41"/>
  <c r="H42"/>
  <c r="I93" l="1"/>
</calcChain>
</file>

<file path=xl/sharedStrings.xml><?xml version="1.0" encoding="utf-8"?>
<sst xmlns="http://schemas.openxmlformats.org/spreadsheetml/2006/main" count="2638" uniqueCount="252">
  <si>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</si>
  <si>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</si>
  <si>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</si>
  <si>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</si>
  <si>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</si>
  <si>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</si>
  <si>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</si>
  <si>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</si>
  <si>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</si>
  <si>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</si>
  <si>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</si>
  <si>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</si>
  <si>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</si>
  <si>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</si>
  <si>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</si>
  <si>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</si>
  <si>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</si>
  <si>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</si>
  <si>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</si>
  <si>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</si>
  <si>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</si>
  <si>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</si>
  <si>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</si>
  <si>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</si>
  <si>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</si>
  <si>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</si>
  <si>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</si>
  <si>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</si>
  <si>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</si>
  <si>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</si>
  <si>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</si>
  <si>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</si>
  <si>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</si>
  <si>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</si>
  <si>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</si>
  <si>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</si>
  <si>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</si>
  <si>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</si>
  <si>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</si>
  <si>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</si>
  <si>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</si>
  <si>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</si>
  <si>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</si>
  <si>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</si>
  <si>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</si>
  <si>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</si>
  <si>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</si>
  <si>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</si>
  <si>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</si>
  <si>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</si>
  <si>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</si>
  <si>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</si>
  <si>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</si>
  <si>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</si>
  <si>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</si>
  <si>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</si>
  <si>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</si>
  <si>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</si>
  <si>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</si>
  <si>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</si>
  <si>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</si>
  <si>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</si>
  <si>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</si>
  <si>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</si>
  <si>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</si>
  <si>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</si>
  <si>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</si>
  <si>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</si>
  <si>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</si>
  <si>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</si>
  <si>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</si>
  <si>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</si>
  <si>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</si>
  <si>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</si>
  <si>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</si>
  <si>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</si>
  <si>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</si>
  <si>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</si>
  <si>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</si>
  <si>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</si>
  <si>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</si>
  <si>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</si>
  <si>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</si>
  <si>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</si>
  <si>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</si>
  <si>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генеральный директор Куканов Ю.Л.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</si>
  <si>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</si>
  <si>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</si>
  <si>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</si>
  <si>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</si>
  <si>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</si>
  <si>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</si>
  <si>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</si>
  <si>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</si>
  <si>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</si>
  <si>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</si>
  <si>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</si>
  <si>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</si>
  <si>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</si>
  <si>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</si>
  <si>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</si>
  <si>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</si>
  <si>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</si>
  <si>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</si>
  <si>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</si>
  <si>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</si>
  <si>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</si>
  <si>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</si>
  <si>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</si>
  <si>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</si>
  <si>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</si>
  <si>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</si>
  <si>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</si>
  <si>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</si>
  <si>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</si>
  <si>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</si>
  <si>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</si>
  <si>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</si>
  <si>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</si>
  <si>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</si>
  <si>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</si>
  <si>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</si>
  <si>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</si>
  <si>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</si>
  <si>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</si>
  <si>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</si>
  <si>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</si>
  <si>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ул.Нефтяников пгт.Ярега
</t>
  </si>
  <si>
    <t>Влажная протирка шкафов для щитов и слаботочн.устройств</t>
  </si>
  <si>
    <t>руб/м2 в мес.</t>
  </si>
  <si>
    <t>Возмещение затрат управляющей компании по косметическому ремонту подъездов</t>
  </si>
  <si>
    <t>руб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</si>
  <si>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</si>
  <si>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д.7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</si>
  <si>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</si>
  <si>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</si>
  <si>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</si>
  <si>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</si>
  <si>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2 раз в год</t>
  </si>
  <si>
    <t>Проверка дымоходов</t>
  </si>
  <si>
    <t>5 раз в год</t>
  </si>
  <si>
    <t>водосток</t>
  </si>
  <si>
    <t>Спуск воды после промывки СО в канализацию</t>
  </si>
  <si>
    <t>10 шт.</t>
  </si>
  <si>
    <t>ежемесячно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</si>
  <si>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</si>
  <si>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</si>
  <si>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</si>
  <si>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</si>
  <si>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</si>
  <si>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</si>
  <si>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</si>
  <si>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</si>
  <si>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</si>
  <si>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</si>
  <si>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</si>
  <si>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</si>
  <si>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</si>
  <si>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</si>
  <si>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</si>
  <si>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</si>
  <si>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</si>
  <si>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</si>
  <si>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Организация и содержание мест накопления ТКО</t>
  </si>
  <si>
    <t>21 раз</t>
  </si>
  <si>
    <t>13 раз</t>
  </si>
  <si>
    <t>8 раз</t>
  </si>
  <si>
    <t>2 раза</t>
  </si>
  <si>
    <t>5 раз</t>
  </si>
  <si>
    <t>25 раз</t>
  </si>
  <si>
    <t>6 раз</t>
  </si>
  <si>
    <t>3 раза</t>
  </si>
  <si>
    <t>1 раз</t>
  </si>
  <si>
    <t xml:space="preserve">5 раз </t>
  </si>
  <si>
    <t xml:space="preserve">1 раз    </t>
  </si>
  <si>
    <t xml:space="preserve">1 раз   </t>
  </si>
  <si>
    <t xml:space="preserve">1 раз  </t>
  </si>
  <si>
    <t xml:space="preserve">1 раз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</si>
  <si>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</si>
  <si>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</si>
  <si>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 период с 01.01.2020 г. по 31.01.2020 г.</t>
  </si>
  <si>
    <t>2. Всего за период с 01.01.2020 по 31.01.2020 выполнено работ (оказано услуг) на общую сумму: 29307,76 руб.</t>
  </si>
  <si>
    <t>(двадцать девять тысяч триста семь рублей 76 копеек )</t>
  </si>
  <si>
    <t>за период с 01.02.2020 г. по 28.02.2020 г.</t>
  </si>
  <si>
    <t>18,20 февраля</t>
  </si>
  <si>
    <t>2. Всего за период с 01.02.2020 по 29.02.2020 выполнено работ (оказано услуг) на общую сумму: 29012,12 руб.</t>
  </si>
  <si>
    <t>(двадцать девять тысяч двенадцать рублей 12 копеек)</t>
  </si>
  <si>
    <t>за период с 01.03.2020 г. по 31.03.2020 г.</t>
  </si>
  <si>
    <t>17 марта</t>
  </si>
  <si>
    <t>10 марта</t>
  </si>
  <si>
    <t>2м/часа</t>
  </si>
  <si>
    <t>Осмотр кровель из штучных материалов</t>
  </si>
  <si>
    <t>Укрепление оконных и дверных приборов - пружин, ручек, петель, шпингалетов</t>
  </si>
  <si>
    <t xml:space="preserve">Навеска  дверного полотна </t>
  </si>
  <si>
    <t>1 полотно</t>
  </si>
  <si>
    <t>под.№1</t>
  </si>
  <si>
    <t>за период с 01.04.2020 г. по 30.04.2020 г.</t>
  </si>
  <si>
    <t>2. Всего за период с 01.04.2020 по 30.04.2020 выполнено работ (оказано услуг) на общую сумму: 24670,20 руб.</t>
  </si>
  <si>
    <t>(двадцать четыре тысячи шестьсот семьдесят рублей 20 копеек)</t>
  </si>
  <si>
    <t>за период с 01.05.2020 г. по 31.05.2020 г.</t>
  </si>
  <si>
    <t>2. Всего за период с 01.05.2020 по 31.05.2020 выполнено работ (оказано услуг) на общую сумму: 41897,77 руб.</t>
  </si>
  <si>
    <t>(сорок одна тысяча восемьсот девяносто семь рублей 77 копеек)</t>
  </si>
  <si>
    <t>за период с 01.06.2020 г. по 30.06.2020 г.</t>
  </si>
  <si>
    <t xml:space="preserve">1 раз      </t>
  </si>
  <si>
    <t>2. Всего за период с 01.06.2020 по 30.06.2020 выполнено работ (оказано услуг) на общую сумму: 72920,78 руб.</t>
  </si>
  <si>
    <t>(семьдесят две тысячи девятьсот двадцать рублей 78 копеек)</t>
  </si>
  <si>
    <t>ВДГО</t>
  </si>
  <si>
    <t>за период с 01.07.2020 г. по 31.07.2020 г.</t>
  </si>
  <si>
    <t>внеплановая дератизация</t>
  </si>
  <si>
    <t>Смена внутренних трубопроводов  диаметром до 20 мм (без стоимости материалов)</t>
  </si>
  <si>
    <t>1 м</t>
  </si>
  <si>
    <t>Регулировка запорной арматуры</t>
  </si>
  <si>
    <t>1 шт</t>
  </si>
  <si>
    <t>Подключение и отключение сварочного аппарата</t>
  </si>
  <si>
    <t>ХВС кв.7</t>
  </si>
  <si>
    <t>кв.7 ХВС</t>
  </si>
  <si>
    <t>Установка хомута диаметром до 50  мм</t>
  </si>
  <si>
    <t>место</t>
  </si>
  <si>
    <t xml:space="preserve">Смена внутренних трубопроводов из стальных труб диаметром до 50 мм </t>
  </si>
  <si>
    <t>1 шт. ХВС под кв.16, ХВС 1 шт. р/у</t>
  </si>
  <si>
    <t>4 м ХВС под кв.16</t>
  </si>
  <si>
    <t xml:space="preserve">Осмотр водопроводов, канализации, отопления </t>
  </si>
  <si>
    <t>за период с 01.08.2020 г. по 31.08.2020 г.</t>
  </si>
  <si>
    <t>Осмотр электросетей, армазуры и электрооборудования на лестничных клетках</t>
  </si>
  <si>
    <t>за период с 01.09.2020 г. по 30.09.2020 г.</t>
  </si>
  <si>
    <t>Внеплановая провека дымоходов</t>
  </si>
  <si>
    <t>Внеплановая проверка вентканалов</t>
  </si>
  <si>
    <t xml:space="preserve">Замена тройника </t>
  </si>
  <si>
    <t>кв.12</t>
  </si>
  <si>
    <t>с/о чердак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</si>
  <si>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</si>
  <si>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</si>
  <si>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Бетонирование ступени под.№2</t>
  </si>
  <si>
    <t>2. Всего за период с 01.10.2020 по 31.10.2020 выполнено работ (оказано услуг) на общую сумму: 25057,21 руб.</t>
  </si>
  <si>
    <t>(двадцать пять тысяч пятьдесят семь рублей 21 копейка)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</si>
  <si>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</si>
  <si>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</si>
  <si>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Кочановой 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</si>
  <si>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за период с 01.12.2020 г. по 31.12.2020 г.</t>
  </si>
  <si>
    <t>18 и 21 дек, 0,4 ч</t>
  </si>
  <si>
    <t>2. Всего за период с 01.03.2020 по 31.03.2020 выполнено работ (оказано услуг) на общую сумму: 45862,86 руб.</t>
  </si>
  <si>
    <t>(сорок пять тысяч восемьсот шестьдесят два рубля 86 копеек)</t>
  </si>
  <si>
    <t>2. Всего за период с 01.07.2020 по 31.07.2020 выполнено работ (оказано услуг) на общую сумму: 29911,41 руб.</t>
  </si>
  <si>
    <t>(двадцать девять тысяч девятьсот одиннадцать рублей 41 копейка)</t>
  </si>
  <si>
    <t>2. Всего за период с 01.08.2020 по 31.08.2020 выполнено работ (оказано услуг) на общую сумму: 31404,23 руб.</t>
  </si>
  <si>
    <t>(тридцать одна тысяча четыреста четыре рубля 23 копейки)</t>
  </si>
  <si>
    <t>2. Всего за период с 01.09.2020 по 30.09.2020 выполнено работ (оказано услуг) на общую сумму: 33467,57 руб.</t>
  </si>
  <si>
    <t>(тридцать три тысячи  четыреста шестьдесят семь рублей 57 копеек)</t>
  </si>
  <si>
    <t>2. Всего за период с 01.11.2020 по 30.11.2020 выполнено работ (оказано услуг) на общую сумму: 24808,30 руб.</t>
  </si>
  <si>
    <t>(двадцать четыре тысячи восемьсот восемь рублей 30 копеек)</t>
  </si>
  <si>
    <t>2. Всего за период с 01.12.2020 по 31.12.2020 выполнено работ (оказано услуг) на общую сумму: 37878,37 руб.</t>
  </si>
  <si>
    <t>(тридцать семь тысяч восемьсот семьдесят восемь рублей 37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</si>
</sst>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14" fontId="11" fillId="0" borderId="3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opLeftCell="A44" workbookViewId="0">
      <selection activeCell="M89" sqref="M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132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180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67"/>
      <c r="G6" s="57"/>
      <c r="H6" s="67"/>
      <c r="I6" s="30">
        <v>43861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99</v>
      </c>
      <c r="C30" s="82" t="s">
        <v>100</v>
      </c>
      <c r="D30" s="81" t="s">
        <v>101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102</v>
      </c>
      <c r="C31" s="82" t="s">
        <v>100</v>
      </c>
      <c r="D31" s="81" t="s">
        <v>103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104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105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15.75" customHeight="1">
      <c r="A38" s="33">
        <v>5</v>
      </c>
      <c r="B38" s="81" t="s">
        <v>25</v>
      </c>
      <c r="C38" s="82" t="s">
        <v>30</v>
      </c>
      <c r="D38" s="81"/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>G38*0.7</f>
        <v>1330.2589999999998</v>
      </c>
      <c r="J38" s="23"/>
    </row>
    <row r="39" spans="1:14" ht="15.75" customHeight="1">
      <c r="A39" s="33">
        <v>6</v>
      </c>
      <c r="B39" s="81" t="s">
        <v>66</v>
      </c>
      <c r="C39" s="82" t="s">
        <v>28</v>
      </c>
      <c r="D39" s="81" t="s">
        <v>168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ref="I39:I41" si="2">F39/6*G39</f>
        <v>631.88233500000001</v>
      </c>
      <c r="J39" s="23"/>
    </row>
    <row r="40" spans="1:14" ht="15.75" customHeight="1">
      <c r="A40" s="33">
        <v>7</v>
      </c>
      <c r="B40" s="81" t="s">
        <v>67</v>
      </c>
      <c r="C40" s="82" t="s">
        <v>28</v>
      </c>
      <c r="D40" s="81" t="s">
        <v>169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8</v>
      </c>
      <c r="B41" s="81" t="s">
        <v>79</v>
      </c>
      <c r="C41" s="82" t="s">
        <v>100</v>
      </c>
      <c r="D41" s="81" t="s">
        <v>170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hidden="1" customHeight="1">
      <c r="A42" s="33">
        <v>9</v>
      </c>
      <c r="B42" s="81" t="s">
        <v>109</v>
      </c>
      <c r="C42" s="82" t="s">
        <v>100</v>
      </c>
      <c r="D42" s="81" t="s">
        <v>171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F42/7.5*G42</f>
        <v>68.708359999999999</v>
      </c>
      <c r="J42" s="23"/>
      <c r="L42" s="19"/>
      <c r="M42" s="20"/>
      <c r="N42" s="21"/>
    </row>
    <row r="43" spans="1:14" ht="15.75" hidden="1" customHeight="1">
      <c r="A43" s="33">
        <v>10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F43/7.5*G43</f>
        <v>66.198000000000008</v>
      </c>
      <c r="J43" s="23"/>
      <c r="L43" s="19"/>
      <c r="M43" s="20"/>
      <c r="N43" s="21"/>
    </row>
    <row r="44" spans="1:14" ht="15.75" customHeight="1">
      <c r="A44" s="154" t="s">
        <v>134</v>
      </c>
      <c r="B44" s="155"/>
      <c r="C44" s="155"/>
      <c r="D44" s="155"/>
      <c r="E44" s="155"/>
      <c r="F44" s="155"/>
      <c r="G44" s="155"/>
      <c r="H44" s="155"/>
      <c r="I44" s="156"/>
      <c r="J44" s="23"/>
      <c r="L44" s="19"/>
      <c r="M44" s="20"/>
      <c r="N44" s="21"/>
    </row>
    <row r="45" spans="1:14" ht="15.75" hidden="1" customHeight="1">
      <c r="A45" s="41">
        <v>15</v>
      </c>
      <c r="B45" s="81" t="s">
        <v>111</v>
      </c>
      <c r="C45" s="82" t="s">
        <v>100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41"/>
      <c r="B46" s="81" t="s">
        <v>34</v>
      </c>
      <c r="C46" s="82" t="s">
        <v>100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15.75" hidden="1" customHeight="1">
      <c r="A47" s="41">
        <v>16</v>
      </c>
      <c r="B47" s="81" t="s">
        <v>35</v>
      </c>
      <c r="C47" s="82" t="s">
        <v>100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17</v>
      </c>
      <c r="B48" s="81" t="s">
        <v>36</v>
      </c>
      <c r="C48" s="82" t="s">
        <v>100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18</v>
      </c>
      <c r="B49" s="81" t="s">
        <v>32</v>
      </c>
      <c r="C49" s="82" t="s">
        <v>33</v>
      </c>
      <c r="D49" s="81" t="s">
        <v>138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15.75" customHeight="1">
      <c r="A50" s="41">
        <v>11</v>
      </c>
      <c r="B50" s="81" t="s">
        <v>55</v>
      </c>
      <c r="C50" s="82" t="s">
        <v>100</v>
      </c>
      <c r="D50" s="81" t="s">
        <v>172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1.5" hidden="1" customHeight="1">
      <c r="A51" s="41">
        <v>13</v>
      </c>
      <c r="B51" s="81" t="s">
        <v>112</v>
      </c>
      <c r="C51" s="82" t="s">
        <v>100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v>0</v>
      </c>
      <c r="J51" s="23"/>
      <c r="L51" s="19"/>
      <c r="M51" s="20"/>
      <c r="N51" s="21"/>
    </row>
    <row r="52" spans="1:14" ht="31.5" hidden="1" customHeight="1">
      <c r="A52" s="41">
        <v>14</v>
      </c>
      <c r="B52" s="81" t="s">
        <v>113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v>0</v>
      </c>
      <c r="J52" s="23"/>
      <c r="L52" s="19"/>
      <c r="M52" s="20"/>
      <c r="N52" s="21"/>
    </row>
    <row r="53" spans="1:14" ht="15.75" hidden="1" customHeight="1">
      <c r="A53" s="41">
        <v>15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12</v>
      </c>
      <c r="B54" s="81" t="s">
        <v>139</v>
      </c>
      <c r="C54" s="82" t="s">
        <v>29</v>
      </c>
      <c r="D54" s="124">
        <v>43493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15.75" hidden="1" customHeight="1">
      <c r="A55" s="41">
        <v>13</v>
      </c>
      <c r="B55" s="81" t="s">
        <v>40</v>
      </c>
      <c r="C55" s="82" t="s">
        <v>29</v>
      </c>
      <c r="D55" s="124">
        <v>43493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4" t="s">
        <v>135</v>
      </c>
      <c r="B56" s="155"/>
      <c r="C56" s="155"/>
      <c r="D56" s="155"/>
      <c r="E56" s="155"/>
      <c r="F56" s="155"/>
      <c r="G56" s="155"/>
      <c r="H56" s="155"/>
      <c r="I56" s="156"/>
      <c r="J56" s="23"/>
      <c r="L56" s="19"/>
      <c r="M56" s="20"/>
      <c r="N56" s="21"/>
    </row>
    <row r="57" spans="1:14" ht="15.75" hidden="1" customHeight="1">
      <c r="A57" s="53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1">
        <v>15</v>
      </c>
      <c r="B58" s="81" t="s">
        <v>115</v>
      </c>
      <c r="C58" s="82" t="s">
        <v>141</v>
      </c>
      <c r="D58" s="81" t="s">
        <v>70</v>
      </c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F58/6*G58</f>
        <v>288.32749999999999</v>
      </c>
      <c r="J58" s="23"/>
      <c r="L58" s="19"/>
      <c r="M58" s="20"/>
      <c r="N58" s="21"/>
    </row>
    <row r="59" spans="1:14" ht="15.75" hidden="1" customHeight="1">
      <c r="A59" s="41"/>
      <c r="B59" s="91" t="s">
        <v>82</v>
      </c>
      <c r="C59" s="92" t="s">
        <v>116</v>
      </c>
      <c r="D59" s="37" t="s">
        <v>65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v>0</v>
      </c>
      <c r="J59" s="23"/>
      <c r="L59" s="19"/>
      <c r="M59" s="20"/>
      <c r="N59" s="21"/>
    </row>
    <row r="60" spans="1:14" ht="15.75" hidden="1" customHeight="1">
      <c r="A60" s="41"/>
      <c r="B60" s="62" t="s">
        <v>43</v>
      </c>
      <c r="C60" s="62"/>
      <c r="D60" s="62"/>
      <c r="E60" s="62"/>
      <c r="F60" s="75"/>
      <c r="G60" s="63"/>
      <c r="H60" s="63"/>
      <c r="I60" s="35"/>
      <c r="J60" s="23"/>
      <c r="L60" s="19"/>
      <c r="M60" s="20"/>
      <c r="N60" s="21"/>
    </row>
    <row r="61" spans="1:14" ht="15.75" hidden="1" customHeight="1">
      <c r="A61" s="41">
        <v>27</v>
      </c>
      <c r="B61" s="91" t="s">
        <v>44</v>
      </c>
      <c r="C61" s="92" t="s">
        <v>52</v>
      </c>
      <c r="D61" s="91" t="s">
        <v>53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v>0</v>
      </c>
      <c r="J61" s="23"/>
      <c r="L61" s="19"/>
      <c r="M61" s="20"/>
      <c r="N61" s="21"/>
    </row>
    <row r="62" spans="1:14" ht="15.75" customHeight="1">
      <c r="A62" s="41"/>
      <c r="B62" s="62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114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1" si="4">SUM(F63*G63/1000)</f>
        <v>0.27673999999999999</v>
      </c>
      <c r="I63" s="13">
        <v>0</v>
      </c>
    </row>
    <row r="64" spans="1:14" ht="15.75" hidden="1" customHeight="1">
      <c r="A64" s="29">
        <v>29</v>
      </c>
      <c r="B64" s="97" t="s">
        <v>47</v>
      </c>
      <c r="C64" s="16" t="s">
        <v>114</v>
      </c>
      <c r="D64" s="97" t="s">
        <v>65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v>0</v>
      </c>
    </row>
    <row r="65" spans="1:22" ht="15.75" hidden="1" customHeight="1">
      <c r="A65" s="29">
        <v>8</v>
      </c>
      <c r="B65" s="97" t="s">
        <v>48</v>
      </c>
      <c r="C65" s="16" t="s">
        <v>117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118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119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142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38"/>
      <c r="S69" s="138"/>
      <c r="T69" s="138"/>
      <c r="U69" s="138"/>
    </row>
    <row r="70" spans="1:22" ht="15.7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29">
        <v>12</v>
      </c>
      <c r="B71" s="97" t="s">
        <v>83</v>
      </c>
      <c r="C71" s="41" t="s">
        <v>129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4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121</v>
      </c>
      <c r="C73" s="16" t="s">
        <v>122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5">SUM(F73*G73/1000)</f>
        <v>0.97639999999999993</v>
      </c>
      <c r="I73" s="13">
        <v>0</v>
      </c>
    </row>
    <row r="74" spans="1:22" ht="15.75" hidden="1" customHeight="1">
      <c r="A74" s="29"/>
      <c r="B74" s="97" t="s">
        <v>123</v>
      </c>
      <c r="C74" s="16" t="s">
        <v>124</v>
      </c>
      <c r="D74" s="97"/>
      <c r="E74" s="18">
        <v>1</v>
      </c>
      <c r="F74" s="13">
        <v>1</v>
      </c>
      <c r="G74" s="13">
        <v>650</v>
      </c>
      <c r="H74" s="98">
        <f t="shared" si="5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143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5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5"/>
        <v>1.0614100000000002</v>
      </c>
      <c r="I76" s="13">
        <v>0</v>
      </c>
    </row>
    <row r="77" spans="1:22" ht="15.75" hidden="1" customHeight="1">
      <c r="A77" s="29">
        <v>15</v>
      </c>
      <c r="B77" s="97" t="s">
        <v>84</v>
      </c>
      <c r="C77" s="16" t="s">
        <v>29</v>
      </c>
      <c r="D77" s="97"/>
      <c r="E77" s="18">
        <v>1</v>
      </c>
      <c r="F77" s="84">
        <f>SUM(E77)</f>
        <v>1</v>
      </c>
      <c r="G77" s="13">
        <v>446.12</v>
      </c>
      <c r="H77" s="98">
        <f t="shared" si="5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125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6">SUM(F79*G79/1000)</f>
        <v>4.4637839999999995</v>
      </c>
      <c r="I79" s="13">
        <v>0</v>
      </c>
    </row>
    <row r="80" spans="1:22" ht="15.75" hidden="1" customHeight="1">
      <c r="A80" s="53"/>
      <c r="B80" s="62" t="s">
        <v>120</v>
      </c>
      <c r="C80" s="62"/>
      <c r="D80" s="62"/>
      <c r="E80" s="62"/>
      <c r="F80" s="68"/>
      <c r="G80" s="62"/>
      <c r="H80" s="68"/>
      <c r="I80" s="18"/>
    </row>
    <row r="81" spans="1:9" ht="15.75" hidden="1" customHeight="1">
      <c r="A81" s="29">
        <v>36</v>
      </c>
      <c r="B81" s="81" t="s">
        <v>87</v>
      </c>
      <c r="C81" s="16"/>
      <c r="D81" s="97"/>
      <c r="E81" s="101"/>
      <c r="F81" s="13">
        <v>1</v>
      </c>
      <c r="G81" s="13">
        <v>13707.8</v>
      </c>
      <c r="H81" s="98">
        <f>G81*F81/1000</f>
        <v>13.707799999999999</v>
      </c>
      <c r="I81" s="13">
        <v>0</v>
      </c>
    </row>
    <row r="82" spans="1:9" ht="15.75" customHeight="1">
      <c r="A82" s="140" t="s">
        <v>136</v>
      </c>
      <c r="B82" s="141"/>
      <c r="C82" s="141"/>
      <c r="D82" s="141"/>
      <c r="E82" s="141"/>
      <c r="F82" s="141"/>
      <c r="G82" s="141"/>
      <c r="H82" s="141"/>
      <c r="I82" s="142"/>
    </row>
    <row r="83" spans="1:9" ht="15.75" customHeight="1">
      <c r="A83" s="29">
        <v>13</v>
      </c>
      <c r="B83" s="81" t="s">
        <v>126</v>
      </c>
      <c r="C83" s="16" t="s">
        <v>54</v>
      </c>
      <c r="D83" s="102"/>
      <c r="E83" s="13">
        <v>1839.1</v>
      </c>
      <c r="F83" s="13">
        <f>SUM(E83*12)</f>
        <v>22069.199999999997</v>
      </c>
      <c r="G83" s="13">
        <v>2.95</v>
      </c>
      <c r="H83" s="98">
        <f>SUM(F83*G83/1000)</f>
        <v>65.104139999999987</v>
      </c>
      <c r="I83" s="13">
        <f>F83/12*G83</f>
        <v>5425.3449999999993</v>
      </c>
    </row>
    <row r="84" spans="1:9" ht="31.5" customHeight="1">
      <c r="A84" s="29">
        <v>14</v>
      </c>
      <c r="B84" s="97" t="s">
        <v>76</v>
      </c>
      <c r="C84" s="16"/>
      <c r="D84" s="102"/>
      <c r="E84" s="83">
        <v>1839.1</v>
      </c>
      <c r="F84" s="13">
        <f>E84*12</f>
        <v>22069.199999999997</v>
      </c>
      <c r="G84" s="13">
        <v>3.05</v>
      </c>
      <c r="H84" s="98">
        <f>F84*G84/1000</f>
        <v>67.311059999999983</v>
      </c>
      <c r="I84" s="13">
        <f>F84/12*G84</f>
        <v>5609.2549999999983</v>
      </c>
    </row>
    <row r="85" spans="1:9" ht="31.5" hidden="1" customHeight="1">
      <c r="A85" s="29">
        <v>18</v>
      </c>
      <c r="B85" s="97" t="s">
        <v>130</v>
      </c>
      <c r="C85" s="16" t="s">
        <v>131</v>
      </c>
      <c r="D85" s="102"/>
      <c r="E85" s="101"/>
      <c r="F85" s="13"/>
      <c r="G85" s="13"/>
      <c r="H85" s="98">
        <v>59.113</v>
      </c>
      <c r="I85" s="13">
        <v>4926.08</v>
      </c>
    </row>
    <row r="86" spans="1:9" ht="15.75" customHeight="1">
      <c r="A86" s="53"/>
      <c r="B86" s="40" t="s">
        <v>78</v>
      </c>
      <c r="C86" s="41"/>
      <c r="D86" s="15"/>
      <c r="E86" s="15"/>
      <c r="F86" s="15"/>
      <c r="G86" s="18"/>
      <c r="H86" s="18"/>
      <c r="I86" s="121">
        <f>I84+I83+I71+I50+I41+I40+I39+I38+I27+I18+I17+I16</f>
        <v>29093.951944666656</v>
      </c>
    </row>
    <row r="87" spans="1:9" ht="15.75" customHeight="1">
      <c r="A87" s="143" t="s">
        <v>59</v>
      </c>
      <c r="B87" s="144"/>
      <c r="C87" s="144"/>
      <c r="D87" s="144"/>
      <c r="E87" s="144"/>
      <c r="F87" s="144"/>
      <c r="G87" s="144"/>
      <c r="H87" s="144"/>
      <c r="I87" s="145"/>
    </row>
    <row r="88" spans="1:9" ht="15.75" customHeight="1">
      <c r="A88" s="29">
        <v>15</v>
      </c>
      <c r="B88" s="97" t="s">
        <v>158</v>
      </c>
      <c r="C88" s="16" t="s">
        <v>159</v>
      </c>
      <c r="D88" s="97"/>
      <c r="E88" s="18"/>
      <c r="F88" s="13">
        <v>24</v>
      </c>
      <c r="G88" s="13">
        <v>1.4</v>
      </c>
      <c r="H88" s="13">
        <f>F88*G88/1000</f>
        <v>3.3599999999999991E-2</v>
      </c>
      <c r="I88" s="13">
        <f>G88*12</f>
        <v>16.799999999999997</v>
      </c>
    </row>
    <row r="89" spans="1:9" ht="33" customHeight="1">
      <c r="A89" s="29">
        <v>16</v>
      </c>
      <c r="B89" s="119" t="s">
        <v>162</v>
      </c>
      <c r="C89" s="65" t="s">
        <v>28</v>
      </c>
      <c r="D89" s="97"/>
      <c r="E89" s="18"/>
      <c r="F89" s="13">
        <v>2.2000000000000002</v>
      </c>
      <c r="G89" s="118">
        <v>20547.34</v>
      </c>
      <c r="H89" s="13">
        <f>F89*G89/1000</f>
        <v>45.204148000000004</v>
      </c>
      <c r="I89" s="13">
        <f>G89*6*0.599/1000</f>
        <v>73.847139960000007</v>
      </c>
    </row>
    <row r="90" spans="1:9" ht="31.5" customHeight="1">
      <c r="A90" s="29">
        <v>17</v>
      </c>
      <c r="B90" s="119" t="s">
        <v>178</v>
      </c>
      <c r="C90" s="65" t="s">
        <v>179</v>
      </c>
      <c r="D90" s="97"/>
      <c r="E90" s="18"/>
      <c r="F90" s="13"/>
      <c r="G90" s="36">
        <v>61.58</v>
      </c>
      <c r="H90" s="13"/>
      <c r="I90" s="13">
        <f>G90*2</f>
        <v>123.16</v>
      </c>
    </row>
    <row r="91" spans="1:9" ht="15.75" customHeight="1">
      <c r="A91" s="29"/>
      <c r="B91" s="46" t="s">
        <v>51</v>
      </c>
      <c r="C91" s="42"/>
      <c r="D91" s="54"/>
      <c r="E91" s="42">
        <v>1</v>
      </c>
      <c r="F91" s="42"/>
      <c r="G91" s="42"/>
      <c r="H91" s="42"/>
      <c r="I91" s="120">
        <f>SUM(I88:I90)</f>
        <v>213.80713996</v>
      </c>
    </row>
    <row r="92" spans="1:9" ht="15.75" customHeight="1">
      <c r="A92" s="29"/>
      <c r="B92" s="52" t="s">
        <v>77</v>
      </c>
      <c r="C92" s="15"/>
      <c r="D92" s="15"/>
      <c r="E92" s="43"/>
      <c r="F92" s="43"/>
      <c r="G92" s="44"/>
      <c r="H92" s="44"/>
      <c r="I92" s="17">
        <v>0</v>
      </c>
    </row>
    <row r="93" spans="1:9" ht="15.75" customHeight="1">
      <c r="A93" s="55"/>
      <c r="B93" s="47" t="s">
        <v>137</v>
      </c>
      <c r="C93" s="34"/>
      <c r="D93" s="34"/>
      <c r="E93" s="34"/>
      <c r="F93" s="34"/>
      <c r="G93" s="34"/>
      <c r="H93" s="34"/>
      <c r="I93" s="45">
        <f>I91+I86</f>
        <v>29307.759084626658</v>
      </c>
    </row>
    <row r="94" spans="1:9" ht="15.75">
      <c r="A94" s="146" t="s">
        <v>181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>
      <c r="A95" s="61"/>
      <c r="B95" s="130" t="s">
        <v>182</v>
      </c>
      <c r="C95" s="130"/>
      <c r="D95" s="130"/>
      <c r="E95" s="130"/>
      <c r="F95" s="130"/>
      <c r="G95" s="130"/>
      <c r="H95" s="79"/>
      <c r="I95" s="3"/>
    </row>
    <row r="96" spans="1:9">
      <c r="A96" s="56"/>
      <c r="B96" s="131" t="s">
        <v>6</v>
      </c>
      <c r="C96" s="131"/>
      <c r="D96" s="131"/>
      <c r="E96" s="131"/>
      <c r="F96" s="131"/>
      <c r="G96" s="131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35" t="s">
        <v>7</v>
      </c>
      <c r="B98" s="135"/>
      <c r="C98" s="135"/>
      <c r="D98" s="135"/>
      <c r="E98" s="135"/>
      <c r="F98" s="135"/>
      <c r="G98" s="135"/>
      <c r="H98" s="135"/>
      <c r="I98" s="135"/>
    </row>
    <row r="99" spans="1:9" ht="15.75">
      <c r="A99" s="135" t="s">
        <v>8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>
      <c r="A100" s="132" t="s">
        <v>60</v>
      </c>
      <c r="B100" s="132"/>
      <c r="C100" s="132"/>
      <c r="D100" s="132"/>
      <c r="E100" s="132"/>
      <c r="F100" s="132"/>
      <c r="G100" s="132"/>
      <c r="H100" s="132"/>
      <c r="I100" s="132"/>
    </row>
    <row r="101" spans="1:9" ht="15.75">
      <c r="A101" s="11"/>
    </row>
    <row r="102" spans="1:9" ht="15.75">
      <c r="A102" s="133" t="s">
        <v>9</v>
      </c>
      <c r="B102" s="133"/>
      <c r="C102" s="133"/>
      <c r="D102" s="133"/>
      <c r="E102" s="133"/>
      <c r="F102" s="133"/>
      <c r="G102" s="133"/>
      <c r="H102" s="133"/>
      <c r="I102" s="133"/>
    </row>
    <row r="103" spans="1:9" ht="15.75">
      <c r="A103" s="4"/>
    </row>
    <row r="104" spans="1:9" ht="15.75">
      <c r="B104" s="59" t="s">
        <v>10</v>
      </c>
      <c r="C104" s="134" t="s">
        <v>85</v>
      </c>
      <c r="D104" s="134"/>
      <c r="E104" s="134"/>
      <c r="F104" s="77"/>
      <c r="I104" s="60"/>
    </row>
    <row r="105" spans="1:9">
      <c r="A105" s="56"/>
      <c r="C105" s="131" t="s">
        <v>11</v>
      </c>
      <c r="D105" s="131"/>
      <c r="E105" s="131"/>
      <c r="F105" s="24"/>
      <c r="I105" s="58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59" t="s">
        <v>13</v>
      </c>
      <c r="C107" s="137"/>
      <c r="D107" s="137"/>
      <c r="E107" s="137"/>
      <c r="F107" s="78"/>
      <c r="I107" s="60"/>
    </row>
    <row r="108" spans="1:9">
      <c r="A108" s="56"/>
      <c r="C108" s="138" t="s">
        <v>11</v>
      </c>
      <c r="D108" s="138"/>
      <c r="E108" s="138"/>
      <c r="F108" s="66"/>
      <c r="I108" s="58" t="s">
        <v>12</v>
      </c>
    </row>
    <row r="109" spans="1:9" ht="15.75">
      <c r="A109" s="4" t="s">
        <v>14</v>
      </c>
    </row>
    <row r="110" spans="1:9">
      <c r="A110" s="139" t="s">
        <v>15</v>
      </c>
      <c r="B110" s="139"/>
      <c r="C110" s="139"/>
      <c r="D110" s="139"/>
      <c r="E110" s="139"/>
      <c r="F110" s="139"/>
      <c r="G110" s="139"/>
      <c r="H110" s="139"/>
      <c r="I110" s="139"/>
    </row>
    <row r="111" spans="1:9" ht="45" customHeight="1">
      <c r="A111" s="136" t="s">
        <v>16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30" customHeight="1">
      <c r="A112" s="136" t="s">
        <v>17</v>
      </c>
      <c r="B112" s="136"/>
      <c r="C112" s="136"/>
      <c r="D112" s="136"/>
      <c r="E112" s="136"/>
      <c r="F112" s="136"/>
      <c r="G112" s="136"/>
      <c r="H112" s="136"/>
      <c r="I112" s="136"/>
    </row>
    <row r="113" spans="1:9" ht="30" customHeight="1">
      <c r="A113" s="136" t="s">
        <v>21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15.75">
      <c r="A114" s="136" t="s">
        <v>20</v>
      </c>
      <c r="B114" s="136"/>
      <c r="C114" s="136"/>
      <c r="D114" s="136"/>
      <c r="E114" s="136"/>
      <c r="F114" s="136"/>
      <c r="G114" s="136"/>
      <c r="H114" s="136"/>
      <c r="I114" s="136"/>
    </row>
  </sheetData>
  <autoFilter ref="I12:I64"/>
  <mergeCells count="29">
    <mergeCell ref="A82:I82"/>
    <mergeCell ref="A87:I87"/>
    <mergeCell ref="A94:I94"/>
    <mergeCell ref="R69:U69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56:I56"/>
    <mergeCell ref="C105:E105"/>
    <mergeCell ref="A113:I113"/>
    <mergeCell ref="A114:I114"/>
    <mergeCell ref="C107:E107"/>
    <mergeCell ref="C108:E108"/>
    <mergeCell ref="A110:I110"/>
    <mergeCell ref="A111:I111"/>
    <mergeCell ref="A112:I112"/>
    <mergeCell ref="B95:G95"/>
    <mergeCell ref="B96:G96"/>
    <mergeCell ref="A100:I100"/>
    <mergeCell ref="A102:I102"/>
    <mergeCell ref="C104:E104"/>
    <mergeCell ref="A98:I98"/>
    <mergeCell ref="A99:I9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topLeftCell="A30" workbookViewId="0">
      <selection activeCell="G106" sqref="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155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230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44135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231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5</v>
      </c>
      <c r="B30" s="32" t="s">
        <v>99</v>
      </c>
      <c r="C30" s="82" t="s">
        <v>100</v>
      </c>
      <c r="D30" s="81" t="s">
        <v>166</v>
      </c>
      <c r="E30" s="84">
        <v>58</v>
      </c>
      <c r="F30" s="84">
        <f>SUM(E30*52/1000)</f>
        <v>3.016</v>
      </c>
      <c r="G30" s="84">
        <v>193.97</v>
      </c>
      <c r="H30" s="85">
        <f t="shared" ref="H30:H33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6</v>
      </c>
      <c r="B31" s="32" t="s">
        <v>102</v>
      </c>
      <c r="C31" s="82" t="s">
        <v>100</v>
      </c>
      <c r="D31" s="81" t="s">
        <v>165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7</v>
      </c>
      <c r="B33" s="32" t="s">
        <v>104</v>
      </c>
      <c r="C33" s="82" t="s">
        <v>39</v>
      </c>
      <c r="D33" s="81" t="s">
        <v>169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>SUM(F34*G34/1000)</f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>SUM(F35*G35/1000)</f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106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107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100</v>
      </c>
      <c r="D40" s="81" t="s">
        <v>108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109</v>
      </c>
      <c r="C41" s="82" t="s">
        <v>100</v>
      </c>
      <c r="D41" s="81" t="s">
        <v>110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hidden="1" customHeight="1">
      <c r="A43" s="154" t="s">
        <v>134</v>
      </c>
      <c r="B43" s="155"/>
      <c r="C43" s="155"/>
      <c r="D43" s="155"/>
      <c r="E43" s="155"/>
      <c r="F43" s="155"/>
      <c r="G43" s="155"/>
      <c r="H43" s="155"/>
      <c r="I43" s="156"/>
      <c r="J43" s="23"/>
      <c r="L43" s="19"/>
      <c r="M43" s="20"/>
      <c r="N43" s="21"/>
    </row>
    <row r="44" spans="1:14" ht="15.75" hidden="1" customHeight="1">
      <c r="A44" s="41">
        <v>12</v>
      </c>
      <c r="B44" s="81" t="s">
        <v>111</v>
      </c>
      <c r="C44" s="82" t="s">
        <v>100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13</v>
      </c>
      <c r="B45" s="81" t="s">
        <v>34</v>
      </c>
      <c r="C45" s="82" t="s">
        <v>100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14</v>
      </c>
      <c r="B46" s="81" t="s">
        <v>35</v>
      </c>
      <c r="C46" s="82" t="s">
        <v>100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15</v>
      </c>
      <c r="B47" s="81" t="s">
        <v>36</v>
      </c>
      <c r="C47" s="82" t="s">
        <v>100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16</v>
      </c>
      <c r="B48" s="81" t="s">
        <v>32</v>
      </c>
      <c r="C48" s="82" t="s">
        <v>33</v>
      </c>
      <c r="D48" s="81" t="s">
        <v>138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17</v>
      </c>
      <c r="B49" s="81" t="s">
        <v>55</v>
      </c>
      <c r="C49" s="82" t="s">
        <v>100</v>
      </c>
      <c r="D49" s="81" t="s">
        <v>140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10</v>
      </c>
      <c r="B50" s="81" t="s">
        <v>112</v>
      </c>
      <c r="C50" s="82" t="s">
        <v>100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11</v>
      </c>
      <c r="B51" s="81" t="s">
        <v>113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12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hidden="1" customHeight="1">
      <c r="A53" s="41">
        <v>13</v>
      </c>
      <c r="B53" s="81" t="s">
        <v>139</v>
      </c>
      <c r="C53" s="82" t="s">
        <v>29</v>
      </c>
      <c r="D53" s="81" t="s">
        <v>69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14</v>
      </c>
      <c r="B54" s="81" t="s">
        <v>40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4" t="s">
        <v>135</v>
      </c>
      <c r="B55" s="155"/>
      <c r="C55" s="155"/>
      <c r="D55" s="155"/>
      <c r="E55" s="155"/>
      <c r="F55" s="155"/>
      <c r="G55" s="155"/>
      <c r="H55" s="155"/>
      <c r="I55" s="156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115</v>
      </c>
      <c r="C57" s="82" t="s">
        <v>141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116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hidden="1" customHeight="1">
      <c r="A62" s="41">
        <v>17</v>
      </c>
      <c r="B62" s="97" t="s">
        <v>46</v>
      </c>
      <c r="C62" s="16" t="s">
        <v>114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0" si="7">SUM(F62*G62/1000)</f>
        <v>0.27673999999999999</v>
      </c>
      <c r="I62" s="13">
        <v>0</v>
      </c>
    </row>
    <row r="63" spans="1:14" ht="15.75" hidden="1" customHeight="1">
      <c r="A63" s="29">
        <v>29</v>
      </c>
      <c r="B63" s="97" t="s">
        <v>47</v>
      </c>
      <c r="C63" s="16" t="s">
        <v>114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117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118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119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142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38"/>
      <c r="S68" s="138"/>
      <c r="T68" s="138"/>
      <c r="U68" s="138"/>
    </row>
    <row r="69" spans="1:22" ht="15.75" hidden="1" customHeight="1">
      <c r="A69" s="29">
        <v>18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f>F69*G69</f>
        <v>124.14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7.25" customHeight="1">
      <c r="A70" s="29">
        <v>8</v>
      </c>
      <c r="B70" s="97" t="s">
        <v>83</v>
      </c>
      <c r="C70" s="41" t="s">
        <v>129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7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121</v>
      </c>
      <c r="C72" s="16" t="s">
        <v>122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9">SUM(F72*G72/1000)</f>
        <v>0.97639999999999993</v>
      </c>
      <c r="I72" s="13">
        <v>0</v>
      </c>
    </row>
    <row r="73" spans="1:22" ht="15.75" hidden="1" customHeight="1">
      <c r="A73" s="29"/>
      <c r="B73" s="97" t="s">
        <v>123</v>
      </c>
      <c r="C73" s="16" t="s">
        <v>124</v>
      </c>
      <c r="D73" s="97"/>
      <c r="E73" s="18">
        <v>1</v>
      </c>
      <c r="F73" s="13">
        <v>1</v>
      </c>
      <c r="G73" s="13">
        <v>650</v>
      </c>
      <c r="H73" s="98">
        <f t="shared" si="9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143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9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9"/>
        <v>1.0614100000000002</v>
      </c>
      <c r="I75" s="13">
        <v>0</v>
      </c>
    </row>
    <row r="76" spans="1:22" ht="18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9"/>
        <v>0.44612000000000002</v>
      </c>
      <c r="I76" s="13">
        <f>G76</f>
        <v>446.12</v>
      </c>
    </row>
    <row r="77" spans="1:22" ht="18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6.5" hidden="1" customHeight="1">
      <c r="A78" s="29">
        <v>16</v>
      </c>
      <c r="B78" s="39" t="s">
        <v>125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0">SUM(F78*G78/1000)</f>
        <v>4.4637839999999995</v>
      </c>
      <c r="I78" s="13">
        <f>G78*0.03</f>
        <v>103.01039999999999</v>
      </c>
    </row>
    <row r="79" spans="1:22" ht="21.75" customHeight="1">
      <c r="A79" s="80"/>
      <c r="B79" s="74" t="s">
        <v>120</v>
      </c>
      <c r="C79" s="74"/>
      <c r="D79" s="74"/>
      <c r="E79" s="74"/>
      <c r="F79" s="74"/>
      <c r="G79" s="74"/>
      <c r="H79" s="74"/>
      <c r="I79" s="18"/>
    </row>
    <row r="80" spans="1:22" ht="16.5" customHeight="1">
      <c r="A80" s="29">
        <v>9</v>
      </c>
      <c r="B80" s="81" t="s">
        <v>87</v>
      </c>
      <c r="C80" s="16"/>
      <c r="D80" s="129">
        <v>44135</v>
      </c>
      <c r="E80" s="101"/>
      <c r="F80" s="13">
        <v>1</v>
      </c>
      <c r="G80" s="13">
        <v>2402.1999999999998</v>
      </c>
      <c r="H80" s="98">
        <f>G80*F80/1000</f>
        <v>2.4021999999999997</v>
      </c>
      <c r="I80" s="13">
        <f>G80</f>
        <v>2402.1999999999998</v>
      </c>
    </row>
    <row r="81" spans="1:9" ht="15.75" customHeight="1">
      <c r="A81" s="140" t="s">
        <v>136</v>
      </c>
      <c r="B81" s="141"/>
      <c r="C81" s="141"/>
      <c r="D81" s="141"/>
      <c r="E81" s="141"/>
      <c r="F81" s="141"/>
      <c r="G81" s="141"/>
      <c r="H81" s="141"/>
      <c r="I81" s="142"/>
    </row>
    <row r="82" spans="1:9" ht="15.75" customHeight="1">
      <c r="A82" s="29">
        <v>10</v>
      </c>
      <c r="B82" s="81" t="s">
        <v>126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11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31.5" hidden="1" customHeight="1">
      <c r="A84" s="29">
        <v>19</v>
      </c>
      <c r="B84" s="97" t="s">
        <v>130</v>
      </c>
      <c r="C84" s="16" t="s">
        <v>131</v>
      </c>
      <c r="D84" s="102" t="s">
        <v>144</v>
      </c>
      <c r="E84" s="101"/>
      <c r="F84" s="13"/>
      <c r="G84" s="13"/>
      <c r="H84" s="98">
        <v>59.113</v>
      </c>
      <c r="I84" s="13">
        <v>4926.08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I83+I82+I80+I70+I33+I31+I30+I27+I18+I17+I16</f>
        <v>24525.750937999994</v>
      </c>
    </row>
    <row r="86" spans="1:9" ht="15.75" customHeight="1">
      <c r="A86" s="143" t="s">
        <v>59</v>
      </c>
      <c r="B86" s="144"/>
      <c r="C86" s="144"/>
      <c r="D86" s="144"/>
      <c r="E86" s="144"/>
      <c r="F86" s="144"/>
      <c r="G86" s="144"/>
      <c r="H86" s="144"/>
      <c r="I86" s="145"/>
    </row>
    <row r="87" spans="1:9" ht="18.75" customHeight="1">
      <c r="A87" s="29">
        <v>12</v>
      </c>
      <c r="B87" s="37" t="s">
        <v>158</v>
      </c>
      <c r="C87" s="38" t="s">
        <v>159</v>
      </c>
      <c r="D87" s="52"/>
      <c r="E87" s="13"/>
      <c r="F87" s="13">
        <v>2</v>
      </c>
      <c r="G87" s="36">
        <v>1.4</v>
      </c>
      <c r="H87" s="98">
        <f t="shared" ref="H87" si="11">G87*F87/1000</f>
        <v>2.8E-3</v>
      </c>
      <c r="I87" s="104">
        <f>G87*12</f>
        <v>16.799999999999997</v>
      </c>
    </row>
    <row r="88" spans="1:9" ht="17.25" customHeight="1">
      <c r="A88" s="29">
        <v>13</v>
      </c>
      <c r="B88" s="128" t="s">
        <v>232</v>
      </c>
      <c r="C88" s="65" t="s">
        <v>54</v>
      </c>
      <c r="D88" s="126"/>
      <c r="E88" s="36"/>
      <c r="F88" s="36">
        <v>1</v>
      </c>
      <c r="G88" s="36">
        <v>514.66</v>
      </c>
      <c r="H88" s="98"/>
      <c r="I88" s="104">
        <f>G88*1</f>
        <v>514.66</v>
      </c>
    </row>
    <row r="89" spans="1:9" ht="15.75" customHeight="1">
      <c r="A89" s="29"/>
      <c r="B89" s="46" t="s">
        <v>51</v>
      </c>
      <c r="C89" s="42"/>
      <c r="D89" s="54"/>
      <c r="E89" s="42">
        <v>1</v>
      </c>
      <c r="F89" s="42"/>
      <c r="G89" s="42"/>
      <c r="H89" s="42"/>
      <c r="I89" s="31">
        <f>SUM(I87:I88)</f>
        <v>531.45999999999992</v>
      </c>
    </row>
    <row r="90" spans="1:9" ht="15.75" customHeight="1">
      <c r="A90" s="29"/>
      <c r="B90" s="52" t="s">
        <v>77</v>
      </c>
      <c r="C90" s="15"/>
      <c r="D90" s="15"/>
      <c r="E90" s="43"/>
      <c r="F90" s="43"/>
      <c r="G90" s="44"/>
      <c r="H90" s="44"/>
      <c r="I90" s="17">
        <v>0</v>
      </c>
    </row>
    <row r="91" spans="1:9" ht="15.75" customHeight="1">
      <c r="A91" s="55"/>
      <c r="B91" s="47" t="s">
        <v>137</v>
      </c>
      <c r="C91" s="34"/>
      <c r="D91" s="34"/>
      <c r="E91" s="34"/>
      <c r="F91" s="34"/>
      <c r="G91" s="34"/>
      <c r="H91" s="34"/>
      <c r="I91" s="45">
        <f>I85+I89</f>
        <v>25057.210937999993</v>
      </c>
    </row>
    <row r="92" spans="1:9" ht="15.75">
      <c r="A92" s="146" t="s">
        <v>233</v>
      </c>
      <c r="B92" s="146"/>
      <c r="C92" s="146"/>
      <c r="D92" s="146"/>
      <c r="E92" s="146"/>
      <c r="F92" s="146"/>
      <c r="G92" s="146"/>
      <c r="H92" s="146"/>
      <c r="I92" s="146"/>
    </row>
    <row r="93" spans="1:9" ht="15.75">
      <c r="A93" s="61"/>
      <c r="B93" s="130" t="s">
        <v>234</v>
      </c>
      <c r="C93" s="130"/>
      <c r="D93" s="130"/>
      <c r="E93" s="130"/>
      <c r="F93" s="130"/>
      <c r="G93" s="130"/>
      <c r="H93" s="79"/>
      <c r="I93" s="3"/>
    </row>
    <row r="94" spans="1:9">
      <c r="A94" s="70"/>
      <c r="B94" s="131" t="s">
        <v>6</v>
      </c>
      <c r="C94" s="131"/>
      <c r="D94" s="131"/>
      <c r="E94" s="131"/>
      <c r="F94" s="131"/>
      <c r="G94" s="131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5" t="s">
        <v>7</v>
      </c>
      <c r="B96" s="135"/>
      <c r="C96" s="135"/>
      <c r="D96" s="135"/>
      <c r="E96" s="135"/>
      <c r="F96" s="135"/>
      <c r="G96" s="135"/>
      <c r="H96" s="135"/>
      <c r="I96" s="135"/>
    </row>
    <row r="97" spans="1:9" ht="15.75">
      <c r="A97" s="135" t="s">
        <v>8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>
      <c r="A98" s="132" t="s">
        <v>60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69" t="s">
        <v>10</v>
      </c>
      <c r="C102" s="134" t="s">
        <v>235</v>
      </c>
      <c r="D102" s="134"/>
      <c r="E102" s="134"/>
      <c r="F102" s="77"/>
      <c r="I102" s="72"/>
    </row>
    <row r="103" spans="1:9">
      <c r="A103" s="70"/>
      <c r="C103" s="131" t="s">
        <v>11</v>
      </c>
      <c r="D103" s="131"/>
      <c r="E103" s="131"/>
      <c r="F103" s="24"/>
      <c r="I103" s="71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69" t="s">
        <v>13</v>
      </c>
      <c r="C105" s="137"/>
      <c r="D105" s="137"/>
      <c r="E105" s="137"/>
      <c r="F105" s="78"/>
      <c r="I105" s="72"/>
    </row>
    <row r="106" spans="1:9">
      <c r="A106" s="70"/>
      <c r="C106" s="138" t="s">
        <v>11</v>
      </c>
      <c r="D106" s="138"/>
      <c r="E106" s="138"/>
      <c r="F106" s="70"/>
      <c r="I106" s="71" t="s">
        <v>12</v>
      </c>
    </row>
    <row r="107" spans="1:9" ht="15.75">
      <c r="A107" s="4" t="s">
        <v>14</v>
      </c>
    </row>
    <row r="108" spans="1:9">
      <c r="A108" s="139" t="s">
        <v>15</v>
      </c>
      <c r="B108" s="139"/>
      <c r="C108" s="139"/>
      <c r="D108" s="139"/>
      <c r="E108" s="139"/>
      <c r="F108" s="139"/>
      <c r="G108" s="139"/>
      <c r="H108" s="139"/>
      <c r="I108" s="139"/>
    </row>
    <row r="109" spans="1:9" ht="45" customHeight="1">
      <c r="A109" s="136" t="s">
        <v>16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30" customHeight="1">
      <c r="A110" s="136" t="s">
        <v>17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30" customHeight="1">
      <c r="A111" s="136" t="s">
        <v>21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>
      <c r="A112" s="136" t="s">
        <v>20</v>
      </c>
      <c r="B112" s="136"/>
      <c r="C112" s="136"/>
      <c r="D112" s="136"/>
      <c r="E112" s="136"/>
      <c r="F112" s="136"/>
      <c r="G112" s="136"/>
      <c r="H112" s="136"/>
      <c r="I112" s="136"/>
    </row>
  </sheetData>
  <autoFilter ref="I12:I63"/>
  <mergeCells count="29">
    <mergeCell ref="A108:I108"/>
    <mergeCell ref="A109:I109"/>
    <mergeCell ref="A110:I110"/>
    <mergeCell ref="A111:I111"/>
    <mergeCell ref="A112:I112"/>
    <mergeCell ref="R68:U68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5"/>
  <sheetViews>
    <sheetView topLeftCell="A84" workbookViewId="0">
      <selection activeCell="G98" sqref="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156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236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44165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237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hidden="1" customHeight="1">
      <c r="A28" s="29">
        <v>5</v>
      </c>
      <c r="B28" s="88" t="s">
        <v>23</v>
      </c>
      <c r="C28" s="82" t="s">
        <v>24</v>
      </c>
      <c r="D28" s="81"/>
      <c r="E28" s="83">
        <v>1839.1</v>
      </c>
      <c r="F28" s="84">
        <f>SUM(E28*12)</f>
        <v>22069.199999999997</v>
      </c>
      <c r="G28" s="84">
        <v>4.58</v>
      </c>
      <c r="H28" s="85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53" t="s">
        <v>80</v>
      </c>
      <c r="B29" s="153"/>
      <c r="C29" s="153"/>
      <c r="D29" s="153"/>
      <c r="E29" s="153"/>
      <c r="F29" s="153"/>
      <c r="G29" s="153"/>
      <c r="H29" s="153"/>
      <c r="I29" s="15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99</v>
      </c>
      <c r="C31" s="82" t="s">
        <v>100</v>
      </c>
      <c r="D31" s="81" t="s">
        <v>101</v>
      </c>
      <c r="E31" s="84">
        <v>58</v>
      </c>
      <c r="F31" s="84">
        <f>SUM(E31*52/1000)</f>
        <v>3.016</v>
      </c>
      <c r="G31" s="84">
        <v>193.97</v>
      </c>
      <c r="H31" s="85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102</v>
      </c>
      <c r="C32" s="82" t="s">
        <v>100</v>
      </c>
      <c r="D32" s="81" t="s">
        <v>103</v>
      </c>
      <c r="E32" s="84">
        <v>48.3</v>
      </c>
      <c r="F32" s="84">
        <f>SUM(E32*78/1000)</f>
        <v>3.7673999999999994</v>
      </c>
      <c r="G32" s="84">
        <v>321.82</v>
      </c>
      <c r="H32" s="85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2" t="s">
        <v>100</v>
      </c>
      <c r="D33" s="81" t="s">
        <v>53</v>
      </c>
      <c r="E33" s="84">
        <v>58</v>
      </c>
      <c r="F33" s="84">
        <f>SUM(E33/1000)</f>
        <v>5.8000000000000003E-2</v>
      </c>
      <c r="G33" s="84">
        <v>3758.28</v>
      </c>
      <c r="H33" s="85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104</v>
      </c>
      <c r="C34" s="82" t="s">
        <v>39</v>
      </c>
      <c r="D34" s="81" t="s">
        <v>62</v>
      </c>
      <c r="E34" s="84">
        <v>1</v>
      </c>
      <c r="F34" s="84">
        <f>E34*155/100</f>
        <v>1.55</v>
      </c>
      <c r="G34" s="84">
        <v>1620.15</v>
      </c>
      <c r="H34" s="85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105</v>
      </c>
      <c r="C35" s="82" t="s">
        <v>29</v>
      </c>
      <c r="D35" s="81" t="s">
        <v>62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1" t="s">
        <v>63</v>
      </c>
      <c r="C36" s="82" t="s">
        <v>31</v>
      </c>
      <c r="D36" s="81" t="s">
        <v>65</v>
      </c>
      <c r="E36" s="83"/>
      <c r="F36" s="84">
        <v>1</v>
      </c>
      <c r="G36" s="84">
        <v>238.07</v>
      </c>
      <c r="H36" s="85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1" t="s">
        <v>64</v>
      </c>
      <c r="C37" s="82" t="s">
        <v>30</v>
      </c>
      <c r="D37" s="81" t="s">
        <v>65</v>
      </c>
      <c r="E37" s="83"/>
      <c r="F37" s="84">
        <v>1</v>
      </c>
      <c r="G37" s="84">
        <v>1413.96</v>
      </c>
      <c r="H37" s="85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5</v>
      </c>
      <c r="B39" s="81" t="s">
        <v>25</v>
      </c>
      <c r="C39" s="82" t="s">
        <v>30</v>
      </c>
      <c r="D39" s="81"/>
      <c r="E39" s="83"/>
      <c r="F39" s="84">
        <v>2</v>
      </c>
      <c r="G39" s="84">
        <v>1900.37</v>
      </c>
      <c r="H39" s="85">
        <f t="shared" ref="H39:H44" si="1">SUM(F39*G39/1000)</f>
        <v>3.8007399999999998</v>
      </c>
      <c r="I39" s="13">
        <f>G39*0.7</f>
        <v>1330.2589999999998</v>
      </c>
      <c r="J39" s="23"/>
    </row>
    <row r="40" spans="1:14" ht="15.75" customHeight="1">
      <c r="A40" s="33">
        <v>5</v>
      </c>
      <c r="B40" s="81" t="s">
        <v>66</v>
      </c>
      <c r="C40" s="82" t="s">
        <v>28</v>
      </c>
      <c r="D40" s="81" t="s">
        <v>168</v>
      </c>
      <c r="E40" s="84">
        <v>48.3</v>
      </c>
      <c r="F40" s="84">
        <f>SUM(E40*30/1000)</f>
        <v>1.4490000000000001</v>
      </c>
      <c r="G40" s="84">
        <v>2616.4899999999998</v>
      </c>
      <c r="H40" s="85">
        <f t="shared" si="1"/>
        <v>3.7912940100000001</v>
      </c>
      <c r="I40" s="13">
        <f t="shared" ref="I40:I42" si="2">F40/6*G40</f>
        <v>631.88233500000001</v>
      </c>
      <c r="J40" s="23"/>
    </row>
    <row r="41" spans="1:14" ht="15.75" customHeight="1">
      <c r="A41" s="33">
        <v>6</v>
      </c>
      <c r="B41" s="81" t="s">
        <v>67</v>
      </c>
      <c r="C41" s="82" t="s">
        <v>28</v>
      </c>
      <c r="D41" s="81" t="s">
        <v>169</v>
      </c>
      <c r="E41" s="84">
        <v>48.3</v>
      </c>
      <c r="F41" s="84">
        <f>SUM(E41*155/1000)</f>
        <v>7.4865000000000004</v>
      </c>
      <c r="G41" s="84">
        <v>436.45</v>
      </c>
      <c r="H41" s="85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7</v>
      </c>
      <c r="B42" s="81" t="s">
        <v>79</v>
      </c>
      <c r="C42" s="82" t="s">
        <v>100</v>
      </c>
      <c r="D42" s="81" t="s">
        <v>170</v>
      </c>
      <c r="E42" s="84">
        <f>E40</f>
        <v>48.3</v>
      </c>
      <c r="F42" s="84">
        <f>SUM(E42*35/1000)</f>
        <v>1.6904999999999999</v>
      </c>
      <c r="G42" s="84">
        <v>7221.21</v>
      </c>
      <c r="H42" s="85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8</v>
      </c>
      <c r="B43" s="81" t="s">
        <v>109</v>
      </c>
      <c r="C43" s="82" t="s">
        <v>100</v>
      </c>
      <c r="D43" s="81" t="s">
        <v>167</v>
      </c>
      <c r="E43" s="84">
        <f>E40</f>
        <v>48.3</v>
      </c>
      <c r="F43" s="84">
        <f>SUM(E43*20/1000)</f>
        <v>0.96599999999999997</v>
      </c>
      <c r="G43" s="84">
        <v>533.45000000000005</v>
      </c>
      <c r="H43" s="85">
        <f t="shared" si="1"/>
        <v>0.51531270000000007</v>
      </c>
      <c r="I43" s="13">
        <f>G43*F43/20*2</f>
        <v>51.531270000000006</v>
      </c>
      <c r="J43" s="23"/>
      <c r="L43" s="19"/>
      <c r="M43" s="20"/>
      <c r="N43" s="21"/>
    </row>
    <row r="44" spans="1:14" ht="15.75" customHeight="1">
      <c r="A44" s="33">
        <v>9</v>
      </c>
      <c r="B44" s="81" t="s">
        <v>68</v>
      </c>
      <c r="C44" s="82" t="s">
        <v>31</v>
      </c>
      <c r="D44" s="81"/>
      <c r="E44" s="83"/>
      <c r="F44" s="84">
        <v>0.5</v>
      </c>
      <c r="G44" s="84">
        <v>992.97</v>
      </c>
      <c r="H44" s="85">
        <f t="shared" si="1"/>
        <v>0.49648500000000001</v>
      </c>
      <c r="I44" s="13">
        <f>G44*F44/20*2</f>
        <v>49.648499999999999</v>
      </c>
      <c r="J44" s="23"/>
      <c r="L44" s="19"/>
      <c r="M44" s="20"/>
      <c r="N44" s="21"/>
    </row>
    <row r="45" spans="1:14" ht="15.75" hidden="1" customHeight="1">
      <c r="A45" s="154" t="s">
        <v>134</v>
      </c>
      <c r="B45" s="155"/>
      <c r="C45" s="155"/>
      <c r="D45" s="155"/>
      <c r="E45" s="155"/>
      <c r="F45" s="155"/>
      <c r="G45" s="155"/>
      <c r="H45" s="155"/>
      <c r="I45" s="156"/>
      <c r="J45" s="23"/>
      <c r="L45" s="19"/>
      <c r="M45" s="20"/>
      <c r="N45" s="21"/>
    </row>
    <row r="46" spans="1:14" ht="15.75" hidden="1" customHeight="1">
      <c r="A46" s="41">
        <v>12</v>
      </c>
      <c r="B46" s="81" t="s">
        <v>111</v>
      </c>
      <c r="C46" s="82" t="s">
        <v>100</v>
      </c>
      <c r="D46" s="81" t="s">
        <v>41</v>
      </c>
      <c r="E46" s="83">
        <v>1044.7</v>
      </c>
      <c r="F46" s="84">
        <f>SUM(E46*2/1000)</f>
        <v>2.0893999999999999</v>
      </c>
      <c r="G46" s="13">
        <v>1283.46</v>
      </c>
      <c r="H46" s="85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1" t="s">
        <v>34</v>
      </c>
      <c r="C47" s="82" t="s">
        <v>100</v>
      </c>
      <c r="D47" s="81" t="s">
        <v>41</v>
      </c>
      <c r="E47" s="83">
        <v>19.8</v>
      </c>
      <c r="F47" s="84">
        <f>SUM(E47*2/1000)</f>
        <v>3.9600000000000003E-2</v>
      </c>
      <c r="G47" s="13">
        <v>4192.6400000000003</v>
      </c>
      <c r="H47" s="85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1" t="s">
        <v>35</v>
      </c>
      <c r="C48" s="82" t="s">
        <v>100</v>
      </c>
      <c r="D48" s="81" t="s">
        <v>41</v>
      </c>
      <c r="E48" s="83">
        <v>660.84</v>
      </c>
      <c r="F48" s="84">
        <f>SUM(E48*2/1000)</f>
        <v>1.32168</v>
      </c>
      <c r="G48" s="13">
        <v>1711.28</v>
      </c>
      <c r="H48" s="85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1" t="s">
        <v>36</v>
      </c>
      <c r="C49" s="82" t="s">
        <v>100</v>
      </c>
      <c r="D49" s="81" t="s">
        <v>41</v>
      </c>
      <c r="E49" s="83">
        <v>1156.21</v>
      </c>
      <c r="F49" s="84">
        <f>SUM(E49*2/1000)</f>
        <v>2.3124199999999999</v>
      </c>
      <c r="G49" s="13">
        <v>1179.73</v>
      </c>
      <c r="H49" s="85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1" t="s">
        <v>32</v>
      </c>
      <c r="C50" s="82" t="s">
        <v>33</v>
      </c>
      <c r="D50" s="81" t="s">
        <v>138</v>
      </c>
      <c r="E50" s="83">
        <v>17.2</v>
      </c>
      <c r="F50" s="84">
        <f>SUM(E50*2/100)</f>
        <v>0.34399999999999997</v>
      </c>
      <c r="G50" s="13">
        <v>90.61</v>
      </c>
      <c r="H50" s="85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17</v>
      </c>
      <c r="B51" s="81" t="s">
        <v>55</v>
      </c>
      <c r="C51" s="82" t="s">
        <v>100</v>
      </c>
      <c r="D51" s="81" t="s">
        <v>140</v>
      </c>
      <c r="E51" s="83">
        <v>1839.1</v>
      </c>
      <c r="F51" s="84">
        <f>SUM(E51*5/1000)</f>
        <v>9.1954999999999991</v>
      </c>
      <c r="G51" s="13">
        <v>1711.28</v>
      </c>
      <c r="H51" s="85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1" t="s">
        <v>112</v>
      </c>
      <c r="C52" s="82" t="s">
        <v>100</v>
      </c>
      <c r="D52" s="81" t="s">
        <v>41</v>
      </c>
      <c r="E52" s="83">
        <f>E51</f>
        <v>1839.1</v>
      </c>
      <c r="F52" s="84">
        <f>SUM(E52*2/1000)</f>
        <v>3.6781999999999999</v>
      </c>
      <c r="G52" s="13">
        <v>1510.06</v>
      </c>
      <c r="H52" s="85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1" t="s">
        <v>113</v>
      </c>
      <c r="C53" s="82" t="s">
        <v>37</v>
      </c>
      <c r="D53" s="81" t="s">
        <v>41</v>
      </c>
      <c r="E53" s="83">
        <v>9</v>
      </c>
      <c r="F53" s="84">
        <f>SUM(E53*2/100)</f>
        <v>0.18</v>
      </c>
      <c r="G53" s="13">
        <v>3850.4</v>
      </c>
      <c r="H53" s="85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1" t="s">
        <v>38</v>
      </c>
      <c r="C54" s="82" t="s">
        <v>39</v>
      </c>
      <c r="D54" s="81" t="s">
        <v>41</v>
      </c>
      <c r="E54" s="83">
        <v>1</v>
      </c>
      <c r="F54" s="84">
        <v>0.02</v>
      </c>
      <c r="G54" s="13">
        <v>7033.13</v>
      </c>
      <c r="H54" s="85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13</v>
      </c>
      <c r="B55" s="81" t="s">
        <v>139</v>
      </c>
      <c r="C55" s="82" t="s">
        <v>29</v>
      </c>
      <c r="D55" s="81" t="s">
        <v>69</v>
      </c>
      <c r="E55" s="83">
        <v>36</v>
      </c>
      <c r="F55" s="84">
        <f>E55*3</f>
        <v>108</v>
      </c>
      <c r="G55" s="13">
        <v>175.6</v>
      </c>
      <c r="H55" s="85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1" t="s">
        <v>40</v>
      </c>
      <c r="C56" s="82" t="s">
        <v>29</v>
      </c>
      <c r="D56" s="81" t="s">
        <v>69</v>
      </c>
      <c r="E56" s="83">
        <v>36</v>
      </c>
      <c r="F56" s="84">
        <f>E56*3</f>
        <v>108</v>
      </c>
      <c r="G56" s="13">
        <v>81.73</v>
      </c>
      <c r="H56" s="85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54" t="s">
        <v>147</v>
      </c>
      <c r="B57" s="155"/>
      <c r="C57" s="155"/>
      <c r="D57" s="155"/>
      <c r="E57" s="155"/>
      <c r="F57" s="155"/>
      <c r="G57" s="155"/>
      <c r="H57" s="155"/>
      <c r="I57" s="156"/>
      <c r="J57" s="23"/>
      <c r="L57" s="19"/>
      <c r="M57" s="20"/>
      <c r="N57" s="21"/>
    </row>
    <row r="58" spans="1:14" ht="15.75" hidden="1" customHeight="1">
      <c r="A58" s="108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1" t="s">
        <v>115</v>
      </c>
      <c r="C59" s="82" t="s">
        <v>141</v>
      </c>
      <c r="D59" s="81" t="s">
        <v>70</v>
      </c>
      <c r="E59" s="83">
        <v>12.5</v>
      </c>
      <c r="F59" s="84">
        <f>E59*6/100</f>
        <v>0.75</v>
      </c>
      <c r="G59" s="90">
        <v>2306.62</v>
      </c>
      <c r="H59" s="85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1" t="s">
        <v>82</v>
      </c>
      <c r="C60" s="92" t="s">
        <v>116</v>
      </c>
      <c r="D60" s="37" t="s">
        <v>65</v>
      </c>
      <c r="E60" s="93"/>
      <c r="F60" s="94">
        <v>2</v>
      </c>
      <c r="G60" s="95">
        <v>1501</v>
      </c>
      <c r="H60" s="85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107" t="s">
        <v>43</v>
      </c>
      <c r="C61" s="107"/>
      <c r="D61" s="107"/>
      <c r="E61" s="107"/>
      <c r="F61" s="75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1" t="s">
        <v>44</v>
      </c>
      <c r="C62" s="92" t="s">
        <v>52</v>
      </c>
      <c r="D62" s="91" t="s">
        <v>53</v>
      </c>
      <c r="E62" s="93">
        <v>164</v>
      </c>
      <c r="F62" s="94">
        <f>E62/100</f>
        <v>1.64</v>
      </c>
      <c r="G62" s="95">
        <v>987.51</v>
      </c>
      <c r="H62" s="96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07" t="s">
        <v>45</v>
      </c>
      <c r="C63" s="16"/>
      <c r="D63" s="37"/>
      <c r="E63" s="15"/>
      <c r="F63" s="76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7" t="s">
        <v>46</v>
      </c>
      <c r="C64" s="16" t="s">
        <v>114</v>
      </c>
      <c r="D64" s="97" t="s">
        <v>65</v>
      </c>
      <c r="E64" s="18">
        <v>1</v>
      </c>
      <c r="F64" s="84">
        <f>E64</f>
        <v>1</v>
      </c>
      <c r="G64" s="13">
        <v>276.74</v>
      </c>
      <c r="H64" s="98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7" t="s">
        <v>47</v>
      </c>
      <c r="C65" s="16" t="s">
        <v>114</v>
      </c>
      <c r="D65" s="97" t="s">
        <v>65</v>
      </c>
      <c r="E65" s="18">
        <v>3</v>
      </c>
      <c r="F65" s="84">
        <v>3</v>
      </c>
      <c r="G65" s="13">
        <v>94.89</v>
      </c>
      <c r="H65" s="98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7" t="s">
        <v>48</v>
      </c>
      <c r="C66" s="16" t="s">
        <v>117</v>
      </c>
      <c r="D66" s="97" t="s">
        <v>53</v>
      </c>
      <c r="E66" s="83">
        <v>7265</v>
      </c>
      <c r="F66" s="13">
        <f>SUM(E66/100)</f>
        <v>72.650000000000006</v>
      </c>
      <c r="G66" s="13">
        <v>263.99</v>
      </c>
      <c r="H66" s="98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7" t="s">
        <v>49</v>
      </c>
      <c r="C67" s="16" t="s">
        <v>118</v>
      </c>
      <c r="D67" s="97" t="s">
        <v>53</v>
      </c>
      <c r="E67" s="83">
        <f>E66</f>
        <v>7265</v>
      </c>
      <c r="F67" s="13">
        <f>SUM(E67/1000)</f>
        <v>7.2649999999999997</v>
      </c>
      <c r="G67" s="13">
        <v>205.57</v>
      </c>
      <c r="H67" s="98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7" t="s">
        <v>50</v>
      </c>
      <c r="C68" s="16" t="s">
        <v>75</v>
      </c>
      <c r="D68" s="97" t="s">
        <v>53</v>
      </c>
      <c r="E68" s="83">
        <v>1090</v>
      </c>
      <c r="F68" s="13">
        <f>SUM(E68/100)</f>
        <v>10.9</v>
      </c>
      <c r="G68" s="13">
        <v>2581.5300000000002</v>
      </c>
      <c r="H68" s="98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99" t="s">
        <v>119</v>
      </c>
      <c r="C69" s="16" t="s">
        <v>31</v>
      </c>
      <c r="D69" s="97"/>
      <c r="E69" s="83">
        <v>7.6</v>
      </c>
      <c r="F69" s="13">
        <f>SUM(E69)</f>
        <v>7.6</v>
      </c>
      <c r="G69" s="13">
        <v>47.45</v>
      </c>
      <c r="H69" s="98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99" t="s">
        <v>142</v>
      </c>
      <c r="C70" s="16" t="s">
        <v>31</v>
      </c>
      <c r="D70" s="97"/>
      <c r="E70" s="83">
        <f>E69</f>
        <v>7.6</v>
      </c>
      <c r="F70" s="13">
        <f>SUM(E70)</f>
        <v>7.6</v>
      </c>
      <c r="G70" s="13">
        <v>44.27</v>
      </c>
      <c r="H70" s="98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8"/>
      <c r="S70" s="138"/>
      <c r="T70" s="138"/>
      <c r="U70" s="138"/>
    </row>
    <row r="71" spans="1:22" ht="15.75" hidden="1" customHeight="1">
      <c r="A71" s="29">
        <v>18</v>
      </c>
      <c r="B71" s="97" t="s">
        <v>56</v>
      </c>
      <c r="C71" s="16" t="s">
        <v>57</v>
      </c>
      <c r="D71" s="97" t="s">
        <v>53</v>
      </c>
      <c r="E71" s="18">
        <v>2</v>
      </c>
      <c r="F71" s="84">
        <f>SUM(E71)</f>
        <v>2</v>
      </c>
      <c r="G71" s="13">
        <v>62.07</v>
      </c>
      <c r="H71" s="98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10</v>
      </c>
      <c r="B72" s="97" t="s">
        <v>83</v>
      </c>
      <c r="C72" s="41" t="s">
        <v>129</v>
      </c>
      <c r="D72" s="37"/>
      <c r="E72" s="17">
        <v>1839.1</v>
      </c>
      <c r="F72" s="100">
        <f>SUM(E72*12)</f>
        <v>22069.199999999997</v>
      </c>
      <c r="G72" s="13">
        <v>2.16</v>
      </c>
      <c r="H72" s="98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71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7" t="s">
        <v>121</v>
      </c>
      <c r="C74" s="16" t="s">
        <v>122</v>
      </c>
      <c r="D74" s="97" t="s">
        <v>65</v>
      </c>
      <c r="E74" s="18">
        <v>1</v>
      </c>
      <c r="F74" s="13">
        <f>E74</f>
        <v>1</v>
      </c>
      <c r="G74" s="13">
        <v>976.4</v>
      </c>
      <c r="H74" s="98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7" t="s">
        <v>123</v>
      </c>
      <c r="C75" s="16" t="s">
        <v>124</v>
      </c>
      <c r="D75" s="97"/>
      <c r="E75" s="18">
        <v>1</v>
      </c>
      <c r="F75" s="13">
        <v>1</v>
      </c>
      <c r="G75" s="13">
        <v>650</v>
      </c>
      <c r="H75" s="98">
        <f t="shared" si="8"/>
        <v>0.65</v>
      </c>
      <c r="I75" s="13">
        <v>0</v>
      </c>
    </row>
    <row r="76" spans="1:22" ht="15.75" hidden="1" customHeight="1">
      <c r="A76" s="29"/>
      <c r="B76" s="97" t="s">
        <v>72</v>
      </c>
      <c r="C76" s="16" t="s">
        <v>143</v>
      </c>
      <c r="D76" s="97" t="s">
        <v>65</v>
      </c>
      <c r="E76" s="18">
        <v>3</v>
      </c>
      <c r="F76" s="13">
        <f>E76/10</f>
        <v>0.3</v>
      </c>
      <c r="G76" s="13">
        <v>624.16999999999996</v>
      </c>
      <c r="H76" s="98">
        <f t="shared" si="8"/>
        <v>0.18725099999999997</v>
      </c>
      <c r="I76" s="13">
        <v>0</v>
      </c>
    </row>
    <row r="77" spans="1:22" ht="15.75" hidden="1" customHeight="1">
      <c r="A77" s="29"/>
      <c r="B77" s="97" t="s">
        <v>73</v>
      </c>
      <c r="C77" s="16" t="s">
        <v>29</v>
      </c>
      <c r="D77" s="97" t="s">
        <v>65</v>
      </c>
      <c r="E77" s="18">
        <v>1</v>
      </c>
      <c r="F77" s="13">
        <v>1</v>
      </c>
      <c r="G77" s="13">
        <v>1061.4100000000001</v>
      </c>
      <c r="H77" s="98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7" t="s">
        <v>84</v>
      </c>
      <c r="C78" s="16" t="s">
        <v>29</v>
      </c>
      <c r="D78" s="97" t="s">
        <v>65</v>
      </c>
      <c r="E78" s="18">
        <v>1</v>
      </c>
      <c r="F78" s="84">
        <f>SUM(E78)</f>
        <v>1</v>
      </c>
      <c r="G78" s="13">
        <v>446.12</v>
      </c>
      <c r="H78" s="98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74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125</v>
      </c>
      <c r="C80" s="16" t="s">
        <v>75</v>
      </c>
      <c r="D80" s="97"/>
      <c r="E80" s="18"/>
      <c r="F80" s="13">
        <v>1.3</v>
      </c>
      <c r="G80" s="13">
        <v>3433.68</v>
      </c>
      <c r="H80" s="98">
        <f t="shared" ref="H80" si="9">SUM(F80*G80/1000)</f>
        <v>4.4637839999999995</v>
      </c>
      <c r="I80" s="13">
        <v>0</v>
      </c>
    </row>
    <row r="81" spans="1:9" ht="15.75" hidden="1" customHeight="1">
      <c r="A81" s="108"/>
      <c r="B81" s="107" t="s">
        <v>120</v>
      </c>
      <c r="C81" s="107"/>
      <c r="D81" s="107"/>
      <c r="E81" s="107"/>
      <c r="F81" s="107"/>
      <c r="G81" s="107"/>
      <c r="H81" s="107"/>
      <c r="I81" s="18"/>
    </row>
    <row r="82" spans="1:9" ht="15.75" hidden="1" customHeight="1">
      <c r="A82" s="29">
        <v>15</v>
      </c>
      <c r="B82" s="81" t="s">
        <v>87</v>
      </c>
      <c r="C82" s="16"/>
      <c r="D82" s="97"/>
      <c r="E82" s="101"/>
      <c r="F82" s="13">
        <v>1</v>
      </c>
      <c r="G82" s="13">
        <v>13707.8</v>
      </c>
      <c r="H82" s="98">
        <f>G82*F82/1000</f>
        <v>13.707799999999999</v>
      </c>
      <c r="I82" s="13">
        <f>G82</f>
        <v>13707.8</v>
      </c>
    </row>
    <row r="83" spans="1:9" ht="15.75" customHeight="1">
      <c r="A83" s="140" t="s">
        <v>148</v>
      </c>
      <c r="B83" s="141"/>
      <c r="C83" s="141"/>
      <c r="D83" s="141"/>
      <c r="E83" s="141"/>
      <c r="F83" s="141"/>
      <c r="G83" s="141"/>
      <c r="H83" s="141"/>
      <c r="I83" s="142"/>
    </row>
    <row r="84" spans="1:9" ht="15.75" customHeight="1">
      <c r="A84" s="29">
        <v>11</v>
      </c>
      <c r="B84" s="81" t="s">
        <v>126</v>
      </c>
      <c r="C84" s="16" t="s">
        <v>54</v>
      </c>
      <c r="D84" s="102"/>
      <c r="E84" s="13">
        <v>1839.1</v>
      </c>
      <c r="F84" s="13">
        <f>SUM(E84*12)</f>
        <v>22069.199999999997</v>
      </c>
      <c r="G84" s="13">
        <v>2.95</v>
      </c>
      <c r="H84" s="98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12</v>
      </c>
      <c r="B85" s="97" t="s">
        <v>76</v>
      </c>
      <c r="C85" s="16"/>
      <c r="D85" s="102"/>
      <c r="E85" s="83">
        <v>1839.1</v>
      </c>
      <c r="F85" s="13">
        <f>E85*12</f>
        <v>22069.199999999997</v>
      </c>
      <c r="G85" s="13">
        <v>3.05</v>
      </c>
      <c r="H85" s="98">
        <f>F85*G85/1000</f>
        <v>67.311059999999983</v>
      </c>
      <c r="I85" s="13">
        <f>F85/12*G85</f>
        <v>5609.2549999999983</v>
      </c>
    </row>
    <row r="86" spans="1:9" ht="31.5" hidden="1" customHeight="1">
      <c r="A86" s="29">
        <v>14</v>
      </c>
      <c r="B86" s="97" t="s">
        <v>130</v>
      </c>
      <c r="C86" s="16" t="s">
        <v>131</v>
      </c>
      <c r="D86" s="102" t="s">
        <v>144</v>
      </c>
      <c r="E86" s="101"/>
      <c r="F86" s="13"/>
      <c r="G86" s="13"/>
      <c r="H86" s="98">
        <v>59.113</v>
      </c>
      <c r="I86" s="13">
        <v>4926.08</v>
      </c>
    </row>
    <row r="87" spans="1:9" ht="15.75" customHeight="1">
      <c r="A87" s="108"/>
      <c r="B87" s="40" t="s">
        <v>78</v>
      </c>
      <c r="C87" s="41"/>
      <c r="D87" s="15"/>
      <c r="E87" s="15"/>
      <c r="F87" s="15"/>
      <c r="G87" s="18"/>
      <c r="H87" s="18"/>
      <c r="I87" s="31">
        <f>I85+I84+I72+I44+I43+I42+I41+I40+I17+I18+I27+I16</f>
        <v>24717.657666666659</v>
      </c>
    </row>
    <row r="88" spans="1:9" ht="15.75" customHeight="1">
      <c r="A88" s="143" t="s">
        <v>59</v>
      </c>
      <c r="B88" s="144"/>
      <c r="C88" s="144"/>
      <c r="D88" s="144"/>
      <c r="E88" s="144"/>
      <c r="F88" s="144"/>
      <c r="G88" s="144"/>
      <c r="H88" s="144"/>
      <c r="I88" s="145"/>
    </row>
    <row r="89" spans="1:9" ht="15.75" customHeight="1">
      <c r="A89" s="103">
        <v>13</v>
      </c>
      <c r="B89" s="37" t="s">
        <v>158</v>
      </c>
      <c r="C89" s="38" t="s">
        <v>159</v>
      </c>
      <c r="D89" s="52"/>
      <c r="E89" s="13"/>
      <c r="F89" s="13">
        <v>2</v>
      </c>
      <c r="G89" s="36">
        <v>1.4</v>
      </c>
      <c r="H89" s="98">
        <f t="shared" ref="H89" si="10">G89*F89/1000</f>
        <v>2.8E-3</v>
      </c>
      <c r="I89" s="104">
        <f>G89*12</f>
        <v>16.799999999999997</v>
      </c>
    </row>
    <row r="90" spans="1:9" ht="30.75" customHeight="1">
      <c r="A90" s="103">
        <v>14</v>
      </c>
      <c r="B90" s="119" t="s">
        <v>162</v>
      </c>
      <c r="C90" s="65" t="s">
        <v>28</v>
      </c>
      <c r="D90" s="52"/>
      <c r="E90" s="13"/>
      <c r="F90" s="13"/>
      <c r="G90" s="118">
        <v>20547.34</v>
      </c>
      <c r="H90" s="98"/>
      <c r="I90" s="104">
        <f>G90*0.599*6/1000</f>
        <v>73.847139960000007</v>
      </c>
    </row>
    <row r="91" spans="1:9" ht="17.25" customHeight="1">
      <c r="A91" s="103">
        <v>15</v>
      </c>
      <c r="B91" s="119" t="s">
        <v>221</v>
      </c>
      <c r="C91" s="65" t="s">
        <v>39</v>
      </c>
      <c r="D91" s="126" t="s">
        <v>172</v>
      </c>
      <c r="E91" s="36"/>
      <c r="F91" s="36">
        <v>0.02</v>
      </c>
      <c r="G91" s="36">
        <v>27139.18</v>
      </c>
      <c r="H91" s="98"/>
      <c r="I91" s="104">
        <v>0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SUM(I89:I91)</f>
        <v>90.647139960000004</v>
      </c>
    </row>
    <row r="93" spans="1:9" ht="15.75" customHeight="1">
      <c r="A93" s="29"/>
      <c r="B93" s="52" t="s">
        <v>77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137</v>
      </c>
      <c r="C94" s="34"/>
      <c r="D94" s="34"/>
      <c r="E94" s="34"/>
      <c r="F94" s="34"/>
      <c r="G94" s="34"/>
      <c r="H94" s="34"/>
      <c r="I94" s="45">
        <f>I87+I92</f>
        <v>24808.30480662666</v>
      </c>
    </row>
    <row r="95" spans="1:9" ht="15.75">
      <c r="A95" s="146" t="s">
        <v>248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>
      <c r="A96" s="61"/>
      <c r="B96" s="130" t="s">
        <v>249</v>
      </c>
      <c r="C96" s="130"/>
      <c r="D96" s="130"/>
      <c r="E96" s="130"/>
      <c r="F96" s="130"/>
      <c r="G96" s="130"/>
      <c r="H96" s="79"/>
      <c r="I96" s="3"/>
    </row>
    <row r="97" spans="1:9">
      <c r="A97" s="105"/>
      <c r="B97" s="131" t="s">
        <v>6</v>
      </c>
      <c r="C97" s="131"/>
      <c r="D97" s="131"/>
      <c r="E97" s="131"/>
      <c r="F97" s="131"/>
      <c r="G97" s="131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5" t="s">
        <v>7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>
      <c r="A100" s="135" t="s">
        <v>8</v>
      </c>
      <c r="B100" s="135"/>
      <c r="C100" s="135"/>
      <c r="D100" s="135"/>
      <c r="E100" s="135"/>
      <c r="F100" s="135"/>
      <c r="G100" s="135"/>
      <c r="H100" s="135"/>
      <c r="I100" s="135"/>
    </row>
    <row r="101" spans="1:9" ht="15.75">
      <c r="A101" s="132" t="s">
        <v>60</v>
      </c>
      <c r="B101" s="132"/>
      <c r="C101" s="132"/>
      <c r="D101" s="132"/>
      <c r="E101" s="132"/>
      <c r="F101" s="132"/>
      <c r="G101" s="132"/>
      <c r="H101" s="132"/>
      <c r="I101" s="132"/>
    </row>
    <row r="102" spans="1:9" ht="15.75">
      <c r="A102" s="11"/>
    </row>
    <row r="103" spans="1:9" ht="15.75">
      <c r="A103" s="133" t="s">
        <v>9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>
      <c r="A104" s="4"/>
    </row>
    <row r="105" spans="1:9" ht="15.75">
      <c r="B105" s="110" t="s">
        <v>10</v>
      </c>
      <c r="C105" s="134" t="s">
        <v>235</v>
      </c>
      <c r="D105" s="134"/>
      <c r="E105" s="134"/>
      <c r="F105" s="77"/>
      <c r="I105" s="109"/>
    </row>
    <row r="106" spans="1:9">
      <c r="A106" s="105"/>
      <c r="C106" s="131" t="s">
        <v>11</v>
      </c>
      <c r="D106" s="131"/>
      <c r="E106" s="131"/>
      <c r="F106" s="24"/>
      <c r="I106" s="11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110" t="s">
        <v>13</v>
      </c>
      <c r="C108" s="137"/>
      <c r="D108" s="137"/>
      <c r="E108" s="137"/>
      <c r="F108" s="78"/>
      <c r="I108" s="109"/>
    </row>
    <row r="109" spans="1:9">
      <c r="A109" s="105"/>
      <c r="C109" s="138" t="s">
        <v>11</v>
      </c>
      <c r="D109" s="138"/>
      <c r="E109" s="138"/>
      <c r="F109" s="105"/>
      <c r="I109" s="111" t="s">
        <v>12</v>
      </c>
    </row>
    <row r="110" spans="1:9" ht="15.75">
      <c r="A110" s="4" t="s">
        <v>14</v>
      </c>
    </row>
    <row r="111" spans="1:9">
      <c r="A111" s="139" t="s">
        <v>15</v>
      </c>
      <c r="B111" s="139"/>
      <c r="C111" s="139"/>
      <c r="D111" s="139"/>
      <c r="E111" s="139"/>
      <c r="F111" s="139"/>
      <c r="G111" s="139"/>
      <c r="H111" s="139"/>
      <c r="I111" s="139"/>
    </row>
    <row r="112" spans="1:9" ht="45" customHeight="1">
      <c r="A112" s="136" t="s">
        <v>16</v>
      </c>
      <c r="B112" s="136"/>
      <c r="C112" s="136"/>
      <c r="D112" s="136"/>
      <c r="E112" s="136"/>
      <c r="F112" s="136"/>
      <c r="G112" s="136"/>
      <c r="H112" s="136"/>
      <c r="I112" s="136"/>
    </row>
    <row r="113" spans="1:9" ht="30" customHeight="1">
      <c r="A113" s="136" t="s">
        <v>17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30" customHeight="1">
      <c r="A114" s="136" t="s">
        <v>21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15.75">
      <c r="A115" s="136" t="s">
        <v>20</v>
      </c>
      <c r="B115" s="136"/>
      <c r="C115" s="136"/>
      <c r="D115" s="136"/>
      <c r="E115" s="136"/>
      <c r="F115" s="136"/>
      <c r="G115" s="136"/>
      <c r="H115" s="136"/>
      <c r="I115" s="136"/>
    </row>
  </sheetData>
  <autoFilter ref="I12:I65"/>
  <mergeCells count="29">
    <mergeCell ref="A111:I111"/>
    <mergeCell ref="A112:I112"/>
    <mergeCell ref="A113:I113"/>
    <mergeCell ref="A114:I114"/>
    <mergeCell ref="A115:I115"/>
    <mergeCell ref="R70:U70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tabSelected="1" topLeftCell="A87" workbookViewId="0">
      <selection activeCell="D99" sqref="D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157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238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0">
        <v>44196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231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hidden="1" customHeight="1">
      <c r="A28" s="29">
        <v>5</v>
      </c>
      <c r="B28" s="88" t="s">
        <v>23</v>
      </c>
      <c r="C28" s="82" t="s">
        <v>24</v>
      </c>
      <c r="D28" s="81"/>
      <c r="E28" s="83">
        <v>1839.1</v>
      </c>
      <c r="F28" s="84">
        <f>SUM(E28*12)</f>
        <v>22069.199999999997</v>
      </c>
      <c r="G28" s="84">
        <v>4.58</v>
      </c>
      <c r="H28" s="85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53" t="s">
        <v>80</v>
      </c>
      <c r="B29" s="153"/>
      <c r="C29" s="153"/>
      <c r="D29" s="153"/>
      <c r="E29" s="153"/>
      <c r="F29" s="153"/>
      <c r="G29" s="153"/>
      <c r="H29" s="153"/>
      <c r="I29" s="15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99</v>
      </c>
      <c r="C31" s="82" t="s">
        <v>100</v>
      </c>
      <c r="D31" s="81" t="s">
        <v>101</v>
      </c>
      <c r="E31" s="84">
        <v>58</v>
      </c>
      <c r="F31" s="84">
        <f>SUM(E31*52/1000)</f>
        <v>3.016</v>
      </c>
      <c r="G31" s="84">
        <v>193.97</v>
      </c>
      <c r="H31" s="85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102</v>
      </c>
      <c r="C32" s="82" t="s">
        <v>100</v>
      </c>
      <c r="D32" s="81" t="s">
        <v>103</v>
      </c>
      <c r="E32" s="84">
        <v>48.3</v>
      </c>
      <c r="F32" s="84">
        <f>SUM(E32*78/1000)</f>
        <v>3.7673999999999994</v>
      </c>
      <c r="G32" s="84">
        <v>321.82</v>
      </c>
      <c r="H32" s="85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2" t="s">
        <v>100</v>
      </c>
      <c r="D33" s="81" t="s">
        <v>53</v>
      </c>
      <c r="E33" s="84">
        <v>58</v>
      </c>
      <c r="F33" s="84">
        <f>SUM(E33/1000)</f>
        <v>5.8000000000000003E-2</v>
      </c>
      <c r="G33" s="84">
        <v>3758.28</v>
      </c>
      <c r="H33" s="85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104</v>
      </c>
      <c r="C34" s="82" t="s">
        <v>39</v>
      </c>
      <c r="D34" s="81" t="s">
        <v>62</v>
      </c>
      <c r="E34" s="84">
        <v>1</v>
      </c>
      <c r="F34" s="84">
        <f>E34*155/100</f>
        <v>1.55</v>
      </c>
      <c r="G34" s="84">
        <v>1620.15</v>
      </c>
      <c r="H34" s="85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105</v>
      </c>
      <c r="C35" s="82" t="s">
        <v>29</v>
      </c>
      <c r="D35" s="81" t="s">
        <v>62</v>
      </c>
      <c r="E35" s="89">
        <f>1/3</f>
        <v>0.33333333333333331</v>
      </c>
      <c r="F35" s="84">
        <f>155/3</f>
        <v>51.666666666666664</v>
      </c>
      <c r="G35" s="84">
        <v>70.540000000000006</v>
      </c>
      <c r="H35" s="85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1" t="s">
        <v>63</v>
      </c>
      <c r="C36" s="82" t="s">
        <v>31</v>
      </c>
      <c r="D36" s="81" t="s">
        <v>65</v>
      </c>
      <c r="E36" s="83"/>
      <c r="F36" s="84">
        <v>1</v>
      </c>
      <c r="G36" s="84">
        <v>238.07</v>
      </c>
      <c r="H36" s="85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1" t="s">
        <v>64</v>
      </c>
      <c r="C37" s="82" t="s">
        <v>30</v>
      </c>
      <c r="D37" s="81" t="s">
        <v>65</v>
      </c>
      <c r="E37" s="83"/>
      <c r="F37" s="84">
        <v>1</v>
      </c>
      <c r="G37" s="84">
        <v>1413.96</v>
      </c>
      <c r="H37" s="85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5</v>
      </c>
      <c r="B39" s="81" t="s">
        <v>25</v>
      </c>
      <c r="C39" s="82" t="s">
        <v>30</v>
      </c>
      <c r="D39" s="81" t="s">
        <v>239</v>
      </c>
      <c r="E39" s="83"/>
      <c r="F39" s="84">
        <v>2</v>
      </c>
      <c r="G39" s="84">
        <v>1900.37</v>
      </c>
      <c r="H39" s="85">
        <f t="shared" ref="H39" si="1">SUM(F39*G39/1000)</f>
        <v>3.8007399999999998</v>
      </c>
      <c r="I39" s="13">
        <f>G39*0.4</f>
        <v>760.14800000000002</v>
      </c>
      <c r="J39" s="23"/>
    </row>
    <row r="40" spans="1:14" ht="15.75" customHeight="1">
      <c r="A40" s="33">
        <v>6</v>
      </c>
      <c r="B40" s="81" t="s">
        <v>66</v>
      </c>
      <c r="C40" s="82" t="s">
        <v>28</v>
      </c>
      <c r="D40" s="81" t="s">
        <v>168</v>
      </c>
      <c r="E40" s="84">
        <v>48.3</v>
      </c>
      <c r="F40" s="84">
        <f>SUM(E40*30/1000)</f>
        <v>1.4490000000000001</v>
      </c>
      <c r="G40" s="84">
        <v>2616.4899999999998</v>
      </c>
      <c r="H40" s="85">
        <f t="shared" ref="H40:H44" si="2">SUM(F40*G40/1000)</f>
        <v>3.7912940100000001</v>
      </c>
      <c r="I40" s="13">
        <f t="shared" ref="I40:I42" si="3">F40/6*G40</f>
        <v>631.88233500000001</v>
      </c>
      <c r="J40" s="23"/>
    </row>
    <row r="41" spans="1:14" ht="15.75" customHeight="1">
      <c r="A41" s="33">
        <v>7</v>
      </c>
      <c r="B41" s="81" t="s">
        <v>67</v>
      </c>
      <c r="C41" s="82" t="s">
        <v>28</v>
      </c>
      <c r="D41" s="81" t="s">
        <v>169</v>
      </c>
      <c r="E41" s="84">
        <v>48.3</v>
      </c>
      <c r="F41" s="84">
        <f>SUM(E41*155/1000)</f>
        <v>7.4865000000000004</v>
      </c>
      <c r="G41" s="84">
        <v>436.45</v>
      </c>
      <c r="H41" s="85">
        <f t="shared" si="2"/>
        <v>3.2674829250000004</v>
      </c>
      <c r="I41" s="13">
        <f t="shared" si="3"/>
        <v>544.5804875</v>
      </c>
      <c r="J41" s="23"/>
    </row>
    <row r="42" spans="1:14" ht="47.25" customHeight="1">
      <c r="A42" s="33">
        <v>8</v>
      </c>
      <c r="B42" s="81" t="s">
        <v>79</v>
      </c>
      <c r="C42" s="82" t="s">
        <v>100</v>
      </c>
      <c r="D42" s="81" t="s">
        <v>170</v>
      </c>
      <c r="E42" s="84">
        <f>E40</f>
        <v>48.3</v>
      </c>
      <c r="F42" s="84">
        <f>SUM(E42*35/1000)</f>
        <v>1.6904999999999999</v>
      </c>
      <c r="G42" s="84">
        <v>7221.21</v>
      </c>
      <c r="H42" s="85">
        <f t="shared" si="2"/>
        <v>12.207455505</v>
      </c>
      <c r="I42" s="13">
        <f t="shared" si="3"/>
        <v>2034.5759175000001</v>
      </c>
      <c r="J42" s="23"/>
      <c r="L42" s="19"/>
      <c r="M42" s="20"/>
      <c r="N42" s="21"/>
    </row>
    <row r="43" spans="1:14" ht="15.75" hidden="1" customHeight="1">
      <c r="A43" s="33">
        <v>9</v>
      </c>
      <c r="B43" s="81" t="s">
        <v>109</v>
      </c>
      <c r="C43" s="82" t="s">
        <v>100</v>
      </c>
      <c r="D43" s="81" t="s">
        <v>171</v>
      </c>
      <c r="E43" s="84">
        <f>E40</f>
        <v>48.3</v>
      </c>
      <c r="F43" s="84">
        <f>SUM(E43*20/1000)</f>
        <v>0.96599999999999997</v>
      </c>
      <c r="G43" s="84">
        <v>533.45000000000005</v>
      </c>
      <c r="H43" s="85">
        <f t="shared" si="2"/>
        <v>0.51531270000000007</v>
      </c>
      <c r="I43" s="13">
        <f>F43/7.5*G43</f>
        <v>68.708359999999999</v>
      </c>
      <c r="J43" s="23"/>
      <c r="L43" s="19"/>
      <c r="M43" s="20"/>
      <c r="N43" s="21"/>
    </row>
    <row r="44" spans="1:14" ht="15.75" hidden="1" customHeight="1">
      <c r="A44" s="33">
        <v>10</v>
      </c>
      <c r="B44" s="81" t="s">
        <v>68</v>
      </c>
      <c r="C44" s="82" t="s">
        <v>31</v>
      </c>
      <c r="D44" s="81"/>
      <c r="E44" s="83"/>
      <c r="F44" s="84">
        <v>0.5</v>
      </c>
      <c r="G44" s="84">
        <v>992.97</v>
      </c>
      <c r="H44" s="85">
        <f t="shared" si="2"/>
        <v>0.49648500000000001</v>
      </c>
      <c r="I44" s="13">
        <f>F44/7.5*G44</f>
        <v>66.198000000000008</v>
      </c>
      <c r="J44" s="23"/>
      <c r="L44" s="19"/>
      <c r="M44" s="20"/>
      <c r="N44" s="21"/>
    </row>
    <row r="45" spans="1:14" ht="15.75" customHeight="1">
      <c r="A45" s="154" t="s">
        <v>134</v>
      </c>
      <c r="B45" s="155"/>
      <c r="C45" s="155"/>
      <c r="D45" s="155"/>
      <c r="E45" s="155"/>
      <c r="F45" s="155"/>
      <c r="G45" s="155"/>
      <c r="H45" s="155"/>
      <c r="I45" s="156"/>
      <c r="J45" s="23"/>
      <c r="L45" s="19"/>
      <c r="M45" s="20"/>
      <c r="N45" s="21"/>
    </row>
    <row r="46" spans="1:14" ht="15.75" hidden="1" customHeight="1">
      <c r="A46" s="41">
        <v>12</v>
      </c>
      <c r="B46" s="81" t="s">
        <v>111</v>
      </c>
      <c r="C46" s="82" t="s">
        <v>100</v>
      </c>
      <c r="D46" s="81" t="s">
        <v>41</v>
      </c>
      <c r="E46" s="83">
        <v>1044.7</v>
      </c>
      <c r="F46" s="84">
        <f>SUM(E46*2/1000)</f>
        <v>2.0893999999999999</v>
      </c>
      <c r="G46" s="13">
        <v>1283.46</v>
      </c>
      <c r="H46" s="85">
        <f t="shared" ref="H46:H56" si="4">SUM(F46*G46/1000)</f>
        <v>2.6816613240000002</v>
      </c>
      <c r="I46" s="13">
        <f t="shared" ref="I46:I49" si="5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1" t="s">
        <v>34</v>
      </c>
      <c r="C47" s="82" t="s">
        <v>100</v>
      </c>
      <c r="D47" s="81" t="s">
        <v>41</v>
      </c>
      <c r="E47" s="83">
        <v>19.8</v>
      </c>
      <c r="F47" s="84">
        <f>SUM(E47*2/1000)</f>
        <v>3.9600000000000003E-2</v>
      </c>
      <c r="G47" s="13">
        <v>4192.6400000000003</v>
      </c>
      <c r="H47" s="85">
        <f t="shared" si="4"/>
        <v>0.16602854400000003</v>
      </c>
      <c r="I47" s="13">
        <f t="shared" si="5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1" t="s">
        <v>35</v>
      </c>
      <c r="C48" s="82" t="s">
        <v>100</v>
      </c>
      <c r="D48" s="81" t="s">
        <v>41</v>
      </c>
      <c r="E48" s="83">
        <v>660.84</v>
      </c>
      <c r="F48" s="84">
        <f>SUM(E48*2/1000)</f>
        <v>1.32168</v>
      </c>
      <c r="G48" s="13">
        <v>1711.28</v>
      </c>
      <c r="H48" s="85">
        <f t="shared" si="4"/>
        <v>2.2617645503999997</v>
      </c>
      <c r="I48" s="13">
        <f t="shared" si="5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1" t="s">
        <v>36</v>
      </c>
      <c r="C49" s="82" t="s">
        <v>100</v>
      </c>
      <c r="D49" s="81" t="s">
        <v>41</v>
      </c>
      <c r="E49" s="83">
        <v>1156.21</v>
      </c>
      <c r="F49" s="84">
        <f>SUM(E49*2/1000)</f>
        <v>2.3124199999999999</v>
      </c>
      <c r="G49" s="13">
        <v>1179.73</v>
      </c>
      <c r="H49" s="85">
        <f t="shared" si="4"/>
        <v>2.7280312466000001</v>
      </c>
      <c r="I49" s="13">
        <f t="shared" si="5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1" t="s">
        <v>32</v>
      </c>
      <c r="C50" s="82" t="s">
        <v>33</v>
      </c>
      <c r="D50" s="81" t="s">
        <v>138</v>
      </c>
      <c r="E50" s="83">
        <v>17.2</v>
      </c>
      <c r="F50" s="84">
        <f>SUM(E50*2/100)</f>
        <v>0.34399999999999997</v>
      </c>
      <c r="G50" s="13">
        <v>90.61</v>
      </c>
      <c r="H50" s="85">
        <f t="shared" si="4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9</v>
      </c>
      <c r="B51" s="81" t="s">
        <v>55</v>
      </c>
      <c r="C51" s="82" t="s">
        <v>100</v>
      </c>
      <c r="D51" s="81" t="s">
        <v>172</v>
      </c>
      <c r="E51" s="83">
        <v>1839.1</v>
      </c>
      <c r="F51" s="84">
        <f>SUM(E51*5/1000)</f>
        <v>9.1954999999999991</v>
      </c>
      <c r="G51" s="13">
        <v>1711.28</v>
      </c>
      <c r="H51" s="85">
        <f t="shared" si="4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1" t="s">
        <v>112</v>
      </c>
      <c r="C52" s="82" t="s">
        <v>100</v>
      </c>
      <c r="D52" s="81" t="s">
        <v>41</v>
      </c>
      <c r="E52" s="83">
        <f>E51</f>
        <v>1839.1</v>
      </c>
      <c r="F52" s="84">
        <f>SUM(E52*2/1000)</f>
        <v>3.6781999999999999</v>
      </c>
      <c r="G52" s="13">
        <v>1510.06</v>
      </c>
      <c r="H52" s="85">
        <f t="shared" si="4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1" t="s">
        <v>113</v>
      </c>
      <c r="C53" s="82" t="s">
        <v>37</v>
      </c>
      <c r="D53" s="81" t="s">
        <v>41</v>
      </c>
      <c r="E53" s="83">
        <v>9</v>
      </c>
      <c r="F53" s="84">
        <f>SUM(E53*2/100)</f>
        <v>0.18</v>
      </c>
      <c r="G53" s="13">
        <v>3850.4</v>
      </c>
      <c r="H53" s="85">
        <f t="shared" si="4"/>
        <v>0.69307200000000002</v>
      </c>
      <c r="I53" s="13">
        <f t="shared" ref="I53:I54" si="6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1" t="s">
        <v>38</v>
      </c>
      <c r="C54" s="82" t="s">
        <v>39</v>
      </c>
      <c r="D54" s="81" t="s">
        <v>41</v>
      </c>
      <c r="E54" s="83">
        <v>1</v>
      </c>
      <c r="F54" s="84">
        <v>0.02</v>
      </c>
      <c r="G54" s="13">
        <v>7033.13</v>
      </c>
      <c r="H54" s="85">
        <f t="shared" si="4"/>
        <v>0.1406626</v>
      </c>
      <c r="I54" s="13">
        <f t="shared" si="6"/>
        <v>70.331299999999999</v>
      </c>
      <c r="J54" s="23"/>
      <c r="L54" s="19"/>
      <c r="M54" s="20"/>
      <c r="N54" s="21"/>
    </row>
    <row r="55" spans="1:14" ht="15.75" customHeight="1">
      <c r="A55" s="41">
        <v>10</v>
      </c>
      <c r="B55" s="81" t="s">
        <v>139</v>
      </c>
      <c r="C55" s="82" t="s">
        <v>29</v>
      </c>
      <c r="D55" s="124">
        <v>44193</v>
      </c>
      <c r="E55" s="83">
        <v>36</v>
      </c>
      <c r="F55" s="84">
        <f>E55*3</f>
        <v>108</v>
      </c>
      <c r="G55" s="13">
        <v>175.6</v>
      </c>
      <c r="H55" s="85">
        <f t="shared" si="4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11</v>
      </c>
      <c r="B56" s="81" t="s">
        <v>40</v>
      </c>
      <c r="C56" s="82" t="s">
        <v>29</v>
      </c>
      <c r="D56" s="124">
        <v>44193</v>
      </c>
      <c r="E56" s="83">
        <v>36</v>
      </c>
      <c r="F56" s="84">
        <f>E56*3</f>
        <v>108</v>
      </c>
      <c r="G56" s="13">
        <v>81.73</v>
      </c>
      <c r="H56" s="85">
        <f t="shared" si="4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54" t="s">
        <v>135</v>
      </c>
      <c r="B57" s="155"/>
      <c r="C57" s="155"/>
      <c r="D57" s="155"/>
      <c r="E57" s="155"/>
      <c r="F57" s="155"/>
      <c r="G57" s="155"/>
      <c r="H57" s="155"/>
      <c r="I57" s="156"/>
      <c r="J57" s="23"/>
      <c r="L57" s="19"/>
      <c r="M57" s="20"/>
      <c r="N57" s="21"/>
    </row>
    <row r="58" spans="1:14" ht="15.75" hidden="1" customHeight="1">
      <c r="A58" s="108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1" t="s">
        <v>115</v>
      </c>
      <c r="C59" s="82" t="s">
        <v>141</v>
      </c>
      <c r="D59" s="81" t="s">
        <v>70</v>
      </c>
      <c r="E59" s="83">
        <v>12.5</v>
      </c>
      <c r="F59" s="84">
        <f>E59*6/100</f>
        <v>0.75</v>
      </c>
      <c r="G59" s="90">
        <v>2306.62</v>
      </c>
      <c r="H59" s="85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1" t="s">
        <v>82</v>
      </c>
      <c r="C60" s="92" t="s">
        <v>116</v>
      </c>
      <c r="D60" s="37" t="s">
        <v>65</v>
      </c>
      <c r="E60" s="93"/>
      <c r="F60" s="94">
        <v>2</v>
      </c>
      <c r="G60" s="95">
        <v>1501</v>
      </c>
      <c r="H60" s="85">
        <f>F60*G60/1000</f>
        <v>3.0019999999999998</v>
      </c>
      <c r="I60" s="13">
        <f>G60*1.5</f>
        <v>2251.5</v>
      </c>
      <c r="J60" s="23"/>
      <c r="L60" s="19"/>
      <c r="M60" s="20"/>
      <c r="N60" s="21"/>
    </row>
    <row r="61" spans="1:14" ht="15.75" hidden="1" customHeight="1">
      <c r="A61" s="41"/>
      <c r="B61" s="107" t="s">
        <v>43</v>
      </c>
      <c r="C61" s="107"/>
      <c r="D61" s="107"/>
      <c r="E61" s="107"/>
      <c r="F61" s="75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1" t="s">
        <v>44</v>
      </c>
      <c r="C62" s="92" t="s">
        <v>52</v>
      </c>
      <c r="D62" s="91" t="s">
        <v>53</v>
      </c>
      <c r="E62" s="93">
        <v>164</v>
      </c>
      <c r="F62" s="94">
        <f>E62/100</f>
        <v>1.64</v>
      </c>
      <c r="G62" s="95">
        <v>987.51</v>
      </c>
      <c r="H62" s="96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07" t="s">
        <v>45</v>
      </c>
      <c r="C63" s="16"/>
      <c r="D63" s="37"/>
      <c r="E63" s="15"/>
      <c r="F63" s="76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7" t="s">
        <v>46</v>
      </c>
      <c r="C64" s="16" t="s">
        <v>114</v>
      </c>
      <c r="D64" s="97" t="s">
        <v>65</v>
      </c>
      <c r="E64" s="18">
        <v>1</v>
      </c>
      <c r="F64" s="84">
        <f>E64</f>
        <v>1</v>
      </c>
      <c r="G64" s="13">
        <v>276.74</v>
      </c>
      <c r="H64" s="98">
        <f t="shared" ref="H64:H72" si="7">SUM(F64*G64/1000)</f>
        <v>0.27673999999999999</v>
      </c>
      <c r="I64" s="13">
        <v>0</v>
      </c>
    </row>
    <row r="65" spans="1:22" ht="15.75" hidden="1" customHeight="1">
      <c r="A65" s="29">
        <v>29</v>
      </c>
      <c r="B65" s="97" t="s">
        <v>47</v>
      </c>
      <c r="C65" s="16" t="s">
        <v>114</v>
      </c>
      <c r="D65" s="97" t="s">
        <v>65</v>
      </c>
      <c r="E65" s="18">
        <v>3</v>
      </c>
      <c r="F65" s="84">
        <v>3</v>
      </c>
      <c r="G65" s="13">
        <v>94.89</v>
      </c>
      <c r="H65" s="98">
        <f t="shared" si="7"/>
        <v>0.28467000000000003</v>
      </c>
      <c r="I65" s="13">
        <v>0</v>
      </c>
    </row>
    <row r="66" spans="1:22" ht="15.75" hidden="1" customHeight="1">
      <c r="A66" s="29">
        <v>28</v>
      </c>
      <c r="B66" s="97" t="s">
        <v>48</v>
      </c>
      <c r="C66" s="16" t="s">
        <v>117</v>
      </c>
      <c r="D66" s="97" t="s">
        <v>53</v>
      </c>
      <c r="E66" s="83">
        <v>7265</v>
      </c>
      <c r="F66" s="13">
        <f>SUM(E66/100)</f>
        <v>72.650000000000006</v>
      </c>
      <c r="G66" s="13">
        <v>263.99</v>
      </c>
      <c r="H66" s="98">
        <f t="shared" si="7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7" t="s">
        <v>49</v>
      </c>
      <c r="C67" s="16" t="s">
        <v>118</v>
      </c>
      <c r="D67" s="97" t="s">
        <v>53</v>
      </c>
      <c r="E67" s="83">
        <f>E66</f>
        <v>7265</v>
      </c>
      <c r="F67" s="13">
        <f>SUM(E67/1000)</f>
        <v>7.2649999999999997</v>
      </c>
      <c r="G67" s="13">
        <v>205.57</v>
      </c>
      <c r="H67" s="98">
        <f t="shared" si="7"/>
        <v>1.4934660500000001</v>
      </c>
      <c r="I67" s="13">
        <f t="shared" ref="I67:I70" si="8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7" t="s">
        <v>50</v>
      </c>
      <c r="C68" s="16" t="s">
        <v>75</v>
      </c>
      <c r="D68" s="97" t="s">
        <v>53</v>
      </c>
      <c r="E68" s="83">
        <v>1090</v>
      </c>
      <c r="F68" s="13">
        <f>SUM(E68/100)</f>
        <v>10.9</v>
      </c>
      <c r="G68" s="13">
        <v>2581.5300000000002</v>
      </c>
      <c r="H68" s="98">
        <f t="shared" si="7"/>
        <v>28.138677000000005</v>
      </c>
      <c r="I68" s="13">
        <f t="shared" si="8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99" t="s">
        <v>119</v>
      </c>
      <c r="C69" s="16" t="s">
        <v>31</v>
      </c>
      <c r="D69" s="97"/>
      <c r="E69" s="83">
        <v>7.6</v>
      </c>
      <c r="F69" s="13">
        <f>SUM(E69)</f>
        <v>7.6</v>
      </c>
      <c r="G69" s="13">
        <v>47.45</v>
      </c>
      <c r="H69" s="98">
        <f t="shared" si="7"/>
        <v>0.36062</v>
      </c>
      <c r="I69" s="13">
        <f t="shared" si="8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99" t="s">
        <v>142</v>
      </c>
      <c r="C70" s="16" t="s">
        <v>31</v>
      </c>
      <c r="D70" s="97"/>
      <c r="E70" s="83">
        <f>E69</f>
        <v>7.6</v>
      </c>
      <c r="F70" s="13">
        <f>SUM(E70)</f>
        <v>7.6</v>
      </c>
      <c r="G70" s="13">
        <v>44.27</v>
      </c>
      <c r="H70" s="98">
        <f t="shared" si="7"/>
        <v>0.33645199999999997</v>
      </c>
      <c r="I70" s="13">
        <f t="shared" si="8"/>
        <v>336.452</v>
      </c>
      <c r="J70" s="5"/>
      <c r="K70" s="5"/>
      <c r="L70" s="5"/>
      <c r="M70" s="5"/>
      <c r="N70" s="5"/>
      <c r="O70" s="5"/>
      <c r="P70" s="5"/>
      <c r="Q70" s="5"/>
      <c r="R70" s="138"/>
      <c r="S70" s="138"/>
      <c r="T70" s="138"/>
      <c r="U70" s="138"/>
    </row>
    <row r="71" spans="1:22" ht="15.75" hidden="1" customHeight="1">
      <c r="A71" s="29">
        <v>18</v>
      </c>
      <c r="B71" s="97" t="s">
        <v>56</v>
      </c>
      <c r="C71" s="16" t="s">
        <v>57</v>
      </c>
      <c r="D71" s="97" t="s">
        <v>53</v>
      </c>
      <c r="E71" s="18">
        <v>2</v>
      </c>
      <c r="F71" s="84">
        <f>SUM(E71)</f>
        <v>2</v>
      </c>
      <c r="G71" s="13">
        <v>62.07</v>
      </c>
      <c r="H71" s="98">
        <f t="shared" si="7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12</v>
      </c>
      <c r="B72" s="97" t="s">
        <v>83</v>
      </c>
      <c r="C72" s="41" t="s">
        <v>129</v>
      </c>
      <c r="D72" s="37"/>
      <c r="E72" s="17">
        <v>1839.1</v>
      </c>
      <c r="F72" s="100">
        <f>SUM(E72*12)</f>
        <v>22069.199999999997</v>
      </c>
      <c r="G72" s="13">
        <v>2.16</v>
      </c>
      <c r="H72" s="98">
        <f t="shared" si="7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71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7" t="s">
        <v>121</v>
      </c>
      <c r="C74" s="16" t="s">
        <v>122</v>
      </c>
      <c r="D74" s="97" t="s">
        <v>65</v>
      </c>
      <c r="E74" s="18">
        <v>1</v>
      </c>
      <c r="F74" s="13">
        <f>E74</f>
        <v>1</v>
      </c>
      <c r="G74" s="13">
        <v>976.4</v>
      </c>
      <c r="H74" s="98">
        <f t="shared" ref="H74:H78" si="9">SUM(F74*G74/1000)</f>
        <v>0.97639999999999993</v>
      </c>
      <c r="I74" s="13">
        <v>0</v>
      </c>
    </row>
    <row r="75" spans="1:22" ht="15.75" hidden="1" customHeight="1">
      <c r="A75" s="29"/>
      <c r="B75" s="97" t="s">
        <v>123</v>
      </c>
      <c r="C75" s="16" t="s">
        <v>124</v>
      </c>
      <c r="D75" s="97"/>
      <c r="E75" s="18">
        <v>1</v>
      </c>
      <c r="F75" s="13">
        <v>1</v>
      </c>
      <c r="G75" s="13">
        <v>650</v>
      </c>
      <c r="H75" s="98">
        <f t="shared" si="9"/>
        <v>0.65</v>
      </c>
      <c r="I75" s="13">
        <v>0</v>
      </c>
    </row>
    <row r="76" spans="1:22" ht="15.75" hidden="1" customHeight="1">
      <c r="A76" s="29"/>
      <c r="B76" s="97" t="s">
        <v>72</v>
      </c>
      <c r="C76" s="16" t="s">
        <v>143</v>
      </c>
      <c r="D76" s="97" t="s">
        <v>65</v>
      </c>
      <c r="E76" s="18">
        <v>3</v>
      </c>
      <c r="F76" s="13">
        <f>E76/10</f>
        <v>0.3</v>
      </c>
      <c r="G76" s="13">
        <v>624.16999999999996</v>
      </c>
      <c r="H76" s="98">
        <f t="shared" si="9"/>
        <v>0.18725099999999997</v>
      </c>
      <c r="I76" s="13">
        <v>0</v>
      </c>
    </row>
    <row r="77" spans="1:22" ht="15.75" hidden="1" customHeight="1">
      <c r="A77" s="29"/>
      <c r="B77" s="97" t="s">
        <v>73</v>
      </c>
      <c r="C77" s="16" t="s">
        <v>29</v>
      </c>
      <c r="D77" s="97" t="s">
        <v>65</v>
      </c>
      <c r="E77" s="18">
        <v>1</v>
      </c>
      <c r="F77" s="13">
        <v>1</v>
      </c>
      <c r="G77" s="13">
        <v>1061.4100000000001</v>
      </c>
      <c r="H77" s="98">
        <f t="shared" si="9"/>
        <v>1.0614100000000002</v>
      </c>
      <c r="I77" s="13">
        <v>0</v>
      </c>
    </row>
    <row r="78" spans="1:22" ht="15.75" hidden="1" customHeight="1">
      <c r="A78" s="29">
        <v>17</v>
      </c>
      <c r="B78" s="97" t="s">
        <v>84</v>
      </c>
      <c r="C78" s="16" t="s">
        <v>29</v>
      </c>
      <c r="D78" s="97" t="s">
        <v>65</v>
      </c>
      <c r="E78" s="18">
        <v>1</v>
      </c>
      <c r="F78" s="84">
        <f>SUM(E78)</f>
        <v>1</v>
      </c>
      <c r="G78" s="13">
        <v>446.12</v>
      </c>
      <c r="H78" s="98">
        <f t="shared" si="9"/>
        <v>0.44612000000000002</v>
      </c>
      <c r="I78" s="13">
        <f>G78</f>
        <v>446.12</v>
      </c>
    </row>
    <row r="79" spans="1:22" ht="15.75" hidden="1" customHeight="1">
      <c r="A79" s="29"/>
      <c r="B79" s="50" t="s">
        <v>74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125</v>
      </c>
      <c r="C80" s="16" t="s">
        <v>75</v>
      </c>
      <c r="D80" s="97"/>
      <c r="E80" s="18"/>
      <c r="F80" s="13">
        <v>1.3</v>
      </c>
      <c r="G80" s="13">
        <v>3433.68</v>
      </c>
      <c r="H80" s="98">
        <f t="shared" ref="H80" si="10">SUM(F80*G80/1000)</f>
        <v>4.4637839999999995</v>
      </c>
      <c r="I80" s="13">
        <v>0</v>
      </c>
    </row>
    <row r="81" spans="1:9" ht="15.75" hidden="1" customHeight="1">
      <c r="A81" s="108"/>
      <c r="B81" s="107" t="s">
        <v>120</v>
      </c>
      <c r="C81" s="107"/>
      <c r="D81" s="107"/>
      <c r="E81" s="107"/>
      <c r="F81" s="107"/>
      <c r="G81" s="107"/>
      <c r="H81" s="107"/>
      <c r="I81" s="18"/>
    </row>
    <row r="82" spans="1:9" ht="15.75" hidden="1" customHeight="1">
      <c r="A82" s="29">
        <v>15</v>
      </c>
      <c r="B82" s="81" t="s">
        <v>87</v>
      </c>
      <c r="C82" s="16"/>
      <c r="D82" s="97"/>
      <c r="E82" s="101"/>
      <c r="F82" s="13">
        <v>1</v>
      </c>
      <c r="G82" s="13">
        <v>13707.8</v>
      </c>
      <c r="H82" s="98">
        <f>G82*F82/1000</f>
        <v>13.707799999999999</v>
      </c>
      <c r="I82" s="13">
        <f>G82</f>
        <v>13707.8</v>
      </c>
    </row>
    <row r="83" spans="1:9" ht="15.75" customHeight="1">
      <c r="A83" s="140" t="s">
        <v>136</v>
      </c>
      <c r="B83" s="141"/>
      <c r="C83" s="141"/>
      <c r="D83" s="141"/>
      <c r="E83" s="141"/>
      <c r="F83" s="141"/>
      <c r="G83" s="141"/>
      <c r="H83" s="141"/>
      <c r="I83" s="142"/>
    </row>
    <row r="84" spans="1:9" ht="15.75" customHeight="1">
      <c r="A84" s="29">
        <v>13</v>
      </c>
      <c r="B84" s="81" t="s">
        <v>126</v>
      </c>
      <c r="C84" s="16" t="s">
        <v>54</v>
      </c>
      <c r="D84" s="102"/>
      <c r="E84" s="13">
        <v>1839.1</v>
      </c>
      <c r="F84" s="13">
        <f>SUM(E84*12)</f>
        <v>22069.199999999997</v>
      </c>
      <c r="G84" s="13">
        <v>2.95</v>
      </c>
      <c r="H84" s="98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14</v>
      </c>
      <c r="B85" s="97" t="s">
        <v>76</v>
      </c>
      <c r="C85" s="16"/>
      <c r="D85" s="102"/>
      <c r="E85" s="83">
        <v>1839.1</v>
      </c>
      <c r="F85" s="13">
        <f>E85*12</f>
        <v>22069.199999999997</v>
      </c>
      <c r="G85" s="13">
        <v>3.05</v>
      </c>
      <c r="H85" s="98">
        <f>F85*G85/1000</f>
        <v>67.311059999999983</v>
      </c>
      <c r="I85" s="13">
        <f>F85/12*G85</f>
        <v>5609.2549999999983</v>
      </c>
    </row>
    <row r="86" spans="1:9" ht="31.5" hidden="1" customHeight="1">
      <c r="A86" s="29">
        <v>17</v>
      </c>
      <c r="B86" s="97" t="s">
        <v>130</v>
      </c>
      <c r="C86" s="16" t="s">
        <v>131</v>
      </c>
      <c r="D86" s="102" t="s">
        <v>144</v>
      </c>
      <c r="E86" s="101"/>
      <c r="F86" s="13"/>
      <c r="G86" s="13"/>
      <c r="H86" s="98">
        <v>59.113</v>
      </c>
      <c r="I86" s="13">
        <v>4926.08</v>
      </c>
    </row>
    <row r="87" spans="1:9" ht="15.75" customHeight="1">
      <c r="A87" s="108"/>
      <c r="B87" s="40" t="s">
        <v>78</v>
      </c>
      <c r="C87" s="41"/>
      <c r="D87" s="15"/>
      <c r="E87" s="15"/>
      <c r="F87" s="15"/>
      <c r="G87" s="18"/>
      <c r="H87" s="18"/>
      <c r="I87" s="31">
        <f>I85+I84+I72+I56+I55+I51+I42+I41+I40+I39+I27+I18+I17+I16</f>
        <v>37787.72094466666</v>
      </c>
    </row>
    <row r="88" spans="1:9" ht="15.75" customHeight="1">
      <c r="A88" s="143" t="s">
        <v>59</v>
      </c>
      <c r="B88" s="144"/>
      <c r="C88" s="144"/>
      <c r="D88" s="144"/>
      <c r="E88" s="144"/>
      <c r="F88" s="144"/>
      <c r="G88" s="144"/>
      <c r="H88" s="144"/>
      <c r="I88" s="145"/>
    </row>
    <row r="89" spans="1:9" ht="15.75" customHeight="1">
      <c r="A89" s="29">
        <v>15</v>
      </c>
      <c r="B89" s="37" t="s">
        <v>158</v>
      </c>
      <c r="C89" s="38" t="s">
        <v>159</v>
      </c>
      <c r="D89" s="52"/>
      <c r="E89" s="13"/>
      <c r="F89" s="13">
        <v>2</v>
      </c>
      <c r="G89" s="36">
        <v>1.4</v>
      </c>
      <c r="H89" s="98">
        <f t="shared" ref="H89" si="11">G89*F89/1000</f>
        <v>2.8E-3</v>
      </c>
      <c r="I89" s="104">
        <f>G89*12</f>
        <v>16.799999999999997</v>
      </c>
    </row>
    <row r="90" spans="1:9" ht="31.5" customHeight="1">
      <c r="A90" s="29">
        <v>16</v>
      </c>
      <c r="B90" s="119" t="s">
        <v>162</v>
      </c>
      <c r="C90" s="65" t="s">
        <v>28</v>
      </c>
      <c r="D90" s="52"/>
      <c r="E90" s="13"/>
      <c r="F90" s="13"/>
      <c r="G90" s="118">
        <v>20547.34</v>
      </c>
      <c r="H90" s="98"/>
      <c r="I90" s="104">
        <f>G90*0.599*6/1000</f>
        <v>73.847139960000007</v>
      </c>
    </row>
    <row r="91" spans="1:9" ht="15" customHeight="1">
      <c r="A91" s="29">
        <v>17</v>
      </c>
      <c r="B91" s="119" t="s">
        <v>221</v>
      </c>
      <c r="C91" s="65" t="s">
        <v>39</v>
      </c>
      <c r="D91" s="126" t="s">
        <v>172</v>
      </c>
      <c r="E91" s="36"/>
      <c r="F91" s="36">
        <v>0.03</v>
      </c>
      <c r="G91" s="36">
        <v>27139.18</v>
      </c>
      <c r="H91" s="98"/>
      <c r="I91" s="104">
        <v>0</v>
      </c>
    </row>
    <row r="92" spans="1:9" ht="31.5" customHeight="1">
      <c r="A92" s="29">
        <v>18</v>
      </c>
      <c r="B92" s="119" t="s">
        <v>223</v>
      </c>
      <c r="C92" s="65" t="s">
        <v>37</v>
      </c>
      <c r="D92" s="126" t="s">
        <v>172</v>
      </c>
      <c r="E92" s="36"/>
      <c r="F92" s="36">
        <v>0.02</v>
      </c>
      <c r="G92" s="36">
        <v>4070.89</v>
      </c>
      <c r="H92" s="98"/>
      <c r="I92" s="104">
        <v>0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SUM(I89:I92)</f>
        <v>90.647139960000004</v>
      </c>
    </row>
    <row r="94" spans="1:9" ht="15.75" customHeight="1">
      <c r="A94" s="29"/>
      <c r="B94" s="52" t="s">
        <v>77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137</v>
      </c>
      <c r="C95" s="34"/>
      <c r="D95" s="34"/>
      <c r="E95" s="34"/>
      <c r="F95" s="34"/>
      <c r="G95" s="34"/>
      <c r="H95" s="34"/>
      <c r="I95" s="45">
        <f>I87+I93</f>
        <v>37878.368084626658</v>
      </c>
    </row>
    <row r="96" spans="1:9" ht="15.75">
      <c r="A96" s="146" t="s">
        <v>250</v>
      </c>
      <c r="B96" s="146"/>
      <c r="C96" s="146"/>
      <c r="D96" s="146"/>
      <c r="E96" s="146"/>
      <c r="F96" s="146"/>
      <c r="G96" s="146"/>
      <c r="H96" s="146"/>
      <c r="I96" s="146"/>
    </row>
    <row r="97" spans="1:9" ht="15.75">
      <c r="A97" s="61"/>
      <c r="B97" s="130" t="s">
        <v>251</v>
      </c>
      <c r="C97" s="130"/>
      <c r="D97" s="130"/>
      <c r="E97" s="130"/>
      <c r="F97" s="130"/>
      <c r="G97" s="130"/>
      <c r="H97" s="79"/>
      <c r="I97" s="3"/>
    </row>
    <row r="98" spans="1:9">
      <c r="A98" s="105"/>
      <c r="B98" s="131" t="s">
        <v>6</v>
      </c>
      <c r="C98" s="131"/>
      <c r="D98" s="131"/>
      <c r="E98" s="131"/>
      <c r="F98" s="131"/>
      <c r="G98" s="131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35" t="s">
        <v>7</v>
      </c>
      <c r="B100" s="135"/>
      <c r="C100" s="135"/>
      <c r="D100" s="135"/>
      <c r="E100" s="135"/>
      <c r="F100" s="135"/>
      <c r="G100" s="135"/>
      <c r="H100" s="135"/>
      <c r="I100" s="135"/>
    </row>
    <row r="101" spans="1:9" ht="15.75">
      <c r="A101" s="135" t="s">
        <v>8</v>
      </c>
      <c r="B101" s="135"/>
      <c r="C101" s="135"/>
      <c r="D101" s="135"/>
      <c r="E101" s="135"/>
      <c r="F101" s="135"/>
      <c r="G101" s="135"/>
      <c r="H101" s="135"/>
      <c r="I101" s="135"/>
    </row>
    <row r="102" spans="1:9" ht="15.75">
      <c r="A102" s="132" t="s">
        <v>60</v>
      </c>
      <c r="B102" s="132"/>
      <c r="C102" s="132"/>
      <c r="D102" s="132"/>
      <c r="E102" s="132"/>
      <c r="F102" s="132"/>
      <c r="G102" s="132"/>
      <c r="H102" s="132"/>
      <c r="I102" s="132"/>
    </row>
    <row r="103" spans="1:9" ht="15.75">
      <c r="A103" s="11"/>
    </row>
    <row r="104" spans="1:9" ht="15.75">
      <c r="A104" s="133" t="s">
        <v>9</v>
      </c>
      <c r="B104" s="133"/>
      <c r="C104" s="133"/>
      <c r="D104" s="133"/>
      <c r="E104" s="133"/>
      <c r="F104" s="133"/>
      <c r="G104" s="133"/>
      <c r="H104" s="133"/>
      <c r="I104" s="133"/>
    </row>
    <row r="105" spans="1:9" ht="15.75">
      <c r="A105" s="4"/>
    </row>
    <row r="106" spans="1:9" ht="15.75">
      <c r="B106" s="110" t="s">
        <v>10</v>
      </c>
      <c r="C106" s="134" t="s">
        <v>235</v>
      </c>
      <c r="D106" s="134"/>
      <c r="E106" s="134"/>
      <c r="F106" s="77"/>
      <c r="I106" s="109"/>
    </row>
    <row r="107" spans="1:9">
      <c r="A107" s="105"/>
      <c r="C107" s="131" t="s">
        <v>11</v>
      </c>
      <c r="D107" s="131"/>
      <c r="E107" s="131"/>
      <c r="F107" s="24"/>
      <c r="I107" s="111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10" t="s">
        <v>13</v>
      </c>
      <c r="C109" s="137"/>
      <c r="D109" s="137"/>
      <c r="E109" s="137"/>
      <c r="F109" s="78"/>
      <c r="I109" s="109"/>
    </row>
    <row r="110" spans="1:9">
      <c r="A110" s="105"/>
      <c r="C110" s="138" t="s">
        <v>11</v>
      </c>
      <c r="D110" s="138"/>
      <c r="E110" s="138"/>
      <c r="F110" s="105"/>
      <c r="I110" s="111" t="s">
        <v>12</v>
      </c>
    </row>
    <row r="111" spans="1:9" ht="15.75">
      <c r="A111" s="4" t="s">
        <v>14</v>
      </c>
    </row>
    <row r="112" spans="1:9">
      <c r="A112" s="139" t="s">
        <v>15</v>
      </c>
      <c r="B112" s="139"/>
      <c r="C112" s="139"/>
      <c r="D112" s="139"/>
      <c r="E112" s="139"/>
      <c r="F112" s="139"/>
      <c r="G112" s="139"/>
      <c r="H112" s="139"/>
      <c r="I112" s="139"/>
    </row>
    <row r="113" spans="1:9" ht="45" customHeight="1">
      <c r="A113" s="136" t="s">
        <v>16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30" customHeight="1">
      <c r="A114" s="136" t="s">
        <v>17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30" customHeight="1">
      <c r="A115" s="136" t="s">
        <v>21</v>
      </c>
      <c r="B115" s="136"/>
      <c r="C115" s="136"/>
      <c r="D115" s="136"/>
      <c r="E115" s="136"/>
      <c r="F115" s="136"/>
      <c r="G115" s="136"/>
      <c r="H115" s="136"/>
      <c r="I115" s="136"/>
    </row>
    <row r="116" spans="1:9" ht="15.75">
      <c r="A116" s="136" t="s">
        <v>20</v>
      </c>
      <c r="B116" s="136"/>
      <c r="C116" s="136"/>
      <c r="D116" s="136"/>
      <c r="E116" s="136"/>
      <c r="F116" s="136"/>
      <c r="G116" s="136"/>
      <c r="H116" s="136"/>
      <c r="I116" s="136"/>
    </row>
  </sheetData>
  <autoFilter ref="I12:I65"/>
  <mergeCells count="29">
    <mergeCell ref="A112:I112"/>
    <mergeCell ref="A113:I113"/>
    <mergeCell ref="A114:I114"/>
    <mergeCell ref="A115:I115"/>
    <mergeCell ref="A116:I116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50" workbookViewId="0">
      <selection activeCell="G90" sqref="G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145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183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43889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99</v>
      </c>
      <c r="C30" s="82" t="s">
        <v>100</v>
      </c>
      <c r="D30" s="81" t="s">
        <v>101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102</v>
      </c>
      <c r="C31" s="82" t="s">
        <v>100</v>
      </c>
      <c r="D31" s="81" t="s">
        <v>103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104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105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15.75" customHeight="1">
      <c r="A38" s="33">
        <v>5</v>
      </c>
      <c r="B38" s="81" t="s">
        <v>25</v>
      </c>
      <c r="C38" s="82" t="s">
        <v>30</v>
      </c>
      <c r="D38" s="81" t="s">
        <v>184</v>
      </c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>G38*0.5</f>
        <v>950.18499999999995</v>
      </c>
      <c r="J38" s="23"/>
    </row>
    <row r="39" spans="1:14" ht="15.75" customHeight="1">
      <c r="A39" s="33">
        <v>6</v>
      </c>
      <c r="B39" s="81" t="s">
        <v>66</v>
      </c>
      <c r="C39" s="82" t="s">
        <v>28</v>
      </c>
      <c r="D39" s="81" t="s">
        <v>168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ref="I39:I41" si="2">F39/6*G39</f>
        <v>631.88233500000001</v>
      </c>
      <c r="J39" s="23"/>
    </row>
    <row r="40" spans="1:14" ht="15.75" customHeight="1">
      <c r="A40" s="33">
        <v>7</v>
      </c>
      <c r="B40" s="81" t="s">
        <v>67</v>
      </c>
      <c r="C40" s="82" t="s">
        <v>28</v>
      </c>
      <c r="D40" s="81" t="s">
        <v>169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8</v>
      </c>
      <c r="B41" s="81" t="s">
        <v>79</v>
      </c>
      <c r="C41" s="82" t="s">
        <v>100</v>
      </c>
      <c r="D41" s="81" t="s">
        <v>170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hidden="1" customHeight="1">
      <c r="A42" s="33">
        <v>9</v>
      </c>
      <c r="B42" s="81" t="s">
        <v>109</v>
      </c>
      <c r="C42" s="82" t="s">
        <v>100</v>
      </c>
      <c r="D42" s="81" t="s">
        <v>69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F42/7.5*G42</f>
        <v>68.708359999999999</v>
      </c>
      <c r="J42" s="23"/>
      <c r="L42" s="19"/>
      <c r="M42" s="20"/>
      <c r="N42" s="21"/>
    </row>
    <row r="43" spans="1:14" ht="15.75" hidden="1" customHeight="1">
      <c r="A43" s="33">
        <v>10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F43/7.5*G43</f>
        <v>66.198000000000008</v>
      </c>
      <c r="J43" s="23"/>
      <c r="L43" s="19"/>
      <c r="M43" s="20"/>
      <c r="N43" s="21"/>
    </row>
    <row r="44" spans="1:14" ht="15.75" customHeight="1">
      <c r="A44" s="154" t="s">
        <v>134</v>
      </c>
      <c r="B44" s="155"/>
      <c r="C44" s="155"/>
      <c r="D44" s="155"/>
      <c r="E44" s="155"/>
      <c r="F44" s="155"/>
      <c r="G44" s="155"/>
      <c r="H44" s="155"/>
      <c r="I44" s="156"/>
      <c r="J44" s="23"/>
      <c r="L44" s="19"/>
      <c r="M44" s="20"/>
      <c r="N44" s="21"/>
    </row>
    <row r="45" spans="1:14" ht="15.75" hidden="1" customHeight="1">
      <c r="A45" s="41">
        <v>15</v>
      </c>
      <c r="B45" s="81" t="s">
        <v>111</v>
      </c>
      <c r="C45" s="82" t="s">
        <v>100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41"/>
      <c r="B46" s="81" t="s">
        <v>34</v>
      </c>
      <c r="C46" s="82" t="s">
        <v>100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15.75" hidden="1" customHeight="1">
      <c r="A47" s="41">
        <v>16</v>
      </c>
      <c r="B47" s="81" t="s">
        <v>35</v>
      </c>
      <c r="C47" s="82" t="s">
        <v>100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17</v>
      </c>
      <c r="B48" s="81" t="s">
        <v>36</v>
      </c>
      <c r="C48" s="82" t="s">
        <v>100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18</v>
      </c>
      <c r="B49" s="81" t="s">
        <v>32</v>
      </c>
      <c r="C49" s="82" t="s">
        <v>33</v>
      </c>
      <c r="D49" s="81" t="s">
        <v>138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15.75" customHeight="1">
      <c r="A50" s="41">
        <v>9</v>
      </c>
      <c r="B50" s="81" t="s">
        <v>55</v>
      </c>
      <c r="C50" s="82" t="s">
        <v>100</v>
      </c>
      <c r="D50" s="81" t="s">
        <v>172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1.5" hidden="1" customHeight="1">
      <c r="A51" s="41">
        <v>13</v>
      </c>
      <c r="B51" s="81" t="s">
        <v>112</v>
      </c>
      <c r="C51" s="82" t="s">
        <v>100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v>0</v>
      </c>
      <c r="J51" s="23"/>
      <c r="L51" s="19"/>
      <c r="M51" s="20"/>
      <c r="N51" s="21"/>
    </row>
    <row r="52" spans="1:14" ht="31.5" hidden="1" customHeight="1">
      <c r="A52" s="41">
        <v>14</v>
      </c>
      <c r="B52" s="81" t="s">
        <v>113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v>0</v>
      </c>
      <c r="J52" s="23"/>
      <c r="L52" s="19"/>
      <c r="M52" s="20"/>
      <c r="N52" s="21"/>
    </row>
    <row r="53" spans="1:14" ht="15.75" hidden="1" customHeight="1">
      <c r="A53" s="41">
        <v>15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13</v>
      </c>
      <c r="B54" s="81" t="s">
        <v>139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15.75" hidden="1" customHeight="1">
      <c r="A55" s="41">
        <v>14</v>
      </c>
      <c r="B55" s="81" t="s">
        <v>40</v>
      </c>
      <c r="C55" s="82" t="s">
        <v>29</v>
      </c>
      <c r="D55" s="81" t="s">
        <v>69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4" t="s">
        <v>135</v>
      </c>
      <c r="B56" s="155"/>
      <c r="C56" s="155"/>
      <c r="D56" s="155"/>
      <c r="E56" s="155"/>
      <c r="F56" s="155"/>
      <c r="G56" s="155"/>
      <c r="H56" s="155"/>
      <c r="I56" s="156"/>
      <c r="J56" s="23"/>
      <c r="L56" s="19"/>
      <c r="M56" s="20"/>
      <c r="N56" s="21"/>
    </row>
    <row r="57" spans="1:14" ht="16.5" customHeight="1">
      <c r="A57" s="80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3" customHeight="1">
      <c r="A58" s="41">
        <v>10</v>
      </c>
      <c r="B58" s="81" t="s">
        <v>115</v>
      </c>
      <c r="C58" s="82" t="s">
        <v>52</v>
      </c>
      <c r="D58" s="81"/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G58*0.09</f>
        <v>207.59579999999997</v>
      </c>
      <c r="J58" s="23"/>
      <c r="L58" s="19"/>
      <c r="M58" s="20"/>
      <c r="N58" s="21"/>
    </row>
    <row r="59" spans="1:14" ht="18" hidden="1" customHeight="1">
      <c r="A59" s="41"/>
      <c r="B59" s="91" t="s">
        <v>82</v>
      </c>
      <c r="C59" s="92" t="s">
        <v>116</v>
      </c>
      <c r="D59" s="37" t="s">
        <v>65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v>0</v>
      </c>
      <c r="J59" s="23"/>
      <c r="L59" s="19"/>
      <c r="M59" s="20"/>
      <c r="N59" s="21"/>
    </row>
    <row r="60" spans="1:14" ht="15.75" hidden="1" customHeight="1">
      <c r="A60" s="41"/>
      <c r="B60" s="74" t="s">
        <v>43</v>
      </c>
      <c r="C60" s="74"/>
      <c r="D60" s="74"/>
      <c r="E60" s="74"/>
      <c r="F60" s="75"/>
      <c r="G60" s="63"/>
      <c r="H60" s="63"/>
      <c r="I60" s="35"/>
      <c r="J60" s="23"/>
      <c r="L60" s="19"/>
      <c r="M60" s="20"/>
      <c r="N60" s="21"/>
    </row>
    <row r="61" spans="1:14" ht="18" hidden="1" customHeight="1">
      <c r="A61" s="41">
        <v>27</v>
      </c>
      <c r="B61" s="91" t="s">
        <v>44</v>
      </c>
      <c r="C61" s="92" t="s">
        <v>52</v>
      </c>
      <c r="D61" s="91" t="s">
        <v>53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v>0</v>
      </c>
      <c r="J61" s="23"/>
      <c r="L61" s="19"/>
      <c r="M61" s="20"/>
      <c r="N61" s="21"/>
    </row>
    <row r="62" spans="1:14" ht="15.75" hidden="1" customHeight="1">
      <c r="A62" s="41"/>
      <c r="B62" s="74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114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2" si="4">SUM(F63*G63/1000)</f>
        <v>0.27673999999999999</v>
      </c>
      <c r="I63" s="13">
        <v>0</v>
      </c>
    </row>
    <row r="64" spans="1:14" ht="15.75" hidden="1" customHeight="1">
      <c r="A64" s="29">
        <v>29</v>
      </c>
      <c r="B64" s="97" t="s">
        <v>47</v>
      </c>
      <c r="C64" s="16" t="s">
        <v>114</v>
      </c>
      <c r="D64" s="97" t="s">
        <v>65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v>0</v>
      </c>
    </row>
    <row r="65" spans="1:22" ht="15.75" hidden="1" customHeight="1">
      <c r="A65" s="29">
        <v>8</v>
      </c>
      <c r="B65" s="97" t="s">
        <v>48</v>
      </c>
      <c r="C65" s="16" t="s">
        <v>117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118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119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142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38"/>
      <c r="S69" s="138"/>
      <c r="T69" s="138"/>
      <c r="U69" s="138"/>
    </row>
    <row r="70" spans="1:22" ht="19.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9.5" customHeight="1">
      <c r="A71" s="29"/>
      <c r="B71" s="97"/>
      <c r="C71" s="16"/>
      <c r="D71" s="97"/>
      <c r="E71" s="18"/>
      <c r="F71" s="84"/>
      <c r="G71" s="13"/>
      <c r="H71" s="98"/>
      <c r="I71" s="1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11</v>
      </c>
      <c r="B72" s="97" t="s">
        <v>83</v>
      </c>
      <c r="C72" s="41" t="s">
        <v>129</v>
      </c>
      <c r="D72" s="37"/>
      <c r="E72" s="17">
        <v>1839.1</v>
      </c>
      <c r="F72" s="100">
        <f>SUM(E72*12)</f>
        <v>22069.199999999997</v>
      </c>
      <c r="G72" s="13">
        <v>2.16</v>
      </c>
      <c r="H72" s="98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71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7" t="s">
        <v>121</v>
      </c>
      <c r="C74" s="16" t="s">
        <v>122</v>
      </c>
      <c r="D74" s="97" t="s">
        <v>65</v>
      </c>
      <c r="E74" s="18">
        <v>1</v>
      </c>
      <c r="F74" s="13">
        <f>E74</f>
        <v>1</v>
      </c>
      <c r="G74" s="13">
        <v>976.4</v>
      </c>
      <c r="H74" s="98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7" t="s">
        <v>123</v>
      </c>
      <c r="C75" s="16" t="s">
        <v>124</v>
      </c>
      <c r="D75" s="97"/>
      <c r="E75" s="18">
        <v>1</v>
      </c>
      <c r="F75" s="13">
        <v>1</v>
      </c>
      <c r="G75" s="13">
        <v>650</v>
      </c>
      <c r="H75" s="98">
        <f t="shared" si="5"/>
        <v>0.65</v>
      </c>
      <c r="I75" s="13">
        <v>0</v>
      </c>
    </row>
    <row r="76" spans="1:22" ht="15.75" hidden="1" customHeight="1">
      <c r="A76" s="29"/>
      <c r="B76" s="97" t="s">
        <v>72</v>
      </c>
      <c r="C76" s="16" t="s">
        <v>143</v>
      </c>
      <c r="D76" s="97" t="s">
        <v>65</v>
      </c>
      <c r="E76" s="18">
        <v>3</v>
      </c>
      <c r="F76" s="13">
        <f>E76/10</f>
        <v>0.3</v>
      </c>
      <c r="G76" s="13">
        <v>624.16999999999996</v>
      </c>
      <c r="H76" s="98">
        <f t="shared" si="5"/>
        <v>0.18725099999999997</v>
      </c>
      <c r="I76" s="13">
        <v>0</v>
      </c>
    </row>
    <row r="77" spans="1:22" ht="15.75" hidden="1" customHeight="1">
      <c r="A77" s="29"/>
      <c r="B77" s="97" t="s">
        <v>73</v>
      </c>
      <c r="C77" s="16" t="s">
        <v>29</v>
      </c>
      <c r="D77" s="97" t="s">
        <v>65</v>
      </c>
      <c r="E77" s="18">
        <v>1</v>
      </c>
      <c r="F77" s="13">
        <v>1</v>
      </c>
      <c r="G77" s="13">
        <v>1061.4100000000001</v>
      </c>
      <c r="H77" s="98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7" t="s">
        <v>84</v>
      </c>
      <c r="C78" s="16" t="s">
        <v>29</v>
      </c>
      <c r="D78" s="97" t="s">
        <v>65</v>
      </c>
      <c r="E78" s="18">
        <v>1</v>
      </c>
      <c r="F78" s="84">
        <f>SUM(E78)</f>
        <v>1</v>
      </c>
      <c r="G78" s="13">
        <v>446.12</v>
      </c>
      <c r="H78" s="98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74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125</v>
      </c>
      <c r="C80" s="16" t="s">
        <v>75</v>
      </c>
      <c r="D80" s="97"/>
      <c r="E80" s="18"/>
      <c r="F80" s="13">
        <v>1.3</v>
      </c>
      <c r="G80" s="13">
        <v>3433.68</v>
      </c>
      <c r="H80" s="98">
        <f t="shared" ref="H80" si="6">SUM(F80*G80/1000)</f>
        <v>4.4637839999999995</v>
      </c>
      <c r="I80" s="13">
        <v>0</v>
      </c>
    </row>
    <row r="81" spans="1:9" ht="15.75" hidden="1" customHeight="1">
      <c r="A81" s="80"/>
      <c r="B81" s="74" t="s">
        <v>120</v>
      </c>
      <c r="C81" s="74"/>
      <c r="D81" s="74"/>
      <c r="E81" s="74"/>
      <c r="F81" s="74"/>
      <c r="G81" s="74"/>
      <c r="H81" s="74"/>
      <c r="I81" s="18"/>
    </row>
    <row r="82" spans="1:9" ht="15.75" hidden="1" customHeight="1">
      <c r="A82" s="29">
        <v>15</v>
      </c>
      <c r="B82" s="81" t="s">
        <v>87</v>
      </c>
      <c r="C82" s="16"/>
      <c r="D82" s="97"/>
      <c r="E82" s="101"/>
      <c r="F82" s="13">
        <v>1</v>
      </c>
      <c r="G82" s="13">
        <v>13707.8</v>
      </c>
      <c r="H82" s="98">
        <f>G82*F82/1000</f>
        <v>13.707799999999999</v>
      </c>
      <c r="I82" s="13">
        <f>G82</f>
        <v>13707.8</v>
      </c>
    </row>
    <row r="83" spans="1:9" ht="15.75" customHeight="1">
      <c r="A83" s="140" t="s">
        <v>136</v>
      </c>
      <c r="B83" s="141"/>
      <c r="C83" s="141"/>
      <c r="D83" s="141"/>
      <c r="E83" s="141"/>
      <c r="F83" s="141"/>
      <c r="G83" s="141"/>
      <c r="H83" s="141"/>
      <c r="I83" s="142"/>
    </row>
    <row r="84" spans="1:9" ht="15.75" customHeight="1">
      <c r="A84" s="29">
        <v>12</v>
      </c>
      <c r="B84" s="81" t="s">
        <v>126</v>
      </c>
      <c r="C84" s="16" t="s">
        <v>54</v>
      </c>
      <c r="D84" s="102"/>
      <c r="E84" s="13">
        <v>1839.1</v>
      </c>
      <c r="F84" s="13">
        <f>SUM(E84*12)</f>
        <v>22069.199999999997</v>
      </c>
      <c r="G84" s="13">
        <v>2.95</v>
      </c>
      <c r="H84" s="98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13</v>
      </c>
      <c r="B85" s="97" t="s">
        <v>76</v>
      </c>
      <c r="C85" s="16"/>
      <c r="D85" s="102"/>
      <c r="E85" s="83">
        <v>1839.1</v>
      </c>
      <c r="F85" s="13">
        <f>E85*12</f>
        <v>22069.199999999997</v>
      </c>
      <c r="G85" s="13">
        <v>3.05</v>
      </c>
      <c r="H85" s="98">
        <f>F85*G85/1000</f>
        <v>67.311059999999983</v>
      </c>
      <c r="I85" s="13">
        <f>F85/12*G85</f>
        <v>5609.2549999999983</v>
      </c>
    </row>
    <row r="86" spans="1:9" ht="31.5" hidden="1" customHeight="1">
      <c r="A86" s="29">
        <v>16</v>
      </c>
      <c r="B86" s="97" t="s">
        <v>130</v>
      </c>
      <c r="C86" s="16" t="s">
        <v>131</v>
      </c>
      <c r="D86" s="102"/>
      <c r="E86" s="101"/>
      <c r="F86" s="13"/>
      <c r="G86" s="13"/>
      <c r="H86" s="98">
        <v>59.113</v>
      </c>
      <c r="I86" s="13">
        <v>4926.08</v>
      </c>
    </row>
    <row r="87" spans="1:9" ht="15.75" customHeight="1">
      <c r="A87" s="80"/>
      <c r="B87" s="40" t="s">
        <v>78</v>
      </c>
      <c r="C87" s="41"/>
      <c r="D87" s="15"/>
      <c r="E87" s="15"/>
      <c r="F87" s="15"/>
      <c r="G87" s="18"/>
      <c r="H87" s="18"/>
      <c r="I87" s="31">
        <f>I85+I84+I72+I58+I50+I41+I40+I39+I38+I27+I18+I17+I16</f>
        <v>28921.473744666659</v>
      </c>
    </row>
    <row r="88" spans="1:9" ht="15.75" customHeight="1">
      <c r="A88" s="143" t="s">
        <v>59</v>
      </c>
      <c r="B88" s="144"/>
      <c r="C88" s="144"/>
      <c r="D88" s="144"/>
      <c r="E88" s="144"/>
      <c r="F88" s="144"/>
      <c r="G88" s="144"/>
      <c r="H88" s="144"/>
      <c r="I88" s="145"/>
    </row>
    <row r="89" spans="1:9" ht="15.75" customHeight="1">
      <c r="A89" s="29">
        <v>14</v>
      </c>
      <c r="B89" s="97" t="s">
        <v>158</v>
      </c>
      <c r="C89" s="16" t="s">
        <v>159</v>
      </c>
      <c r="D89" s="97"/>
      <c r="E89" s="18"/>
      <c r="F89" s="13">
        <v>24</v>
      </c>
      <c r="G89" s="13">
        <v>1.4</v>
      </c>
      <c r="H89" s="13">
        <f>F89*G89/1000</f>
        <v>3.3599999999999991E-2</v>
      </c>
      <c r="I89" s="13">
        <f>G89*12</f>
        <v>16.799999999999997</v>
      </c>
    </row>
    <row r="90" spans="1:9" ht="30.75" customHeight="1">
      <c r="A90" s="29">
        <v>15</v>
      </c>
      <c r="B90" s="119" t="s">
        <v>162</v>
      </c>
      <c r="C90" s="65" t="s">
        <v>28</v>
      </c>
      <c r="D90" s="97"/>
      <c r="E90" s="18"/>
      <c r="F90" s="13"/>
      <c r="G90" s="36">
        <v>20547.34</v>
      </c>
      <c r="H90" s="13"/>
      <c r="I90" s="13">
        <f>G90*0.599*6/1000</f>
        <v>73.847139960000007</v>
      </c>
    </row>
    <row r="91" spans="1:9" ht="15.75" customHeight="1">
      <c r="A91" s="29"/>
      <c r="B91" s="46" t="s">
        <v>51</v>
      </c>
      <c r="C91" s="42"/>
      <c r="D91" s="54"/>
      <c r="E91" s="42">
        <v>1</v>
      </c>
      <c r="F91" s="42"/>
      <c r="G91" s="42"/>
      <c r="H91" s="42"/>
      <c r="I91" s="31">
        <f>SUM(I89:I90)</f>
        <v>90.647139960000004</v>
      </c>
    </row>
    <row r="92" spans="1:9" ht="15.75" customHeight="1">
      <c r="A92" s="29"/>
      <c r="B92" s="52" t="s">
        <v>77</v>
      </c>
      <c r="C92" s="15"/>
      <c r="D92" s="15"/>
      <c r="E92" s="43"/>
      <c r="F92" s="43"/>
      <c r="G92" s="44"/>
      <c r="H92" s="44"/>
      <c r="I92" s="17">
        <v>0</v>
      </c>
    </row>
    <row r="93" spans="1:9" ht="15.75" customHeight="1">
      <c r="A93" s="55"/>
      <c r="B93" s="47" t="s">
        <v>137</v>
      </c>
      <c r="C93" s="34"/>
      <c r="D93" s="34"/>
      <c r="E93" s="34"/>
      <c r="F93" s="34"/>
      <c r="G93" s="34"/>
      <c r="H93" s="34"/>
      <c r="I93" s="45">
        <f>I91+I87</f>
        <v>29012.12088462666</v>
      </c>
    </row>
    <row r="94" spans="1:9" ht="15.75">
      <c r="A94" s="146" t="s">
        <v>185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>
      <c r="A95" s="61"/>
      <c r="B95" s="130" t="s">
        <v>186</v>
      </c>
      <c r="C95" s="130"/>
      <c r="D95" s="130"/>
      <c r="E95" s="130"/>
      <c r="F95" s="130"/>
      <c r="G95" s="130"/>
      <c r="H95" s="79"/>
      <c r="I95" s="3"/>
    </row>
    <row r="96" spans="1:9">
      <c r="A96" s="70"/>
      <c r="B96" s="131" t="s">
        <v>6</v>
      </c>
      <c r="C96" s="131"/>
      <c r="D96" s="131"/>
      <c r="E96" s="131"/>
      <c r="F96" s="131"/>
      <c r="G96" s="131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35" t="s">
        <v>7</v>
      </c>
      <c r="B98" s="135"/>
      <c r="C98" s="135"/>
      <c r="D98" s="135"/>
      <c r="E98" s="135"/>
      <c r="F98" s="135"/>
      <c r="G98" s="135"/>
      <c r="H98" s="135"/>
      <c r="I98" s="135"/>
    </row>
    <row r="99" spans="1:9" ht="15.75">
      <c r="A99" s="135" t="s">
        <v>8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>
      <c r="A100" s="132" t="s">
        <v>60</v>
      </c>
      <c r="B100" s="132"/>
      <c r="C100" s="132"/>
      <c r="D100" s="132"/>
      <c r="E100" s="132"/>
      <c r="F100" s="132"/>
      <c r="G100" s="132"/>
      <c r="H100" s="132"/>
      <c r="I100" s="132"/>
    </row>
    <row r="101" spans="1:9" ht="15.75">
      <c r="A101" s="11"/>
    </row>
    <row r="102" spans="1:9" ht="15.75">
      <c r="A102" s="133" t="s">
        <v>9</v>
      </c>
      <c r="B102" s="133"/>
      <c r="C102" s="133"/>
      <c r="D102" s="133"/>
      <c r="E102" s="133"/>
      <c r="F102" s="133"/>
      <c r="G102" s="133"/>
      <c r="H102" s="133"/>
      <c r="I102" s="133"/>
    </row>
    <row r="103" spans="1:9" ht="15.75">
      <c r="A103" s="4"/>
    </row>
    <row r="104" spans="1:9" ht="15.75">
      <c r="B104" s="69" t="s">
        <v>10</v>
      </c>
      <c r="C104" s="134" t="s">
        <v>85</v>
      </c>
      <c r="D104" s="134"/>
      <c r="E104" s="134"/>
      <c r="F104" s="77"/>
      <c r="I104" s="72"/>
    </row>
    <row r="105" spans="1:9">
      <c r="A105" s="70"/>
      <c r="C105" s="131" t="s">
        <v>11</v>
      </c>
      <c r="D105" s="131"/>
      <c r="E105" s="131"/>
      <c r="F105" s="24"/>
      <c r="I105" s="71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69" t="s">
        <v>13</v>
      </c>
      <c r="C107" s="137"/>
      <c r="D107" s="137"/>
      <c r="E107" s="137"/>
      <c r="F107" s="78"/>
      <c r="I107" s="72"/>
    </row>
    <row r="108" spans="1:9">
      <c r="A108" s="70"/>
      <c r="C108" s="138" t="s">
        <v>11</v>
      </c>
      <c r="D108" s="138"/>
      <c r="E108" s="138"/>
      <c r="F108" s="70"/>
      <c r="I108" s="71" t="s">
        <v>12</v>
      </c>
    </row>
    <row r="109" spans="1:9" ht="15.75">
      <c r="A109" s="4" t="s">
        <v>14</v>
      </c>
    </row>
    <row r="110" spans="1:9">
      <c r="A110" s="139" t="s">
        <v>15</v>
      </c>
      <c r="B110" s="139"/>
      <c r="C110" s="139"/>
      <c r="D110" s="139"/>
      <c r="E110" s="139"/>
      <c r="F110" s="139"/>
      <c r="G110" s="139"/>
      <c r="H110" s="139"/>
      <c r="I110" s="139"/>
    </row>
    <row r="111" spans="1:9" ht="45" customHeight="1">
      <c r="A111" s="136" t="s">
        <v>16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30" customHeight="1">
      <c r="A112" s="136" t="s">
        <v>17</v>
      </c>
      <c r="B112" s="136"/>
      <c r="C112" s="136"/>
      <c r="D112" s="136"/>
      <c r="E112" s="136"/>
      <c r="F112" s="136"/>
      <c r="G112" s="136"/>
      <c r="H112" s="136"/>
      <c r="I112" s="136"/>
    </row>
    <row r="113" spans="1:9" ht="30" customHeight="1">
      <c r="A113" s="136" t="s">
        <v>21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15.75">
      <c r="A114" s="136" t="s">
        <v>20</v>
      </c>
      <c r="B114" s="136"/>
      <c r="C114" s="136"/>
      <c r="D114" s="136"/>
      <c r="E114" s="136"/>
      <c r="F114" s="136"/>
      <c r="G114" s="136"/>
      <c r="H114" s="136"/>
      <c r="I114" s="136"/>
    </row>
  </sheetData>
  <autoFilter ref="I12:I64"/>
  <mergeCells count="29">
    <mergeCell ref="A110:I110"/>
    <mergeCell ref="A111:I111"/>
    <mergeCell ref="A112:I112"/>
    <mergeCell ref="A113:I113"/>
    <mergeCell ref="A114:I114"/>
    <mergeCell ref="R69:U69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topLeftCell="A71" workbookViewId="0">
      <selection activeCell="I99" sqref="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146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187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43921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99</v>
      </c>
      <c r="C30" s="82" t="s">
        <v>100</v>
      </c>
      <c r="D30" s="81" t="s">
        <v>101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102</v>
      </c>
      <c r="C31" s="82" t="s">
        <v>100</v>
      </c>
      <c r="D31" s="81" t="s">
        <v>103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104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105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15.75" customHeight="1">
      <c r="A38" s="33">
        <v>5</v>
      </c>
      <c r="B38" s="81" t="s">
        <v>25</v>
      </c>
      <c r="C38" s="82" t="s">
        <v>30</v>
      </c>
      <c r="D38" s="125" t="s">
        <v>188</v>
      </c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>G38*0.5</f>
        <v>950.18499999999995</v>
      </c>
      <c r="J38" s="23"/>
    </row>
    <row r="39" spans="1:14" ht="15.75" customHeight="1">
      <c r="A39" s="33">
        <v>6</v>
      </c>
      <c r="B39" s="81" t="s">
        <v>66</v>
      </c>
      <c r="C39" s="82" t="s">
        <v>28</v>
      </c>
      <c r="D39" s="81" t="s">
        <v>173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ref="I39:I41" si="2">F39/6*G39</f>
        <v>631.88233500000001</v>
      </c>
      <c r="J39" s="23"/>
    </row>
    <row r="40" spans="1:14" ht="15.75" customHeight="1">
      <c r="A40" s="33">
        <v>7</v>
      </c>
      <c r="B40" s="81" t="s">
        <v>67</v>
      </c>
      <c r="C40" s="82" t="s">
        <v>28</v>
      </c>
      <c r="D40" s="81" t="s">
        <v>169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8</v>
      </c>
      <c r="B41" s="81" t="s">
        <v>79</v>
      </c>
      <c r="C41" s="82" t="s">
        <v>100</v>
      </c>
      <c r="D41" s="81" t="s">
        <v>170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customHeight="1">
      <c r="A42" s="33">
        <v>9</v>
      </c>
      <c r="B42" s="81" t="s">
        <v>109</v>
      </c>
      <c r="C42" s="82" t="s">
        <v>100</v>
      </c>
      <c r="D42" s="81" t="s">
        <v>189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G42*F42/20</f>
        <v>25.765635000000003</v>
      </c>
      <c r="J42" s="23"/>
      <c r="L42" s="19"/>
      <c r="M42" s="20"/>
      <c r="N42" s="21"/>
    </row>
    <row r="43" spans="1:14" ht="15.75" customHeight="1">
      <c r="A43" s="33">
        <v>10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G43*F43/20</f>
        <v>24.824249999999999</v>
      </c>
      <c r="J43" s="23"/>
      <c r="L43" s="19"/>
      <c r="M43" s="20"/>
      <c r="N43" s="21"/>
    </row>
    <row r="44" spans="1:14" ht="15.75" hidden="1" customHeight="1">
      <c r="A44" s="154" t="s">
        <v>134</v>
      </c>
      <c r="B44" s="155"/>
      <c r="C44" s="155"/>
      <c r="D44" s="155"/>
      <c r="E44" s="155"/>
      <c r="F44" s="155"/>
      <c r="G44" s="155"/>
      <c r="H44" s="155"/>
      <c r="I44" s="156"/>
      <c r="J44" s="23"/>
      <c r="L44" s="19"/>
      <c r="M44" s="20"/>
      <c r="N44" s="21"/>
    </row>
    <row r="45" spans="1:14" ht="15.75" hidden="1" customHeight="1">
      <c r="A45" s="41">
        <v>15</v>
      </c>
      <c r="B45" s="81" t="s">
        <v>111</v>
      </c>
      <c r="C45" s="82" t="s">
        <v>100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15.75" hidden="1" customHeight="1">
      <c r="A46" s="41"/>
      <c r="B46" s="81" t="s">
        <v>34</v>
      </c>
      <c r="C46" s="82" t="s">
        <v>100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15.75" hidden="1" customHeight="1">
      <c r="A47" s="41">
        <v>16</v>
      </c>
      <c r="B47" s="81" t="s">
        <v>35</v>
      </c>
      <c r="C47" s="82" t="s">
        <v>100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17</v>
      </c>
      <c r="B48" s="81" t="s">
        <v>36</v>
      </c>
      <c r="C48" s="82" t="s">
        <v>100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18</v>
      </c>
      <c r="B49" s="81" t="s">
        <v>32</v>
      </c>
      <c r="C49" s="82" t="s">
        <v>33</v>
      </c>
      <c r="D49" s="81" t="s">
        <v>138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12</v>
      </c>
      <c r="B50" s="81" t="s">
        <v>55</v>
      </c>
      <c r="C50" s="82" t="s">
        <v>100</v>
      </c>
      <c r="D50" s="81" t="s">
        <v>140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1.5" hidden="1" customHeight="1">
      <c r="A51" s="41">
        <v>13</v>
      </c>
      <c r="B51" s="81" t="s">
        <v>112</v>
      </c>
      <c r="C51" s="82" t="s">
        <v>100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v>0</v>
      </c>
      <c r="J51" s="23"/>
      <c r="L51" s="19"/>
      <c r="M51" s="20"/>
      <c r="N51" s="21"/>
    </row>
    <row r="52" spans="1:14" ht="31.5" hidden="1" customHeight="1">
      <c r="A52" s="41">
        <v>14</v>
      </c>
      <c r="B52" s="81" t="s">
        <v>113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v>0</v>
      </c>
      <c r="J52" s="23"/>
      <c r="L52" s="19"/>
      <c r="M52" s="20"/>
      <c r="N52" s="21"/>
    </row>
    <row r="53" spans="1:14" ht="15.75" hidden="1" customHeight="1">
      <c r="A53" s="41">
        <v>15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13</v>
      </c>
      <c r="B54" s="81" t="s">
        <v>139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15.75" hidden="1" customHeight="1">
      <c r="A55" s="41">
        <v>14</v>
      </c>
      <c r="B55" s="81" t="s">
        <v>40</v>
      </c>
      <c r="C55" s="82" t="s">
        <v>29</v>
      </c>
      <c r="D55" s="81" t="s">
        <v>69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4" t="s">
        <v>147</v>
      </c>
      <c r="B56" s="155"/>
      <c r="C56" s="155"/>
      <c r="D56" s="155"/>
      <c r="E56" s="155"/>
      <c r="F56" s="155"/>
      <c r="G56" s="155"/>
      <c r="H56" s="155"/>
      <c r="I56" s="156"/>
      <c r="J56" s="23"/>
      <c r="L56" s="19"/>
      <c r="M56" s="20"/>
      <c r="N56" s="21"/>
    </row>
    <row r="57" spans="1:14" ht="15.75" customHeight="1">
      <c r="A57" s="80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1">
        <v>11</v>
      </c>
      <c r="B58" s="81" t="s">
        <v>115</v>
      </c>
      <c r="C58" s="82" t="s">
        <v>141</v>
      </c>
      <c r="D58" s="81"/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G58*0.1</f>
        <v>230.66200000000001</v>
      </c>
      <c r="J58" s="23"/>
      <c r="L58" s="19"/>
      <c r="M58" s="20"/>
      <c r="N58" s="21"/>
    </row>
    <row r="59" spans="1:14" ht="15.75" customHeight="1">
      <c r="A59" s="41">
        <v>12</v>
      </c>
      <c r="B59" s="91" t="s">
        <v>82</v>
      </c>
      <c r="C59" s="92" t="s">
        <v>116</v>
      </c>
      <c r="D59" s="37" t="s">
        <v>190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f>G59*2</f>
        <v>3002</v>
      </c>
      <c r="J59" s="23"/>
      <c r="L59" s="19"/>
      <c r="M59" s="20"/>
      <c r="N59" s="21"/>
    </row>
    <row r="60" spans="1:14" ht="15.75" hidden="1" customHeight="1">
      <c r="A60" s="41"/>
      <c r="B60" s="74" t="s">
        <v>43</v>
      </c>
      <c r="C60" s="74"/>
      <c r="D60" s="74"/>
      <c r="E60" s="74"/>
      <c r="F60" s="75"/>
      <c r="G60" s="63"/>
      <c r="H60" s="63"/>
      <c r="I60" s="35"/>
      <c r="J60" s="23"/>
      <c r="L60" s="19"/>
      <c r="M60" s="20"/>
      <c r="N60" s="21"/>
    </row>
    <row r="61" spans="1:14" ht="15.75" hidden="1" customHeight="1">
      <c r="A61" s="41">
        <v>27</v>
      </c>
      <c r="B61" s="91" t="s">
        <v>44</v>
      </c>
      <c r="C61" s="92" t="s">
        <v>52</v>
      </c>
      <c r="D61" s="91" t="s">
        <v>53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v>0</v>
      </c>
      <c r="J61" s="23"/>
      <c r="L61" s="19"/>
      <c r="M61" s="20"/>
      <c r="N61" s="21"/>
    </row>
    <row r="62" spans="1:14" ht="15.75" customHeight="1">
      <c r="A62" s="41"/>
      <c r="B62" s="74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114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1" si="4">SUM(F63*G63/1000)</f>
        <v>0.27673999999999999</v>
      </c>
      <c r="I63" s="13">
        <v>0</v>
      </c>
    </row>
    <row r="64" spans="1:14" ht="15.75" hidden="1" customHeight="1">
      <c r="A64" s="29">
        <v>29</v>
      </c>
      <c r="B64" s="97" t="s">
        <v>47</v>
      </c>
      <c r="C64" s="16" t="s">
        <v>114</v>
      </c>
      <c r="D64" s="97" t="s">
        <v>65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v>0</v>
      </c>
    </row>
    <row r="65" spans="1:22" ht="15.75" hidden="1" customHeight="1">
      <c r="A65" s="29">
        <v>8</v>
      </c>
      <c r="B65" s="97" t="s">
        <v>48</v>
      </c>
      <c r="C65" s="16" t="s">
        <v>117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118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119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142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38"/>
      <c r="S69" s="138"/>
      <c r="T69" s="138"/>
      <c r="U69" s="138"/>
    </row>
    <row r="70" spans="1:22" ht="15.7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9.5" customHeight="1">
      <c r="A71" s="29">
        <v>13</v>
      </c>
      <c r="B71" s="97" t="s">
        <v>83</v>
      </c>
      <c r="C71" s="41" t="s">
        <v>129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4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121</v>
      </c>
      <c r="C73" s="16" t="s">
        <v>122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5">SUM(F73*G73/1000)</f>
        <v>0.97639999999999993</v>
      </c>
      <c r="I73" s="13">
        <v>0</v>
      </c>
    </row>
    <row r="74" spans="1:22" ht="15.75" hidden="1" customHeight="1">
      <c r="A74" s="29"/>
      <c r="B74" s="97" t="s">
        <v>123</v>
      </c>
      <c r="C74" s="16" t="s">
        <v>124</v>
      </c>
      <c r="D74" s="97"/>
      <c r="E74" s="18">
        <v>1</v>
      </c>
      <c r="F74" s="13">
        <v>1</v>
      </c>
      <c r="G74" s="13">
        <v>650</v>
      </c>
      <c r="H74" s="98">
        <f t="shared" si="5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143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5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5"/>
        <v>1.0614100000000002</v>
      </c>
      <c r="I76" s="13">
        <v>0</v>
      </c>
    </row>
    <row r="77" spans="1:22" ht="15.75" hidden="1" customHeight="1">
      <c r="A77" s="29">
        <v>17</v>
      </c>
      <c r="B77" s="97" t="s">
        <v>84</v>
      </c>
      <c r="C77" s="16" t="s">
        <v>29</v>
      </c>
      <c r="D77" s="97" t="s">
        <v>65</v>
      </c>
      <c r="E77" s="18">
        <v>1</v>
      </c>
      <c r="F77" s="84">
        <f>SUM(E77)</f>
        <v>1</v>
      </c>
      <c r="G77" s="13">
        <v>446.12</v>
      </c>
      <c r="H77" s="98">
        <f t="shared" si="5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125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6">SUM(F79*G79/1000)</f>
        <v>4.4637839999999995</v>
      </c>
      <c r="I79" s="13">
        <v>0</v>
      </c>
    </row>
    <row r="80" spans="1:22" ht="15.75" customHeight="1">
      <c r="A80" s="80"/>
      <c r="B80" s="74" t="s">
        <v>120</v>
      </c>
      <c r="C80" s="74"/>
      <c r="D80" s="74"/>
      <c r="E80" s="74"/>
      <c r="F80" s="74"/>
      <c r="G80" s="74"/>
      <c r="H80" s="74"/>
      <c r="I80" s="18"/>
    </row>
    <row r="81" spans="1:9" ht="15.75" customHeight="1">
      <c r="A81" s="29">
        <v>14</v>
      </c>
      <c r="B81" s="81" t="s">
        <v>87</v>
      </c>
      <c r="C81" s="16"/>
      <c r="D81" s="97"/>
      <c r="E81" s="101"/>
      <c r="F81" s="13">
        <v>1</v>
      </c>
      <c r="G81" s="13">
        <v>5828.6</v>
      </c>
      <c r="H81" s="98">
        <f>G81*F81/1000</f>
        <v>5.8286000000000007</v>
      </c>
      <c r="I81" s="13">
        <f>G81</f>
        <v>5828.6</v>
      </c>
    </row>
    <row r="82" spans="1:9" ht="15.75" customHeight="1">
      <c r="A82" s="140" t="s">
        <v>148</v>
      </c>
      <c r="B82" s="141"/>
      <c r="C82" s="141"/>
      <c r="D82" s="141"/>
      <c r="E82" s="141"/>
      <c r="F82" s="141"/>
      <c r="G82" s="141"/>
      <c r="H82" s="141"/>
      <c r="I82" s="142"/>
    </row>
    <row r="83" spans="1:9" ht="15.75" customHeight="1">
      <c r="A83" s="29">
        <v>15</v>
      </c>
      <c r="B83" s="81" t="s">
        <v>126</v>
      </c>
      <c r="C83" s="16" t="s">
        <v>54</v>
      </c>
      <c r="D83" s="102"/>
      <c r="E83" s="13">
        <v>1839.1</v>
      </c>
      <c r="F83" s="13">
        <f>SUM(E83*12)</f>
        <v>22069.199999999997</v>
      </c>
      <c r="G83" s="13">
        <v>2.95</v>
      </c>
      <c r="H83" s="98">
        <f>SUM(F83*G83/1000)</f>
        <v>65.104139999999987</v>
      </c>
      <c r="I83" s="13">
        <f>F83/12*G83</f>
        <v>5425.3449999999993</v>
      </c>
    </row>
    <row r="84" spans="1:9" ht="31.5" customHeight="1">
      <c r="A84" s="29">
        <v>16</v>
      </c>
      <c r="B84" s="97" t="s">
        <v>76</v>
      </c>
      <c r="C84" s="16"/>
      <c r="D84" s="102"/>
      <c r="E84" s="83">
        <v>1839.1</v>
      </c>
      <c r="F84" s="13">
        <f>E84*12</f>
        <v>22069.199999999997</v>
      </c>
      <c r="G84" s="13">
        <v>3.05</v>
      </c>
      <c r="H84" s="98">
        <f>F84*G84/1000</f>
        <v>67.311059999999983</v>
      </c>
      <c r="I84" s="13">
        <f>F84/12*G84</f>
        <v>5609.2549999999983</v>
      </c>
    </row>
    <row r="85" spans="1:9" ht="31.5" hidden="1" customHeight="1">
      <c r="A85" s="29">
        <v>14</v>
      </c>
      <c r="B85" s="97" t="s">
        <v>130</v>
      </c>
      <c r="C85" s="16" t="s">
        <v>131</v>
      </c>
      <c r="D85" s="102"/>
      <c r="E85" s="101"/>
      <c r="F85" s="13"/>
      <c r="G85" s="13"/>
      <c r="H85" s="98">
        <v>59.113</v>
      </c>
      <c r="I85" s="13">
        <f>59113/12</f>
        <v>4926.083333333333</v>
      </c>
    </row>
    <row r="86" spans="1:9" ht="15.75" customHeight="1">
      <c r="A86" s="80"/>
      <c r="B86" s="40" t="s">
        <v>78</v>
      </c>
      <c r="C86" s="41"/>
      <c r="D86" s="15"/>
      <c r="E86" s="15"/>
      <c r="F86" s="15"/>
      <c r="G86" s="18"/>
      <c r="H86" s="18"/>
      <c r="I86" s="31">
        <f>I84+I83+I71+I59+I58+I43+I42+I41+I40+I39+I38+I27+I18+I17+I16+I81</f>
        <v>34678.514781666665</v>
      </c>
    </row>
    <row r="87" spans="1:9" ht="15.75" customHeight="1">
      <c r="A87" s="143" t="s">
        <v>59</v>
      </c>
      <c r="B87" s="144"/>
      <c r="C87" s="144"/>
      <c r="D87" s="144"/>
      <c r="E87" s="144"/>
      <c r="F87" s="144"/>
      <c r="G87" s="144"/>
      <c r="H87" s="144"/>
      <c r="I87" s="145"/>
    </row>
    <row r="88" spans="1:9" ht="15.75" customHeight="1">
      <c r="A88" s="42">
        <v>17</v>
      </c>
      <c r="B88" s="97" t="s">
        <v>158</v>
      </c>
      <c r="C88" s="16" t="s">
        <v>159</v>
      </c>
      <c r="D88" s="97"/>
      <c r="E88" s="18"/>
      <c r="F88" s="13">
        <v>24</v>
      </c>
      <c r="G88" s="13">
        <v>1.4</v>
      </c>
      <c r="H88" s="13">
        <f>F88*G88/1000</f>
        <v>3.3599999999999991E-2</v>
      </c>
      <c r="I88" s="13">
        <f>G88*12</f>
        <v>16.799999999999997</v>
      </c>
    </row>
    <row r="89" spans="1:9" ht="33.75" customHeight="1">
      <c r="A89" s="29">
        <v>18</v>
      </c>
      <c r="B89" s="119" t="s">
        <v>162</v>
      </c>
      <c r="C89" s="65" t="s">
        <v>28</v>
      </c>
      <c r="D89" s="97"/>
      <c r="E89" s="18"/>
      <c r="F89" s="13"/>
      <c r="G89" s="36">
        <v>20547.34</v>
      </c>
      <c r="H89" s="13"/>
      <c r="I89" s="13">
        <f>G89*0.599*3/1000</f>
        <v>36.923569980000003</v>
      </c>
    </row>
    <row r="90" spans="1:9" ht="15.75" customHeight="1">
      <c r="A90" s="42">
        <v>19</v>
      </c>
      <c r="B90" s="119" t="s">
        <v>191</v>
      </c>
      <c r="C90" s="65" t="s">
        <v>28</v>
      </c>
      <c r="D90" s="126" t="s">
        <v>172</v>
      </c>
      <c r="E90" s="36"/>
      <c r="F90" s="127">
        <v>0.06</v>
      </c>
      <c r="G90" s="36">
        <v>1207.24</v>
      </c>
      <c r="H90" s="98"/>
      <c r="I90" s="13">
        <v>0</v>
      </c>
    </row>
    <row r="91" spans="1:9" ht="31.5" customHeight="1">
      <c r="A91" s="29">
        <v>20</v>
      </c>
      <c r="B91" s="119" t="s">
        <v>192</v>
      </c>
      <c r="C91" s="65" t="s">
        <v>114</v>
      </c>
      <c r="D91" s="126" t="s">
        <v>195</v>
      </c>
      <c r="E91" s="36"/>
      <c r="F91" s="36">
        <v>1</v>
      </c>
      <c r="G91" s="36">
        <v>220.1</v>
      </c>
      <c r="H91" s="98"/>
      <c r="I91" s="13">
        <f>G91*1</f>
        <v>220.1</v>
      </c>
    </row>
    <row r="92" spans="1:9" ht="17.25" customHeight="1">
      <c r="A92" s="42">
        <v>21</v>
      </c>
      <c r="B92" s="119" t="s">
        <v>193</v>
      </c>
      <c r="C92" s="65" t="s">
        <v>194</v>
      </c>
      <c r="D92" s="126" t="s">
        <v>195</v>
      </c>
      <c r="E92" s="36"/>
      <c r="F92" s="36">
        <v>1</v>
      </c>
      <c r="G92" s="36">
        <v>110.52</v>
      </c>
      <c r="H92" s="98"/>
      <c r="I92" s="13">
        <f>G92*1</f>
        <v>110.52</v>
      </c>
    </row>
    <row r="93" spans="1:9" ht="17.25" customHeight="1">
      <c r="A93" s="42">
        <v>22</v>
      </c>
      <c r="B93" s="119" t="s">
        <v>206</v>
      </c>
      <c r="C93" s="65" t="s">
        <v>131</v>
      </c>
      <c r="D93" s="126"/>
      <c r="E93" s="36"/>
      <c r="F93" s="36"/>
      <c r="G93" s="36">
        <v>10800</v>
      </c>
      <c r="H93" s="98"/>
      <c r="I93" s="13">
        <f>G93*1</f>
        <v>10800</v>
      </c>
    </row>
    <row r="94" spans="1:9" ht="15.75" customHeight="1">
      <c r="A94" s="29"/>
      <c r="B94" s="46" t="s">
        <v>51</v>
      </c>
      <c r="C94" s="42"/>
      <c r="D94" s="54"/>
      <c r="E94" s="42">
        <v>1</v>
      </c>
      <c r="F94" s="42"/>
      <c r="G94" s="42"/>
      <c r="H94" s="42"/>
      <c r="I94" s="31">
        <f>SUM(I88:I93)</f>
        <v>11184.343569979999</v>
      </c>
    </row>
    <row r="95" spans="1:9" ht="15.75" customHeight="1">
      <c r="A95" s="29"/>
      <c r="B95" s="52" t="s">
        <v>77</v>
      </c>
      <c r="C95" s="15"/>
      <c r="D95" s="15"/>
      <c r="E95" s="43"/>
      <c r="F95" s="43"/>
      <c r="G95" s="44"/>
      <c r="H95" s="44"/>
      <c r="I95" s="17">
        <v>0</v>
      </c>
    </row>
    <row r="96" spans="1:9" ht="15.75" customHeight="1">
      <c r="A96" s="55"/>
      <c r="B96" s="47" t="s">
        <v>137</v>
      </c>
      <c r="C96" s="34"/>
      <c r="D96" s="34"/>
      <c r="E96" s="34"/>
      <c r="F96" s="34"/>
      <c r="G96" s="34"/>
      <c r="H96" s="34"/>
      <c r="I96" s="45">
        <f>I86+I94</f>
        <v>45862.858351646661</v>
      </c>
    </row>
    <row r="97" spans="1:9" ht="15.75">
      <c r="A97" s="146" t="s">
        <v>240</v>
      </c>
      <c r="B97" s="146"/>
      <c r="C97" s="146"/>
      <c r="D97" s="146"/>
      <c r="E97" s="146"/>
      <c r="F97" s="146"/>
      <c r="G97" s="146"/>
      <c r="H97" s="146"/>
      <c r="I97" s="146"/>
    </row>
    <row r="98" spans="1:9" ht="15.75">
      <c r="A98" s="61"/>
      <c r="B98" s="130" t="s">
        <v>241</v>
      </c>
      <c r="C98" s="130"/>
      <c r="D98" s="130"/>
      <c r="E98" s="130"/>
      <c r="F98" s="130"/>
      <c r="G98" s="130"/>
      <c r="H98" s="79"/>
      <c r="I98" s="3"/>
    </row>
    <row r="99" spans="1:9">
      <c r="A99" s="70"/>
      <c r="B99" s="131" t="s">
        <v>6</v>
      </c>
      <c r="C99" s="131"/>
      <c r="D99" s="131"/>
      <c r="E99" s="131"/>
      <c r="F99" s="131"/>
      <c r="G99" s="131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35" t="s">
        <v>7</v>
      </c>
      <c r="B101" s="135"/>
      <c r="C101" s="135"/>
      <c r="D101" s="135"/>
      <c r="E101" s="135"/>
      <c r="F101" s="135"/>
      <c r="G101" s="135"/>
      <c r="H101" s="135"/>
      <c r="I101" s="135"/>
    </row>
    <row r="102" spans="1:9" ht="15.75">
      <c r="A102" s="135" t="s">
        <v>8</v>
      </c>
      <c r="B102" s="135"/>
      <c r="C102" s="135"/>
      <c r="D102" s="135"/>
      <c r="E102" s="135"/>
      <c r="F102" s="135"/>
      <c r="G102" s="135"/>
      <c r="H102" s="135"/>
      <c r="I102" s="135"/>
    </row>
    <row r="103" spans="1:9" ht="15.75">
      <c r="A103" s="132" t="s">
        <v>60</v>
      </c>
      <c r="B103" s="132"/>
      <c r="C103" s="132"/>
      <c r="D103" s="132"/>
      <c r="E103" s="132"/>
      <c r="F103" s="132"/>
      <c r="G103" s="132"/>
      <c r="H103" s="132"/>
      <c r="I103" s="132"/>
    </row>
    <row r="104" spans="1:9" ht="15.75">
      <c r="A104" s="11"/>
    </row>
    <row r="105" spans="1:9" ht="15.75">
      <c r="A105" s="133" t="s">
        <v>9</v>
      </c>
      <c r="B105" s="133"/>
      <c r="C105" s="133"/>
      <c r="D105" s="133"/>
      <c r="E105" s="133"/>
      <c r="F105" s="133"/>
      <c r="G105" s="133"/>
      <c r="H105" s="133"/>
      <c r="I105" s="133"/>
    </row>
    <row r="106" spans="1:9" ht="15.75">
      <c r="A106" s="4"/>
    </row>
    <row r="107" spans="1:9" ht="15.75">
      <c r="B107" s="69" t="s">
        <v>10</v>
      </c>
      <c r="C107" s="134" t="s">
        <v>85</v>
      </c>
      <c r="D107" s="134"/>
      <c r="E107" s="134"/>
      <c r="F107" s="77"/>
      <c r="I107" s="72"/>
    </row>
    <row r="108" spans="1:9">
      <c r="A108" s="70"/>
      <c r="C108" s="131" t="s">
        <v>11</v>
      </c>
      <c r="D108" s="131"/>
      <c r="E108" s="131"/>
      <c r="F108" s="24"/>
      <c r="I108" s="71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69" t="s">
        <v>13</v>
      </c>
      <c r="C110" s="137"/>
      <c r="D110" s="137"/>
      <c r="E110" s="137"/>
      <c r="F110" s="78"/>
      <c r="I110" s="72"/>
    </row>
    <row r="111" spans="1:9">
      <c r="A111" s="70"/>
      <c r="C111" s="138" t="s">
        <v>11</v>
      </c>
      <c r="D111" s="138"/>
      <c r="E111" s="138"/>
      <c r="F111" s="70"/>
      <c r="I111" s="71" t="s">
        <v>12</v>
      </c>
    </row>
    <row r="112" spans="1:9" ht="15.75">
      <c r="A112" s="4" t="s">
        <v>14</v>
      </c>
    </row>
    <row r="113" spans="1:9">
      <c r="A113" s="139" t="s">
        <v>15</v>
      </c>
      <c r="B113" s="139"/>
      <c r="C113" s="139"/>
      <c r="D113" s="139"/>
      <c r="E113" s="139"/>
      <c r="F113" s="139"/>
      <c r="G113" s="139"/>
      <c r="H113" s="139"/>
      <c r="I113" s="139"/>
    </row>
    <row r="114" spans="1:9" ht="45" customHeight="1">
      <c r="A114" s="136" t="s">
        <v>16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30" customHeight="1">
      <c r="A115" s="136" t="s">
        <v>17</v>
      </c>
      <c r="B115" s="136"/>
      <c r="C115" s="136"/>
      <c r="D115" s="136"/>
      <c r="E115" s="136"/>
      <c r="F115" s="136"/>
      <c r="G115" s="136"/>
      <c r="H115" s="136"/>
      <c r="I115" s="136"/>
    </row>
    <row r="116" spans="1:9" ht="30" customHeight="1">
      <c r="A116" s="136" t="s">
        <v>21</v>
      </c>
      <c r="B116" s="136"/>
      <c r="C116" s="136"/>
      <c r="D116" s="136"/>
      <c r="E116" s="136"/>
      <c r="F116" s="136"/>
      <c r="G116" s="136"/>
      <c r="H116" s="136"/>
      <c r="I116" s="136"/>
    </row>
    <row r="117" spans="1:9" ht="15.75">
      <c r="A117" s="136" t="s">
        <v>20</v>
      </c>
      <c r="B117" s="136"/>
      <c r="C117" s="136"/>
      <c r="D117" s="136"/>
      <c r="E117" s="136"/>
      <c r="F117" s="136"/>
      <c r="G117" s="136"/>
      <c r="H117" s="136"/>
      <c r="I117" s="136"/>
    </row>
  </sheetData>
  <autoFilter ref="I12:I64"/>
  <mergeCells count="29">
    <mergeCell ref="A113:I113"/>
    <mergeCell ref="A114:I114"/>
    <mergeCell ref="A115:I115"/>
    <mergeCell ref="A116:I116"/>
    <mergeCell ref="A117:I117"/>
    <mergeCell ref="R69:U69"/>
    <mergeCell ref="C111:E111"/>
    <mergeCell ref="A87:I87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5"/>
  <sheetViews>
    <sheetView topLeftCell="A62"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149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196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43951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hidden="1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hidden="1" customHeight="1">
      <c r="A30" s="41">
        <v>2</v>
      </c>
      <c r="B30" s="32" t="s">
        <v>99</v>
      </c>
      <c r="C30" s="82" t="s">
        <v>100</v>
      </c>
      <c r="D30" s="81" t="s">
        <v>101</v>
      </c>
      <c r="E30" s="84">
        <v>58</v>
      </c>
      <c r="F30" s="84">
        <f>SUM(E30*52/1000)</f>
        <v>3.016</v>
      </c>
      <c r="G30" s="84">
        <v>193.97</v>
      </c>
      <c r="H30" s="85">
        <f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hidden="1" customHeight="1">
      <c r="A31" s="41">
        <v>3</v>
      </c>
      <c r="B31" s="32" t="s">
        <v>102</v>
      </c>
      <c r="C31" s="82" t="s">
        <v>100</v>
      </c>
      <c r="D31" s="81" t="s">
        <v>103</v>
      </c>
      <c r="E31" s="84">
        <v>48.3</v>
      </c>
      <c r="F31" s="84">
        <f>SUM(E31*78/1000)</f>
        <v>3.7673999999999994</v>
      </c>
      <c r="G31" s="84">
        <v>321.82</v>
      </c>
      <c r="H31" s="85">
        <f>SUM(F31*G31/1000)</f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4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>SUM(F32*G32/1000)</f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hidden="1" customHeight="1">
      <c r="A33" s="41"/>
      <c r="B33" s="32" t="s">
        <v>104</v>
      </c>
      <c r="C33" s="82" t="s">
        <v>39</v>
      </c>
      <c r="D33" s="81" t="s">
        <v>62</v>
      </c>
      <c r="E33" s="84">
        <v>1</v>
      </c>
      <c r="F33" s="84">
        <f>E33*155/100</f>
        <v>1.55</v>
      </c>
      <c r="G33" s="84">
        <v>1620.15</v>
      </c>
      <c r="H33" s="85">
        <f>SUM(F33*G33/1000)</f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5</v>
      </c>
      <c r="B34" s="32" t="s">
        <v>105</v>
      </c>
      <c r="C34" s="82" t="s">
        <v>29</v>
      </c>
      <c r="D34" s="81" t="s">
        <v>62</v>
      </c>
      <c r="E34" s="89">
        <f>1/3</f>
        <v>0.33333333333333331</v>
      </c>
      <c r="F34" s="84">
        <f>155/3</f>
        <v>51.666666666666664</v>
      </c>
      <c r="G34" s="84">
        <v>70.540000000000006</v>
      </c>
      <c r="H34" s="85">
        <f>SUM(G34*155/3/1000)</f>
        <v>3.644566666666667</v>
      </c>
      <c r="I34" s="13">
        <f>F34/6*G34</f>
        <v>607.42777777777781</v>
      </c>
      <c r="J34" s="23"/>
    </row>
    <row r="35" spans="1:14" ht="15.75" hidden="1" customHeight="1">
      <c r="A35" s="41">
        <v>4</v>
      </c>
      <c r="B35" s="81" t="s">
        <v>63</v>
      </c>
      <c r="C35" s="82" t="s">
        <v>31</v>
      </c>
      <c r="D35" s="81" t="s">
        <v>65</v>
      </c>
      <c r="E35" s="83"/>
      <c r="F35" s="84">
        <v>1</v>
      </c>
      <c r="G35" s="84">
        <v>238.07</v>
      </c>
      <c r="H35" s="85">
        <f>SUM(F35*G35/1000)</f>
        <v>0.23807</v>
      </c>
      <c r="I35" s="13">
        <v>0</v>
      </c>
      <c r="J35" s="23"/>
    </row>
    <row r="36" spans="1:14" ht="15.75" hidden="1" customHeight="1">
      <c r="A36" s="29">
        <v>8</v>
      </c>
      <c r="B36" s="81" t="s">
        <v>64</v>
      </c>
      <c r="C36" s="82" t="s">
        <v>30</v>
      </c>
      <c r="D36" s="81" t="s">
        <v>65</v>
      </c>
      <c r="E36" s="83"/>
      <c r="F36" s="84">
        <v>1</v>
      </c>
      <c r="G36" s="84">
        <v>1413.96</v>
      </c>
      <c r="H36" s="85">
        <f>SUM(F36*G36/1000)</f>
        <v>1.4139600000000001</v>
      </c>
      <c r="I36" s="13">
        <v>0</v>
      </c>
      <c r="J36" s="23"/>
    </row>
    <row r="37" spans="1:14" ht="15.75" customHeight="1">
      <c r="A37" s="41"/>
      <c r="B37" s="49" t="s">
        <v>5</v>
      </c>
      <c r="C37" s="49"/>
      <c r="D37" s="49"/>
      <c r="E37" s="13"/>
      <c r="F37" s="13"/>
      <c r="G37" s="14"/>
      <c r="H37" s="14"/>
      <c r="I37" s="18"/>
      <c r="J37" s="23"/>
    </row>
    <row r="38" spans="1:14" ht="15.75" hidden="1" customHeight="1">
      <c r="A38" s="33">
        <v>6</v>
      </c>
      <c r="B38" s="81" t="s">
        <v>25</v>
      </c>
      <c r="C38" s="82" t="s">
        <v>30</v>
      </c>
      <c r="D38" s="81"/>
      <c r="E38" s="83"/>
      <c r="F38" s="84">
        <v>2</v>
      </c>
      <c r="G38" s="84">
        <v>1900.37</v>
      </c>
      <c r="H38" s="85">
        <f t="shared" ref="H38:H43" si="1">SUM(F38*G38/1000)</f>
        <v>3.8007399999999998</v>
      </c>
      <c r="I38" s="13">
        <f t="shared" ref="I38:I41" si="2">F38/6*G38</f>
        <v>633.45666666666659</v>
      </c>
      <c r="J38" s="23"/>
    </row>
    <row r="39" spans="1:14" ht="15.75" customHeight="1">
      <c r="A39" s="33">
        <v>5</v>
      </c>
      <c r="B39" s="81" t="s">
        <v>66</v>
      </c>
      <c r="C39" s="82" t="s">
        <v>28</v>
      </c>
      <c r="D39" s="81" t="s">
        <v>168</v>
      </c>
      <c r="E39" s="84">
        <v>48.3</v>
      </c>
      <c r="F39" s="84">
        <f>SUM(E39*30/1000)</f>
        <v>1.4490000000000001</v>
      </c>
      <c r="G39" s="84">
        <v>2616.4899999999998</v>
      </c>
      <c r="H39" s="85">
        <f t="shared" si="1"/>
        <v>3.7912940100000001</v>
      </c>
      <c r="I39" s="13">
        <f t="shared" si="2"/>
        <v>631.88233500000001</v>
      </c>
      <c r="J39" s="23"/>
    </row>
    <row r="40" spans="1:14" ht="15.75" customHeight="1">
      <c r="A40" s="33">
        <v>6</v>
      </c>
      <c r="B40" s="81" t="s">
        <v>67</v>
      </c>
      <c r="C40" s="82" t="s">
        <v>28</v>
      </c>
      <c r="D40" s="81" t="s">
        <v>169</v>
      </c>
      <c r="E40" s="84">
        <v>48.3</v>
      </c>
      <c r="F40" s="84">
        <f>SUM(E40*155/1000)</f>
        <v>7.4865000000000004</v>
      </c>
      <c r="G40" s="84">
        <v>436.45</v>
      </c>
      <c r="H40" s="85">
        <f t="shared" si="1"/>
        <v>3.2674829250000004</v>
      </c>
      <c r="I40" s="13">
        <f t="shared" si="2"/>
        <v>544.5804875</v>
      </c>
      <c r="J40" s="23"/>
    </row>
    <row r="41" spans="1:14" ht="47.25" customHeight="1">
      <c r="A41" s="33">
        <v>7</v>
      </c>
      <c r="B41" s="81" t="s">
        <v>79</v>
      </c>
      <c r="C41" s="82" t="s">
        <v>100</v>
      </c>
      <c r="D41" s="81" t="s">
        <v>170</v>
      </c>
      <c r="E41" s="84">
        <f>E39</f>
        <v>48.3</v>
      </c>
      <c r="F41" s="84">
        <f>SUM(E41*35/1000)</f>
        <v>1.6904999999999999</v>
      </c>
      <c r="G41" s="84">
        <v>7221.21</v>
      </c>
      <c r="H41" s="85">
        <f t="shared" si="1"/>
        <v>12.207455505</v>
      </c>
      <c r="I41" s="13">
        <f t="shared" si="2"/>
        <v>2034.5759175000001</v>
      </c>
      <c r="J41" s="23"/>
      <c r="L41" s="19"/>
      <c r="M41" s="20"/>
      <c r="N41" s="21"/>
    </row>
    <row r="42" spans="1:14" ht="15.75" hidden="1" customHeight="1">
      <c r="A42" s="33">
        <v>8</v>
      </c>
      <c r="B42" s="81" t="s">
        <v>109</v>
      </c>
      <c r="C42" s="82" t="s">
        <v>100</v>
      </c>
      <c r="D42" s="81" t="s">
        <v>171</v>
      </c>
      <c r="E42" s="84">
        <f>E39</f>
        <v>48.3</v>
      </c>
      <c r="F42" s="84">
        <f>SUM(E42*20/1000)</f>
        <v>0.96599999999999997</v>
      </c>
      <c r="G42" s="84">
        <v>533.45000000000005</v>
      </c>
      <c r="H42" s="85">
        <f t="shared" si="1"/>
        <v>0.51531270000000007</v>
      </c>
      <c r="I42" s="13">
        <f>F42/7.5*1.5*G42</f>
        <v>103.06254</v>
      </c>
      <c r="J42" s="23"/>
      <c r="L42" s="19"/>
      <c r="M42" s="20"/>
      <c r="N42" s="21"/>
    </row>
    <row r="43" spans="1:14" ht="15.75" hidden="1" customHeight="1">
      <c r="A43" s="33">
        <v>9</v>
      </c>
      <c r="B43" s="81" t="s">
        <v>68</v>
      </c>
      <c r="C43" s="82" t="s">
        <v>31</v>
      </c>
      <c r="D43" s="81"/>
      <c r="E43" s="83"/>
      <c r="F43" s="84">
        <v>0.5</v>
      </c>
      <c r="G43" s="84">
        <v>992.97</v>
      </c>
      <c r="H43" s="85">
        <f t="shared" si="1"/>
        <v>0.49648500000000001</v>
      </c>
      <c r="I43" s="13">
        <f>F43/7.5*1.5*G43</f>
        <v>99.297000000000011</v>
      </c>
      <c r="J43" s="23"/>
      <c r="L43" s="19"/>
      <c r="M43" s="20"/>
      <c r="N43" s="21"/>
    </row>
    <row r="44" spans="1:14" ht="21" hidden="1" customHeight="1">
      <c r="A44" s="154" t="s">
        <v>134</v>
      </c>
      <c r="B44" s="155"/>
      <c r="C44" s="155"/>
      <c r="D44" s="155"/>
      <c r="E44" s="155"/>
      <c r="F44" s="155"/>
      <c r="G44" s="155"/>
      <c r="H44" s="155"/>
      <c r="I44" s="156"/>
      <c r="J44" s="23"/>
      <c r="L44" s="19"/>
      <c r="M44" s="20"/>
      <c r="N44" s="21"/>
    </row>
    <row r="45" spans="1:14" ht="30" hidden="1" customHeight="1">
      <c r="A45" s="41">
        <v>15</v>
      </c>
      <c r="B45" s="81" t="s">
        <v>111</v>
      </c>
      <c r="C45" s="82" t="s">
        <v>100</v>
      </c>
      <c r="D45" s="81" t="s">
        <v>41</v>
      </c>
      <c r="E45" s="83">
        <v>1044.7</v>
      </c>
      <c r="F45" s="84">
        <f>SUM(E45*2/1000)</f>
        <v>2.0893999999999999</v>
      </c>
      <c r="G45" s="13">
        <v>1283.46</v>
      </c>
      <c r="H45" s="85">
        <f t="shared" ref="H45:H55" si="3">SUM(F45*G45/1000)</f>
        <v>2.6816613240000002</v>
      </c>
      <c r="I45" s="13">
        <v>0</v>
      </c>
      <c r="J45" s="23"/>
      <c r="L45" s="19"/>
      <c r="M45" s="20"/>
      <c r="N45" s="21"/>
    </row>
    <row r="46" spans="1:14" ht="33" hidden="1" customHeight="1">
      <c r="A46" s="41"/>
      <c r="B46" s="81" t="s">
        <v>34</v>
      </c>
      <c r="C46" s="82" t="s">
        <v>100</v>
      </c>
      <c r="D46" s="81" t="s">
        <v>41</v>
      </c>
      <c r="E46" s="83">
        <v>19.8</v>
      </c>
      <c r="F46" s="84">
        <f>SUM(E46*2/1000)</f>
        <v>3.9600000000000003E-2</v>
      </c>
      <c r="G46" s="13">
        <v>4192.6400000000003</v>
      </c>
      <c r="H46" s="85">
        <f t="shared" si="3"/>
        <v>0.16602854400000003</v>
      </c>
      <c r="I46" s="13">
        <v>0</v>
      </c>
      <c r="J46" s="23"/>
      <c r="L46" s="19"/>
      <c r="M46" s="20"/>
      <c r="N46" s="21"/>
    </row>
    <row r="47" spans="1:14" ht="34.5" hidden="1" customHeight="1">
      <c r="A47" s="41">
        <v>16</v>
      </c>
      <c r="B47" s="81" t="s">
        <v>35</v>
      </c>
      <c r="C47" s="82" t="s">
        <v>100</v>
      </c>
      <c r="D47" s="81" t="s">
        <v>41</v>
      </c>
      <c r="E47" s="83">
        <v>660.84</v>
      </c>
      <c r="F47" s="84">
        <f>SUM(E47*2/1000)</f>
        <v>1.32168</v>
      </c>
      <c r="G47" s="13">
        <v>1711.28</v>
      </c>
      <c r="H47" s="85">
        <f t="shared" si="3"/>
        <v>2.2617645503999997</v>
      </c>
      <c r="I47" s="13">
        <v>0</v>
      </c>
      <c r="J47" s="23"/>
      <c r="L47" s="19"/>
      <c r="M47" s="20"/>
      <c r="N47" s="21"/>
    </row>
    <row r="48" spans="1:14" ht="37.5" hidden="1" customHeight="1">
      <c r="A48" s="41">
        <v>17</v>
      </c>
      <c r="B48" s="81" t="s">
        <v>36</v>
      </c>
      <c r="C48" s="82" t="s">
        <v>100</v>
      </c>
      <c r="D48" s="81" t="s">
        <v>41</v>
      </c>
      <c r="E48" s="83">
        <v>1156.21</v>
      </c>
      <c r="F48" s="84">
        <f>SUM(E48*2/1000)</f>
        <v>2.3124199999999999</v>
      </c>
      <c r="G48" s="13">
        <v>1179.73</v>
      </c>
      <c r="H48" s="85">
        <f t="shared" si="3"/>
        <v>2.7280312466000001</v>
      </c>
      <c r="I48" s="13">
        <v>0</v>
      </c>
      <c r="J48" s="23"/>
      <c r="L48" s="19"/>
      <c r="M48" s="20"/>
      <c r="N48" s="21"/>
    </row>
    <row r="49" spans="1:14" ht="36" hidden="1" customHeight="1">
      <c r="A49" s="41">
        <v>18</v>
      </c>
      <c r="B49" s="81" t="s">
        <v>32</v>
      </c>
      <c r="C49" s="82" t="s">
        <v>33</v>
      </c>
      <c r="D49" s="81" t="s">
        <v>138</v>
      </c>
      <c r="E49" s="83">
        <v>17.2</v>
      </c>
      <c r="F49" s="84">
        <f>SUM(E49*2/100)</f>
        <v>0.34399999999999997</v>
      </c>
      <c r="G49" s="13">
        <v>90.61</v>
      </c>
      <c r="H49" s="85">
        <f t="shared" si="3"/>
        <v>3.1169839999999997E-2</v>
      </c>
      <c r="I49" s="13">
        <v>0</v>
      </c>
      <c r="J49" s="23"/>
      <c r="L49" s="19"/>
      <c r="M49" s="20"/>
      <c r="N49" s="21"/>
    </row>
    <row r="50" spans="1:14" ht="36.75" hidden="1" customHeight="1">
      <c r="A50" s="41">
        <v>12</v>
      </c>
      <c r="B50" s="81" t="s">
        <v>55</v>
      </c>
      <c r="C50" s="82" t="s">
        <v>100</v>
      </c>
      <c r="D50" s="81" t="s">
        <v>140</v>
      </c>
      <c r="E50" s="83">
        <v>1839.1</v>
      </c>
      <c r="F50" s="84">
        <f>SUM(E50*5/1000)</f>
        <v>9.1954999999999991</v>
      </c>
      <c r="G50" s="13">
        <v>1711.28</v>
      </c>
      <c r="H50" s="85">
        <f t="shared" si="3"/>
        <v>15.736075239999998</v>
      </c>
      <c r="I50" s="13">
        <f>F50/5*G50</f>
        <v>3147.2150479999996</v>
      </c>
      <c r="J50" s="23"/>
      <c r="L50" s="19"/>
      <c r="M50" s="20"/>
      <c r="N50" s="21"/>
    </row>
    <row r="51" spans="1:14" ht="36.75" hidden="1" customHeight="1">
      <c r="A51" s="41">
        <v>12</v>
      </c>
      <c r="B51" s="81" t="s">
        <v>112</v>
      </c>
      <c r="C51" s="82" t="s">
        <v>100</v>
      </c>
      <c r="D51" s="81" t="s">
        <v>41</v>
      </c>
      <c r="E51" s="83">
        <f>E50</f>
        <v>1839.1</v>
      </c>
      <c r="F51" s="84">
        <f>SUM(E51*2/1000)</f>
        <v>3.6781999999999999</v>
      </c>
      <c r="G51" s="13">
        <v>1510.06</v>
      </c>
      <c r="H51" s="85">
        <f t="shared" si="3"/>
        <v>5.5543026919999994</v>
      </c>
      <c r="I51" s="13">
        <f>F51/2*G51</f>
        <v>2777.1513459999996</v>
      </c>
      <c r="J51" s="23"/>
      <c r="L51" s="19"/>
      <c r="M51" s="20"/>
      <c r="N51" s="21"/>
    </row>
    <row r="52" spans="1:14" ht="33" hidden="1" customHeight="1">
      <c r="A52" s="41">
        <v>13</v>
      </c>
      <c r="B52" s="81" t="s">
        <v>113</v>
      </c>
      <c r="C52" s="82" t="s">
        <v>37</v>
      </c>
      <c r="D52" s="81" t="s">
        <v>41</v>
      </c>
      <c r="E52" s="83">
        <v>9</v>
      </c>
      <c r="F52" s="84">
        <f>SUM(E52*2/100)</f>
        <v>0.18</v>
      </c>
      <c r="G52" s="13">
        <v>3850.4</v>
      </c>
      <c r="H52" s="85">
        <f t="shared" si="3"/>
        <v>0.69307200000000002</v>
      </c>
      <c r="I52" s="13">
        <f>F52/2*G52</f>
        <v>346.536</v>
      </c>
      <c r="J52" s="23"/>
      <c r="L52" s="19"/>
      <c r="M52" s="20"/>
      <c r="N52" s="21"/>
    </row>
    <row r="53" spans="1:14" ht="24.75" hidden="1" customHeight="1">
      <c r="A53" s="41">
        <v>14</v>
      </c>
      <c r="B53" s="81" t="s">
        <v>38</v>
      </c>
      <c r="C53" s="82" t="s">
        <v>39</v>
      </c>
      <c r="D53" s="81" t="s">
        <v>41</v>
      </c>
      <c r="E53" s="83">
        <v>1</v>
      </c>
      <c r="F53" s="84">
        <v>0.02</v>
      </c>
      <c r="G53" s="13">
        <v>7033.13</v>
      </c>
      <c r="H53" s="85">
        <f t="shared" si="3"/>
        <v>0.1406626</v>
      </c>
      <c r="I53" s="13">
        <f>F53/2*G53</f>
        <v>70.331299999999999</v>
      </c>
      <c r="J53" s="23"/>
      <c r="L53" s="19"/>
      <c r="M53" s="20"/>
      <c r="N53" s="21"/>
    </row>
    <row r="54" spans="1:14" ht="26.25" hidden="1" customHeight="1">
      <c r="A54" s="41">
        <v>13</v>
      </c>
      <c r="B54" s="81" t="s">
        <v>139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175.6</v>
      </c>
      <c r="H54" s="85">
        <f t="shared" si="3"/>
        <v>18.9648</v>
      </c>
      <c r="I54" s="13">
        <f>E54*G54</f>
        <v>6321.5999999999995</v>
      </c>
      <c r="J54" s="23"/>
      <c r="L54" s="19"/>
      <c r="M54" s="20"/>
      <c r="N54" s="21"/>
    </row>
    <row r="55" spans="1:14" ht="20.25" hidden="1" customHeight="1">
      <c r="A55" s="41">
        <v>14</v>
      </c>
      <c r="B55" s="81" t="s">
        <v>40</v>
      </c>
      <c r="C55" s="82" t="s">
        <v>29</v>
      </c>
      <c r="D55" s="81" t="s">
        <v>69</v>
      </c>
      <c r="E55" s="83">
        <v>36</v>
      </c>
      <c r="F55" s="84">
        <f>E55*3</f>
        <v>108</v>
      </c>
      <c r="G55" s="13">
        <v>81.73</v>
      </c>
      <c r="H55" s="85">
        <f t="shared" si="3"/>
        <v>8.8268400000000007</v>
      </c>
      <c r="I55" s="13">
        <f>E55*G55</f>
        <v>2942.28</v>
      </c>
      <c r="J55" s="23"/>
      <c r="L55" s="19"/>
      <c r="M55" s="20"/>
      <c r="N55" s="21"/>
    </row>
    <row r="56" spans="1:14" ht="15.75" customHeight="1">
      <c r="A56" s="154" t="s">
        <v>147</v>
      </c>
      <c r="B56" s="155"/>
      <c r="C56" s="155"/>
      <c r="D56" s="155"/>
      <c r="E56" s="155"/>
      <c r="F56" s="155"/>
      <c r="G56" s="155"/>
      <c r="H56" s="155"/>
      <c r="I56" s="156"/>
      <c r="J56" s="23"/>
      <c r="L56" s="19"/>
      <c r="M56" s="20"/>
      <c r="N56" s="21"/>
    </row>
    <row r="57" spans="1:14" ht="15.75" hidden="1" customHeight="1">
      <c r="A57" s="80"/>
      <c r="B57" s="48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hidden="1" customHeight="1">
      <c r="A58" s="41">
        <v>15</v>
      </c>
      <c r="B58" s="81" t="s">
        <v>115</v>
      </c>
      <c r="C58" s="82" t="s">
        <v>141</v>
      </c>
      <c r="D58" s="81" t="s">
        <v>70</v>
      </c>
      <c r="E58" s="83">
        <v>12.5</v>
      </c>
      <c r="F58" s="84">
        <f>E58*6/100</f>
        <v>0.75</v>
      </c>
      <c r="G58" s="90">
        <v>2306.62</v>
      </c>
      <c r="H58" s="85">
        <f>F58*G58/1000</f>
        <v>1.729965</v>
      </c>
      <c r="I58" s="13">
        <f>G58*0.651</f>
        <v>1501.6096199999999</v>
      </c>
      <c r="J58" s="23"/>
      <c r="L58" s="19"/>
      <c r="M58" s="20"/>
      <c r="N58" s="21"/>
    </row>
    <row r="59" spans="1:14" ht="15.75" hidden="1" customHeight="1">
      <c r="A59" s="41">
        <v>16</v>
      </c>
      <c r="B59" s="91" t="s">
        <v>82</v>
      </c>
      <c r="C59" s="92" t="s">
        <v>116</v>
      </c>
      <c r="D59" s="37" t="s">
        <v>65</v>
      </c>
      <c r="E59" s="93"/>
      <c r="F59" s="94">
        <v>2</v>
      </c>
      <c r="G59" s="95">
        <v>1501</v>
      </c>
      <c r="H59" s="85">
        <f>F59*G59/1000</f>
        <v>3.0019999999999998</v>
      </c>
      <c r="I59" s="13">
        <f>G59</f>
        <v>1501</v>
      </c>
      <c r="J59" s="23"/>
      <c r="L59" s="19"/>
      <c r="M59" s="20"/>
      <c r="N59" s="21"/>
    </row>
    <row r="60" spans="1:14" ht="15.75" hidden="1" customHeight="1">
      <c r="A60" s="41"/>
      <c r="B60" s="74" t="s">
        <v>43</v>
      </c>
      <c r="C60" s="74"/>
      <c r="D60" s="74"/>
      <c r="E60" s="74"/>
      <c r="F60" s="75"/>
      <c r="G60" s="63"/>
      <c r="H60" s="63"/>
      <c r="I60" s="35"/>
      <c r="J60" s="23"/>
      <c r="L60" s="19"/>
      <c r="M60" s="20"/>
      <c r="N60" s="21"/>
    </row>
    <row r="61" spans="1:14" ht="15.75" hidden="1" customHeight="1">
      <c r="A61" s="41">
        <v>27</v>
      </c>
      <c r="B61" s="91" t="s">
        <v>44</v>
      </c>
      <c r="C61" s="92" t="s">
        <v>52</v>
      </c>
      <c r="D61" s="91" t="s">
        <v>53</v>
      </c>
      <c r="E61" s="93">
        <v>164</v>
      </c>
      <c r="F61" s="94">
        <f>E61/100</f>
        <v>1.64</v>
      </c>
      <c r="G61" s="95">
        <v>987.51</v>
      </c>
      <c r="H61" s="96">
        <f>G61*F61/1000</f>
        <v>1.6195164</v>
      </c>
      <c r="I61" s="13">
        <v>0</v>
      </c>
      <c r="J61" s="23"/>
      <c r="L61" s="19"/>
      <c r="M61" s="20"/>
      <c r="N61" s="21"/>
    </row>
    <row r="62" spans="1:14" ht="15.75" customHeight="1">
      <c r="A62" s="41"/>
      <c r="B62" s="74" t="s">
        <v>45</v>
      </c>
      <c r="C62" s="16"/>
      <c r="D62" s="37"/>
      <c r="E62" s="15"/>
      <c r="F62" s="76"/>
      <c r="G62" s="64"/>
      <c r="H62" s="63"/>
      <c r="I62" s="18"/>
      <c r="J62" s="23"/>
      <c r="L62" s="19"/>
    </row>
    <row r="63" spans="1:14" ht="15.75" hidden="1" customHeight="1">
      <c r="A63" s="41">
        <v>17</v>
      </c>
      <c r="B63" s="97" t="s">
        <v>46</v>
      </c>
      <c r="C63" s="16" t="s">
        <v>114</v>
      </c>
      <c r="D63" s="97" t="s">
        <v>65</v>
      </c>
      <c r="E63" s="18">
        <v>1</v>
      </c>
      <c r="F63" s="84">
        <f>E63</f>
        <v>1</v>
      </c>
      <c r="G63" s="13">
        <v>276.74</v>
      </c>
      <c r="H63" s="98">
        <f t="shared" ref="H63:H71" si="4">SUM(F63*G63/1000)</f>
        <v>0.27673999999999999</v>
      </c>
      <c r="I63" s="13">
        <v>0</v>
      </c>
    </row>
    <row r="64" spans="1:14" ht="15.75" hidden="1" customHeight="1">
      <c r="A64" s="29">
        <v>29</v>
      </c>
      <c r="B64" s="97" t="s">
        <v>47</v>
      </c>
      <c r="C64" s="16" t="s">
        <v>114</v>
      </c>
      <c r="D64" s="97" t="s">
        <v>65</v>
      </c>
      <c r="E64" s="18">
        <v>3</v>
      </c>
      <c r="F64" s="84">
        <v>3</v>
      </c>
      <c r="G64" s="13">
        <v>94.89</v>
      </c>
      <c r="H64" s="98">
        <f t="shared" si="4"/>
        <v>0.28467000000000003</v>
      </c>
      <c r="I64" s="13">
        <v>0</v>
      </c>
    </row>
    <row r="65" spans="1:22" ht="15.75" hidden="1" customHeight="1">
      <c r="A65" s="29">
        <v>8</v>
      </c>
      <c r="B65" s="97" t="s">
        <v>48</v>
      </c>
      <c r="C65" s="16" t="s">
        <v>117</v>
      </c>
      <c r="D65" s="97" t="s">
        <v>53</v>
      </c>
      <c r="E65" s="83">
        <v>7265</v>
      </c>
      <c r="F65" s="13">
        <f>SUM(E65/100)</f>
        <v>72.650000000000006</v>
      </c>
      <c r="G65" s="13">
        <v>263.99</v>
      </c>
      <c r="H65" s="98">
        <f t="shared" si="4"/>
        <v>19.178873500000002</v>
      </c>
      <c r="I65" s="13">
        <v>0</v>
      </c>
    </row>
    <row r="66" spans="1:22" ht="15.75" hidden="1" customHeight="1">
      <c r="A66" s="29">
        <v>9</v>
      </c>
      <c r="B66" s="97" t="s">
        <v>49</v>
      </c>
      <c r="C66" s="16" t="s">
        <v>118</v>
      </c>
      <c r="D66" s="97" t="s">
        <v>53</v>
      </c>
      <c r="E66" s="83">
        <f>E65</f>
        <v>7265</v>
      </c>
      <c r="F66" s="13">
        <f>SUM(E66/1000)</f>
        <v>7.2649999999999997</v>
      </c>
      <c r="G66" s="13">
        <v>205.57</v>
      </c>
      <c r="H66" s="98">
        <f t="shared" si="4"/>
        <v>1.4934660500000001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7" t="s">
        <v>50</v>
      </c>
      <c r="C67" s="16" t="s">
        <v>75</v>
      </c>
      <c r="D67" s="97" t="s">
        <v>53</v>
      </c>
      <c r="E67" s="83">
        <v>1090</v>
      </c>
      <c r="F67" s="13">
        <f>SUM(E67/100)</f>
        <v>10.9</v>
      </c>
      <c r="G67" s="13">
        <v>2581.5300000000002</v>
      </c>
      <c r="H67" s="98">
        <f t="shared" si="4"/>
        <v>28.138677000000005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99" t="s">
        <v>119</v>
      </c>
      <c r="C68" s="16" t="s">
        <v>31</v>
      </c>
      <c r="D68" s="97"/>
      <c r="E68" s="83">
        <v>7.6</v>
      </c>
      <c r="F68" s="13">
        <f>SUM(E68)</f>
        <v>7.6</v>
      </c>
      <c r="G68" s="13">
        <v>47.45</v>
      </c>
      <c r="H68" s="98">
        <f t="shared" si="4"/>
        <v>0.36062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99" t="s">
        <v>142</v>
      </c>
      <c r="C69" s="16" t="s">
        <v>31</v>
      </c>
      <c r="D69" s="97"/>
      <c r="E69" s="83">
        <f>E68</f>
        <v>7.6</v>
      </c>
      <c r="F69" s="13">
        <f>SUM(E69)</f>
        <v>7.6</v>
      </c>
      <c r="G69" s="13">
        <v>44.27</v>
      </c>
      <c r="H69" s="98">
        <f t="shared" si="4"/>
        <v>0.33645199999999997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138"/>
      <c r="S69" s="138"/>
      <c r="T69" s="138"/>
      <c r="U69" s="138"/>
    </row>
    <row r="70" spans="1:22" ht="15.75" hidden="1" customHeight="1">
      <c r="A70" s="29">
        <v>13</v>
      </c>
      <c r="B70" s="97" t="s">
        <v>56</v>
      </c>
      <c r="C70" s="16" t="s">
        <v>57</v>
      </c>
      <c r="D70" s="97" t="s">
        <v>53</v>
      </c>
      <c r="E70" s="18">
        <v>2</v>
      </c>
      <c r="F70" s="84">
        <f>SUM(E70)</f>
        <v>2</v>
      </c>
      <c r="G70" s="13">
        <v>62.07</v>
      </c>
      <c r="H70" s="98">
        <f t="shared" si="4"/>
        <v>0.12414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customHeight="1">
      <c r="A71" s="29">
        <v>8</v>
      </c>
      <c r="B71" s="97" t="s">
        <v>83</v>
      </c>
      <c r="C71" s="41" t="s">
        <v>129</v>
      </c>
      <c r="D71" s="37"/>
      <c r="E71" s="17">
        <v>1839.1</v>
      </c>
      <c r="F71" s="100">
        <f>SUM(E71*12)</f>
        <v>22069.199999999997</v>
      </c>
      <c r="G71" s="13">
        <v>2.16</v>
      </c>
      <c r="H71" s="98">
        <f t="shared" si="4"/>
        <v>47.669471999999992</v>
      </c>
      <c r="I71" s="13">
        <f>F71/12*G71</f>
        <v>3972.4559999999997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29"/>
      <c r="B72" s="49" t="s">
        <v>71</v>
      </c>
      <c r="C72" s="49"/>
      <c r="D72" s="49"/>
      <c r="E72" s="18"/>
      <c r="F72" s="18"/>
      <c r="G72" s="29"/>
      <c r="H72" s="29"/>
      <c r="I72" s="18"/>
    </row>
    <row r="73" spans="1:22" ht="15.75" hidden="1" customHeight="1">
      <c r="A73" s="29"/>
      <c r="B73" s="97" t="s">
        <v>121</v>
      </c>
      <c r="C73" s="16" t="s">
        <v>122</v>
      </c>
      <c r="D73" s="97" t="s">
        <v>65</v>
      </c>
      <c r="E73" s="18">
        <v>1</v>
      </c>
      <c r="F73" s="13">
        <f>E73</f>
        <v>1</v>
      </c>
      <c r="G73" s="13">
        <v>976.4</v>
      </c>
      <c r="H73" s="98">
        <f t="shared" ref="H73:H77" si="5">SUM(F73*G73/1000)</f>
        <v>0.97639999999999993</v>
      </c>
      <c r="I73" s="13">
        <v>0</v>
      </c>
    </row>
    <row r="74" spans="1:22" ht="15.75" hidden="1" customHeight="1">
      <c r="A74" s="29"/>
      <c r="B74" s="97" t="s">
        <v>123</v>
      </c>
      <c r="C74" s="16" t="s">
        <v>124</v>
      </c>
      <c r="D74" s="97"/>
      <c r="E74" s="18">
        <v>1</v>
      </c>
      <c r="F74" s="13">
        <v>1</v>
      </c>
      <c r="G74" s="13">
        <v>650</v>
      </c>
      <c r="H74" s="98">
        <f t="shared" si="5"/>
        <v>0.65</v>
      </c>
      <c r="I74" s="13">
        <v>0</v>
      </c>
    </row>
    <row r="75" spans="1:22" ht="15.75" hidden="1" customHeight="1">
      <c r="A75" s="29"/>
      <c r="B75" s="97" t="s">
        <v>72</v>
      </c>
      <c r="C75" s="16" t="s">
        <v>143</v>
      </c>
      <c r="D75" s="97" t="s">
        <v>65</v>
      </c>
      <c r="E75" s="18">
        <v>3</v>
      </c>
      <c r="F75" s="13">
        <f>E75/10</f>
        <v>0.3</v>
      </c>
      <c r="G75" s="13">
        <v>624.16999999999996</v>
      </c>
      <c r="H75" s="98">
        <f t="shared" si="5"/>
        <v>0.18725099999999997</v>
      </c>
      <c r="I75" s="13">
        <v>0</v>
      </c>
    </row>
    <row r="76" spans="1:22" ht="15.75" hidden="1" customHeight="1">
      <c r="A76" s="29"/>
      <c r="B76" s="97" t="s">
        <v>73</v>
      </c>
      <c r="C76" s="16" t="s">
        <v>29</v>
      </c>
      <c r="D76" s="97" t="s">
        <v>65</v>
      </c>
      <c r="E76" s="18">
        <v>1</v>
      </c>
      <c r="F76" s="13">
        <v>1</v>
      </c>
      <c r="G76" s="13">
        <v>1061.4100000000001</v>
      </c>
      <c r="H76" s="98">
        <f t="shared" si="5"/>
        <v>1.0614100000000002</v>
      </c>
      <c r="I76" s="13">
        <v>0</v>
      </c>
    </row>
    <row r="77" spans="1:22" ht="15.75" hidden="1" customHeight="1">
      <c r="A77" s="29">
        <v>17</v>
      </c>
      <c r="B77" s="97" t="s">
        <v>84</v>
      </c>
      <c r="C77" s="16" t="s">
        <v>29</v>
      </c>
      <c r="D77" s="97" t="s">
        <v>65</v>
      </c>
      <c r="E77" s="18">
        <v>1</v>
      </c>
      <c r="F77" s="84">
        <f>SUM(E77)</f>
        <v>1</v>
      </c>
      <c r="G77" s="13">
        <v>446.12</v>
      </c>
      <c r="H77" s="98">
        <f t="shared" si="5"/>
        <v>0.44612000000000002</v>
      </c>
      <c r="I77" s="13">
        <f>G77</f>
        <v>446.12</v>
      </c>
    </row>
    <row r="78" spans="1:22" ht="15.75" hidden="1" customHeight="1">
      <c r="A78" s="29"/>
      <c r="B78" s="50" t="s">
        <v>74</v>
      </c>
      <c r="C78" s="38"/>
      <c r="D78" s="29"/>
      <c r="E78" s="18"/>
      <c r="F78" s="18"/>
      <c r="G78" s="36"/>
      <c r="H78" s="36"/>
      <c r="I78" s="18"/>
    </row>
    <row r="79" spans="1:22" ht="15.75" hidden="1" customHeight="1">
      <c r="A79" s="29">
        <v>39</v>
      </c>
      <c r="B79" s="39" t="s">
        <v>125</v>
      </c>
      <c r="C79" s="16" t="s">
        <v>75</v>
      </c>
      <c r="D79" s="97"/>
      <c r="E79" s="18"/>
      <c r="F79" s="13">
        <v>1.3</v>
      </c>
      <c r="G79" s="13">
        <v>3433.68</v>
      </c>
      <c r="H79" s="98">
        <f t="shared" ref="H79" si="6">SUM(F79*G79/1000)</f>
        <v>4.4637839999999995</v>
      </c>
      <c r="I79" s="13">
        <v>0</v>
      </c>
    </row>
    <row r="80" spans="1:22" ht="15.75" hidden="1" customHeight="1">
      <c r="A80" s="80"/>
      <c r="B80" s="74" t="s">
        <v>120</v>
      </c>
      <c r="C80" s="74"/>
      <c r="D80" s="74"/>
      <c r="E80" s="74"/>
      <c r="F80" s="74"/>
      <c r="G80" s="74"/>
      <c r="H80" s="74"/>
      <c r="I80" s="18"/>
    </row>
    <row r="81" spans="1:9" ht="15.75" hidden="1" customHeight="1">
      <c r="A81" s="112">
        <v>15</v>
      </c>
      <c r="B81" s="91" t="s">
        <v>87</v>
      </c>
      <c r="C81" s="113"/>
      <c r="D81" s="114"/>
      <c r="E81" s="101"/>
      <c r="F81" s="115">
        <v>1</v>
      </c>
      <c r="G81" s="115">
        <v>13707.8</v>
      </c>
      <c r="H81" s="116">
        <f>G81*F81/1000</f>
        <v>13.707799999999999</v>
      </c>
      <c r="I81" s="115">
        <f>G81</f>
        <v>13707.8</v>
      </c>
    </row>
    <row r="82" spans="1:9" ht="15.75" hidden="1" customHeight="1">
      <c r="A82" s="29"/>
      <c r="B82" s="117" t="s">
        <v>71</v>
      </c>
      <c r="C82" s="16"/>
      <c r="D82" s="97"/>
      <c r="E82" s="18"/>
      <c r="F82" s="13"/>
      <c r="G82" s="13"/>
      <c r="H82" s="13"/>
      <c r="I82" s="13"/>
    </row>
    <row r="83" spans="1:9" ht="15.75" hidden="1" customHeight="1">
      <c r="A83" s="29">
        <v>18</v>
      </c>
      <c r="B83" s="37" t="s">
        <v>84</v>
      </c>
      <c r="C83" s="38" t="s">
        <v>29</v>
      </c>
      <c r="D83" s="37" t="s">
        <v>65</v>
      </c>
      <c r="E83" s="18"/>
      <c r="F83" s="13"/>
      <c r="G83" s="118">
        <v>446.12</v>
      </c>
      <c r="H83" s="13"/>
      <c r="I83" s="13">
        <f>G83*1</f>
        <v>446.12</v>
      </c>
    </row>
    <row r="84" spans="1:9" ht="15.75" customHeight="1">
      <c r="A84" s="140" t="s">
        <v>148</v>
      </c>
      <c r="B84" s="141"/>
      <c r="C84" s="141"/>
      <c r="D84" s="141"/>
      <c r="E84" s="141"/>
      <c r="F84" s="141"/>
      <c r="G84" s="141"/>
      <c r="H84" s="141"/>
      <c r="I84" s="142"/>
    </row>
    <row r="85" spans="1:9" ht="15.75" customHeight="1">
      <c r="A85" s="29">
        <v>9</v>
      </c>
      <c r="B85" s="81" t="s">
        <v>126</v>
      </c>
      <c r="C85" s="16" t="s">
        <v>54</v>
      </c>
      <c r="D85" s="102"/>
      <c r="E85" s="13">
        <v>1839.1</v>
      </c>
      <c r="F85" s="13">
        <f>SUM(E85*12)</f>
        <v>22069.199999999997</v>
      </c>
      <c r="G85" s="13">
        <v>2.95</v>
      </c>
      <c r="H85" s="98">
        <f>SUM(F85*G85/1000)</f>
        <v>65.104139999999987</v>
      </c>
      <c r="I85" s="13">
        <f>F85/12*G85</f>
        <v>5425.3449999999993</v>
      </c>
    </row>
    <row r="86" spans="1:9" ht="31.5" customHeight="1">
      <c r="A86" s="29">
        <v>10</v>
      </c>
      <c r="B86" s="97" t="s">
        <v>76</v>
      </c>
      <c r="C86" s="16"/>
      <c r="D86" s="102"/>
      <c r="E86" s="83">
        <v>1839.1</v>
      </c>
      <c r="F86" s="13">
        <f>E86*12</f>
        <v>22069.199999999997</v>
      </c>
      <c r="G86" s="13">
        <v>3.05</v>
      </c>
      <c r="H86" s="98">
        <f>F86*G86/1000</f>
        <v>67.311059999999983</v>
      </c>
      <c r="I86" s="13">
        <f>F86/12*G86</f>
        <v>5609.2549999999983</v>
      </c>
    </row>
    <row r="87" spans="1:9" ht="31.5" hidden="1" customHeight="1">
      <c r="A87" s="29">
        <v>13</v>
      </c>
      <c r="B87" s="97" t="s">
        <v>130</v>
      </c>
      <c r="C87" s="16" t="s">
        <v>131</v>
      </c>
      <c r="D87" s="102"/>
      <c r="E87" s="101"/>
      <c r="F87" s="13"/>
      <c r="G87" s="13"/>
      <c r="H87" s="98">
        <v>59.113</v>
      </c>
      <c r="I87" s="13">
        <f>59113/12</f>
        <v>4926.083333333333</v>
      </c>
    </row>
    <row r="88" spans="1:9" ht="15.75" customHeight="1">
      <c r="A88" s="80"/>
      <c r="B88" s="40" t="s">
        <v>78</v>
      </c>
      <c r="C88" s="41"/>
      <c r="D88" s="15"/>
      <c r="E88" s="15"/>
      <c r="F88" s="15"/>
      <c r="G88" s="18"/>
      <c r="H88" s="18"/>
      <c r="I88" s="31">
        <f>I86+I85+I71+I41+I40+I39+I27+I18+I17+I16</f>
        <v>24616.47789666666</v>
      </c>
    </row>
    <row r="89" spans="1:9" ht="15.75" customHeight="1">
      <c r="A89" s="143" t="s">
        <v>59</v>
      </c>
      <c r="B89" s="144"/>
      <c r="C89" s="144"/>
      <c r="D89" s="144"/>
      <c r="E89" s="144"/>
      <c r="F89" s="144"/>
      <c r="G89" s="144"/>
      <c r="H89" s="144"/>
      <c r="I89" s="145"/>
    </row>
    <row r="90" spans="1:9" ht="17.25" customHeight="1">
      <c r="A90" s="103">
        <v>11</v>
      </c>
      <c r="B90" s="37" t="s">
        <v>158</v>
      </c>
      <c r="C90" s="38" t="s">
        <v>159</v>
      </c>
      <c r="D90" s="52"/>
      <c r="E90" s="13"/>
      <c r="F90" s="13">
        <v>2</v>
      </c>
      <c r="G90" s="36">
        <v>1.4</v>
      </c>
      <c r="H90" s="98">
        <f t="shared" ref="H90" si="7">G90*F90/1000</f>
        <v>2.8E-3</v>
      </c>
      <c r="I90" s="104">
        <f>G90*12</f>
        <v>16.799999999999997</v>
      </c>
    </row>
    <row r="91" spans="1:9" ht="36" customHeight="1">
      <c r="A91" s="103">
        <v>12</v>
      </c>
      <c r="B91" s="119" t="s">
        <v>162</v>
      </c>
      <c r="C91" s="65" t="s">
        <v>28</v>
      </c>
      <c r="D91" s="97"/>
      <c r="E91" s="18"/>
      <c r="F91" s="13"/>
      <c r="G91" s="36">
        <v>20547.34</v>
      </c>
      <c r="H91" s="13"/>
      <c r="I91" s="13">
        <f>G91*0.599*3/1000</f>
        <v>36.923569980000003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SUM(I90:I91)</f>
        <v>53.723569980000001</v>
      </c>
    </row>
    <row r="93" spans="1:9" ht="15.75" customHeight="1">
      <c r="A93" s="29"/>
      <c r="B93" s="52" t="s">
        <v>77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137</v>
      </c>
      <c r="C94" s="34"/>
      <c r="D94" s="34"/>
      <c r="E94" s="34"/>
      <c r="F94" s="34"/>
      <c r="G94" s="34"/>
      <c r="H94" s="34"/>
      <c r="I94" s="45">
        <f>I88+I92</f>
        <v>24670.20146664666</v>
      </c>
    </row>
    <row r="95" spans="1:9" ht="15.75">
      <c r="A95" s="146" t="s">
        <v>197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>
      <c r="A96" s="61"/>
      <c r="B96" s="130" t="s">
        <v>198</v>
      </c>
      <c r="C96" s="130"/>
      <c r="D96" s="130"/>
      <c r="E96" s="130"/>
      <c r="F96" s="130"/>
      <c r="G96" s="130"/>
      <c r="H96" s="79"/>
      <c r="I96" s="3"/>
    </row>
    <row r="97" spans="1:9">
      <c r="A97" s="70"/>
      <c r="B97" s="131" t="s">
        <v>6</v>
      </c>
      <c r="C97" s="131"/>
      <c r="D97" s="131"/>
      <c r="E97" s="131"/>
      <c r="F97" s="131"/>
      <c r="G97" s="131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5" t="s">
        <v>7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>
      <c r="A100" s="135" t="s">
        <v>8</v>
      </c>
      <c r="B100" s="135"/>
      <c r="C100" s="135"/>
      <c r="D100" s="135"/>
      <c r="E100" s="135"/>
      <c r="F100" s="135"/>
      <c r="G100" s="135"/>
      <c r="H100" s="135"/>
      <c r="I100" s="135"/>
    </row>
    <row r="101" spans="1:9" ht="15.75">
      <c r="A101" s="132" t="s">
        <v>60</v>
      </c>
      <c r="B101" s="132"/>
      <c r="C101" s="132"/>
      <c r="D101" s="132"/>
      <c r="E101" s="132"/>
      <c r="F101" s="132"/>
      <c r="G101" s="132"/>
      <c r="H101" s="132"/>
      <c r="I101" s="132"/>
    </row>
    <row r="102" spans="1:9" ht="15.75">
      <c r="A102" s="11"/>
    </row>
    <row r="103" spans="1:9" ht="15.75">
      <c r="A103" s="133" t="s">
        <v>9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>
      <c r="A104" s="4"/>
    </row>
    <row r="105" spans="1:9" ht="15.75">
      <c r="B105" s="69" t="s">
        <v>10</v>
      </c>
      <c r="C105" s="134" t="s">
        <v>85</v>
      </c>
      <c r="D105" s="134"/>
      <c r="E105" s="134"/>
      <c r="F105" s="77"/>
      <c r="I105" s="72"/>
    </row>
    <row r="106" spans="1:9">
      <c r="A106" s="70"/>
      <c r="C106" s="131" t="s">
        <v>11</v>
      </c>
      <c r="D106" s="131"/>
      <c r="E106" s="131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9" t="s">
        <v>13</v>
      </c>
      <c r="C108" s="137"/>
      <c r="D108" s="137"/>
      <c r="E108" s="137"/>
      <c r="F108" s="78"/>
      <c r="I108" s="72"/>
    </row>
    <row r="109" spans="1:9">
      <c r="A109" s="70"/>
      <c r="C109" s="138" t="s">
        <v>11</v>
      </c>
      <c r="D109" s="138"/>
      <c r="E109" s="138"/>
      <c r="F109" s="70"/>
      <c r="I109" s="71" t="s">
        <v>12</v>
      </c>
    </row>
    <row r="110" spans="1:9" ht="15.75">
      <c r="A110" s="4" t="s">
        <v>14</v>
      </c>
    </row>
    <row r="111" spans="1:9">
      <c r="A111" s="139" t="s">
        <v>15</v>
      </c>
      <c r="B111" s="139"/>
      <c r="C111" s="139"/>
      <c r="D111" s="139"/>
      <c r="E111" s="139"/>
      <c r="F111" s="139"/>
      <c r="G111" s="139"/>
      <c r="H111" s="139"/>
      <c r="I111" s="139"/>
    </row>
    <row r="112" spans="1:9" ht="45" customHeight="1">
      <c r="A112" s="136" t="s">
        <v>16</v>
      </c>
      <c r="B112" s="136"/>
      <c r="C112" s="136"/>
      <c r="D112" s="136"/>
      <c r="E112" s="136"/>
      <c r="F112" s="136"/>
      <c r="G112" s="136"/>
      <c r="H112" s="136"/>
      <c r="I112" s="136"/>
    </row>
    <row r="113" spans="1:9" ht="30" customHeight="1">
      <c r="A113" s="136" t="s">
        <v>17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30" customHeight="1">
      <c r="A114" s="136" t="s">
        <v>21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15.75">
      <c r="A115" s="136" t="s">
        <v>20</v>
      </c>
      <c r="B115" s="136"/>
      <c r="C115" s="136"/>
      <c r="D115" s="136"/>
      <c r="E115" s="136"/>
      <c r="F115" s="136"/>
      <c r="G115" s="136"/>
      <c r="H115" s="136"/>
      <c r="I115" s="136"/>
    </row>
  </sheetData>
  <autoFilter ref="I12:I64"/>
  <mergeCells count="29">
    <mergeCell ref="A111:I111"/>
    <mergeCell ref="A112:I112"/>
    <mergeCell ref="A113:I113"/>
    <mergeCell ref="A114:I114"/>
    <mergeCell ref="A115:I115"/>
    <mergeCell ref="R69:U69"/>
    <mergeCell ref="C109:E109"/>
    <mergeCell ref="A89:I8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topLeftCell="A52" workbookViewId="0">
      <selection activeCell="A95" sqref="A95: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150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199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43982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18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172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174</v>
      </c>
      <c r="E19" s="83">
        <v>15.3</v>
      </c>
      <c r="F19" s="84">
        <f>SUM(E19/10)</f>
        <v>1.53</v>
      </c>
      <c r="G19" s="84">
        <v>211.74</v>
      </c>
      <c r="H19" s="85">
        <f t="shared" ref="H19:H26" si="1">SUM(F19*G19/1000)</f>
        <v>0.32396219999999998</v>
      </c>
      <c r="I19" s="13">
        <f>F19*G19</f>
        <v>323.9622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94</v>
      </c>
      <c r="C20" s="82" t="s">
        <v>90</v>
      </c>
      <c r="D20" s="81" t="s">
        <v>172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1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95</v>
      </c>
      <c r="C21" s="82" t="s">
        <v>90</v>
      </c>
      <c r="D21" s="81" t="s">
        <v>172</v>
      </c>
      <c r="E21" s="83">
        <v>8.68</v>
      </c>
      <c r="F21" s="84">
        <f>SUM(E21*2/100)</f>
        <v>0.1736</v>
      </c>
      <c r="G21" s="84">
        <v>268.92</v>
      </c>
      <c r="H21" s="85">
        <f t="shared" si="1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175</v>
      </c>
      <c r="E22" s="83">
        <v>215</v>
      </c>
      <c r="F22" s="84">
        <f>SUM(E22/100)</f>
        <v>2.15</v>
      </c>
      <c r="G22" s="84">
        <v>335.05</v>
      </c>
      <c r="H22" s="85">
        <f t="shared" si="1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176</v>
      </c>
      <c r="E23" s="86">
        <v>17.64</v>
      </c>
      <c r="F23" s="84">
        <f>SUM(E23/100)</f>
        <v>0.1764</v>
      </c>
      <c r="G23" s="84">
        <v>55.1</v>
      </c>
      <c r="H23" s="85">
        <f t="shared" si="1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176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31.5" hidden="1" customHeight="1">
      <c r="A25" s="29">
        <v>10</v>
      </c>
      <c r="B25" s="81" t="s">
        <v>128</v>
      </c>
      <c r="C25" s="82" t="s">
        <v>52</v>
      </c>
      <c r="D25" s="81" t="s">
        <v>175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175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1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5</v>
      </c>
      <c r="B30" s="32" t="s">
        <v>99</v>
      </c>
      <c r="C30" s="82" t="s">
        <v>100</v>
      </c>
      <c r="D30" s="81" t="s">
        <v>166</v>
      </c>
      <c r="E30" s="84">
        <v>58</v>
      </c>
      <c r="F30" s="84">
        <f>SUM(E30*52/1000)</f>
        <v>3.016</v>
      </c>
      <c r="G30" s="84">
        <v>193.97</v>
      </c>
      <c r="H30" s="85">
        <f t="shared" ref="H30:H35" si="2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6</v>
      </c>
      <c r="B31" s="32" t="s">
        <v>102</v>
      </c>
      <c r="C31" s="82" t="s">
        <v>100</v>
      </c>
      <c r="D31" s="81" t="s">
        <v>165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2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customHeight="1">
      <c r="A32" s="41">
        <v>7</v>
      </c>
      <c r="B32" s="32" t="s">
        <v>26</v>
      </c>
      <c r="C32" s="82" t="s">
        <v>100</v>
      </c>
      <c r="D32" s="81" t="s">
        <v>172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2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8</v>
      </c>
      <c r="B33" s="32" t="s">
        <v>104</v>
      </c>
      <c r="C33" s="82" t="s">
        <v>39</v>
      </c>
      <c r="D33" s="81" t="s">
        <v>169</v>
      </c>
      <c r="E33" s="84">
        <v>1</v>
      </c>
      <c r="F33" s="84">
        <f>E33*155/100</f>
        <v>1.55</v>
      </c>
      <c r="G33" s="84">
        <v>1620.15</v>
      </c>
      <c r="H33" s="85">
        <f t="shared" si="2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 t="shared" si="2"/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 t="shared" si="2"/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3">
        <f t="shared" ref="I37:I42" si="4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106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3"/>
        <v>3.7912940100000001</v>
      </c>
      <c r="I38" s="13">
        <f t="shared" si="4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107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3"/>
        <v>3.2674829250000004</v>
      </c>
      <c r="I39" s="13">
        <f t="shared" si="4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100</v>
      </c>
      <c r="D40" s="81" t="s">
        <v>108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3"/>
        <v>12.207455505</v>
      </c>
      <c r="I40" s="13">
        <f t="shared" si="4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109</v>
      </c>
      <c r="C41" s="82" t="s">
        <v>100</v>
      </c>
      <c r="D41" s="81" t="s">
        <v>110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3"/>
        <v>0.51531270000000007</v>
      </c>
      <c r="I41" s="13">
        <f t="shared" si="4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3">
        <f t="shared" si="4"/>
        <v>82.747500000000002</v>
      </c>
      <c r="J42" s="23"/>
      <c r="L42" s="19"/>
      <c r="M42" s="20"/>
      <c r="N42" s="21"/>
    </row>
    <row r="43" spans="1:14" ht="15.75" customHeight="1">
      <c r="A43" s="154" t="s">
        <v>134</v>
      </c>
      <c r="B43" s="155"/>
      <c r="C43" s="155"/>
      <c r="D43" s="155"/>
      <c r="E43" s="155"/>
      <c r="F43" s="155"/>
      <c r="G43" s="155"/>
      <c r="H43" s="155"/>
      <c r="I43" s="156"/>
      <c r="J43" s="23"/>
      <c r="L43" s="19"/>
      <c r="M43" s="20"/>
      <c r="N43" s="21"/>
    </row>
    <row r="44" spans="1:14" ht="15.75" customHeight="1">
      <c r="A44" s="41">
        <v>9</v>
      </c>
      <c r="B44" s="81" t="s">
        <v>111</v>
      </c>
      <c r="C44" s="82" t="s">
        <v>100</v>
      </c>
      <c r="D44" s="81" t="s">
        <v>172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5">SUM(F44*G44/1000)</f>
        <v>2.6816613240000002</v>
      </c>
      <c r="I44" s="13">
        <f t="shared" ref="I44:I47" si="6">F44/2*G44</f>
        <v>1340.8306620000001</v>
      </c>
      <c r="J44" s="23"/>
      <c r="L44" s="19"/>
      <c r="M44" s="20"/>
      <c r="N44" s="21"/>
    </row>
    <row r="45" spans="1:14" ht="15.75" customHeight="1">
      <c r="A45" s="41">
        <v>10</v>
      </c>
      <c r="B45" s="81" t="s">
        <v>34</v>
      </c>
      <c r="C45" s="82" t="s">
        <v>100</v>
      </c>
      <c r="D45" s="81" t="s">
        <v>172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5"/>
        <v>0.16602854400000003</v>
      </c>
      <c r="I45" s="13">
        <f t="shared" si="6"/>
        <v>83.01427200000002</v>
      </c>
      <c r="J45" s="23"/>
      <c r="L45" s="19"/>
      <c r="M45" s="20"/>
      <c r="N45" s="21"/>
    </row>
    <row r="46" spans="1:14" ht="15.75" customHeight="1">
      <c r="A46" s="41">
        <v>11</v>
      </c>
      <c r="B46" s="81" t="s">
        <v>35</v>
      </c>
      <c r="C46" s="82" t="s">
        <v>100</v>
      </c>
      <c r="D46" s="81" t="s">
        <v>172</v>
      </c>
      <c r="E46" s="83">
        <v>660.84</v>
      </c>
      <c r="F46" s="84">
        <f>SUM(E46*2/1000)</f>
        <v>1.32168</v>
      </c>
      <c r="G46" s="13">
        <v>1711.28</v>
      </c>
      <c r="H46" s="85">
        <f t="shared" si="5"/>
        <v>2.2617645503999997</v>
      </c>
      <c r="I46" s="13">
        <f t="shared" si="6"/>
        <v>1130.8822751999999</v>
      </c>
      <c r="J46" s="23"/>
      <c r="L46" s="19"/>
      <c r="M46" s="20"/>
      <c r="N46" s="21"/>
    </row>
    <row r="47" spans="1:14" ht="15.75" customHeight="1">
      <c r="A47" s="41">
        <v>12</v>
      </c>
      <c r="B47" s="81" t="s">
        <v>36</v>
      </c>
      <c r="C47" s="82" t="s">
        <v>100</v>
      </c>
      <c r="D47" s="81">
        <v>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5"/>
        <v>2.7280312466000001</v>
      </c>
      <c r="I47" s="13">
        <f t="shared" si="6"/>
        <v>1364.0156233</v>
      </c>
      <c r="J47" s="23"/>
      <c r="L47" s="19"/>
      <c r="M47" s="20"/>
      <c r="N47" s="21"/>
    </row>
    <row r="48" spans="1:14" ht="15.75" customHeight="1">
      <c r="A48" s="41">
        <v>13</v>
      </c>
      <c r="B48" s="81" t="s">
        <v>32</v>
      </c>
      <c r="C48" s="82" t="s">
        <v>33</v>
      </c>
      <c r="D48" s="81" t="s">
        <v>138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5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customHeight="1">
      <c r="A49" s="41">
        <v>14</v>
      </c>
      <c r="B49" s="81" t="s">
        <v>55</v>
      </c>
      <c r="C49" s="82" t="s">
        <v>100</v>
      </c>
      <c r="D49" s="81" t="s">
        <v>140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5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2.25" customHeight="1">
      <c r="A50" s="41">
        <v>15</v>
      </c>
      <c r="B50" s="81" t="s">
        <v>112</v>
      </c>
      <c r="C50" s="82" t="s">
        <v>100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5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28.5" customHeight="1">
      <c r="A51" s="41">
        <v>16</v>
      </c>
      <c r="B51" s="81" t="s">
        <v>113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5"/>
        <v>0.69307200000000002</v>
      </c>
      <c r="I51" s="13">
        <f t="shared" ref="I51:I52" si="7">F51/2*G51</f>
        <v>346.536</v>
      </c>
      <c r="J51" s="23"/>
      <c r="L51" s="19"/>
      <c r="M51" s="20"/>
      <c r="N51" s="21"/>
    </row>
    <row r="52" spans="1:14" ht="18.75" customHeight="1">
      <c r="A52" s="41">
        <v>17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5"/>
        <v>0.1406626</v>
      </c>
      <c r="I52" s="13">
        <f t="shared" si="7"/>
        <v>70.331299999999999</v>
      </c>
      <c r="J52" s="23"/>
      <c r="L52" s="19"/>
      <c r="M52" s="20"/>
      <c r="N52" s="21"/>
    </row>
    <row r="53" spans="1:14" ht="15.75" customHeight="1">
      <c r="A53" s="41">
        <v>18</v>
      </c>
      <c r="B53" s="81" t="s">
        <v>139</v>
      </c>
      <c r="C53" s="82" t="s">
        <v>29</v>
      </c>
      <c r="D53" s="124">
        <v>43964</v>
      </c>
      <c r="E53" s="83">
        <v>36</v>
      </c>
      <c r="F53" s="84">
        <f>E53*3</f>
        <v>108</v>
      </c>
      <c r="G53" s="13">
        <v>175.6</v>
      </c>
      <c r="H53" s="85">
        <f t="shared" si="5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customHeight="1">
      <c r="A54" s="41">
        <v>19</v>
      </c>
      <c r="B54" s="81" t="s">
        <v>40</v>
      </c>
      <c r="C54" s="82" t="s">
        <v>29</v>
      </c>
      <c r="D54" s="124">
        <v>43964</v>
      </c>
      <c r="E54" s="83">
        <v>36</v>
      </c>
      <c r="F54" s="84">
        <f>E54*3</f>
        <v>108</v>
      </c>
      <c r="G54" s="13">
        <v>81.73</v>
      </c>
      <c r="H54" s="85">
        <f t="shared" si="5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4" t="s">
        <v>135</v>
      </c>
      <c r="B55" s="155"/>
      <c r="C55" s="155"/>
      <c r="D55" s="155"/>
      <c r="E55" s="155"/>
      <c r="F55" s="155"/>
      <c r="G55" s="155"/>
      <c r="H55" s="155"/>
      <c r="I55" s="156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115</v>
      </c>
      <c r="C57" s="82" t="s">
        <v>141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116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7.25" hidden="1" customHeight="1">
      <c r="A62" s="41">
        <v>28</v>
      </c>
      <c r="B62" s="97" t="s">
        <v>46</v>
      </c>
      <c r="C62" s="16" t="s">
        <v>114</v>
      </c>
      <c r="D62" s="97" t="s">
        <v>167</v>
      </c>
      <c r="E62" s="18">
        <v>1</v>
      </c>
      <c r="F62" s="84">
        <f>E62</f>
        <v>1</v>
      </c>
      <c r="G62" s="13">
        <v>276.74</v>
      </c>
      <c r="H62" s="98">
        <f t="shared" ref="H62:H70" si="8">SUM(F62*G62/1000)</f>
        <v>0.27673999999999999</v>
      </c>
      <c r="I62" s="13">
        <f>G62*2</f>
        <v>553.48</v>
      </c>
    </row>
    <row r="63" spans="1:14" ht="18.75" hidden="1" customHeight="1">
      <c r="A63" s="29">
        <v>29</v>
      </c>
      <c r="B63" s="97" t="s">
        <v>47</v>
      </c>
      <c r="C63" s="16" t="s">
        <v>114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8"/>
        <v>0.28467000000000003</v>
      </c>
      <c r="I63" s="13">
        <v>0</v>
      </c>
    </row>
    <row r="64" spans="1:14" ht="15.75" hidden="1" customHeight="1">
      <c r="A64" s="29">
        <v>30</v>
      </c>
      <c r="B64" s="97" t="s">
        <v>48</v>
      </c>
      <c r="C64" s="16" t="s">
        <v>117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8"/>
        <v>19.178873500000002</v>
      </c>
      <c r="I64" s="13">
        <f>F64*G64</f>
        <v>19178.873500000002</v>
      </c>
    </row>
    <row r="65" spans="1:22" ht="15.75" hidden="1" customHeight="1">
      <c r="A65" s="29">
        <v>31</v>
      </c>
      <c r="B65" s="97" t="s">
        <v>49</v>
      </c>
      <c r="C65" s="16" t="s">
        <v>118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8"/>
        <v>1.4934660500000001</v>
      </c>
      <c r="I65" s="13">
        <f t="shared" ref="I65:I68" si="9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32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8"/>
        <v>28.138677000000005</v>
      </c>
      <c r="I66" s="13">
        <f t="shared" si="9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33</v>
      </c>
      <c r="B67" s="99" t="s">
        <v>119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8"/>
        <v>0.36062</v>
      </c>
      <c r="I67" s="13">
        <f t="shared" si="9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34</v>
      </c>
      <c r="B68" s="99" t="s">
        <v>142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8"/>
        <v>0.33645199999999997</v>
      </c>
      <c r="I68" s="13">
        <f t="shared" si="9"/>
        <v>336.452</v>
      </c>
      <c r="J68" s="5"/>
      <c r="K68" s="5"/>
      <c r="L68" s="5"/>
      <c r="M68" s="5"/>
      <c r="N68" s="5"/>
      <c r="O68" s="5"/>
      <c r="P68" s="5"/>
      <c r="Q68" s="5"/>
      <c r="R68" s="138"/>
      <c r="S68" s="138"/>
      <c r="T68" s="138"/>
      <c r="U68" s="138"/>
    </row>
    <row r="69" spans="1:22" ht="18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8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20</v>
      </c>
      <c r="B70" s="97" t="s">
        <v>83</v>
      </c>
      <c r="C70" s="41" t="s">
        <v>129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8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121</v>
      </c>
      <c r="C72" s="16" t="s">
        <v>122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10">SUM(F72*G72/1000)</f>
        <v>0.97639999999999993</v>
      </c>
      <c r="I72" s="13">
        <v>0</v>
      </c>
    </row>
    <row r="73" spans="1:22" ht="15.75" hidden="1" customHeight="1">
      <c r="A73" s="29"/>
      <c r="B73" s="97" t="s">
        <v>123</v>
      </c>
      <c r="C73" s="16" t="s">
        <v>124</v>
      </c>
      <c r="D73" s="97"/>
      <c r="E73" s="18">
        <v>1</v>
      </c>
      <c r="F73" s="13">
        <v>1</v>
      </c>
      <c r="G73" s="13">
        <v>650</v>
      </c>
      <c r="H73" s="98">
        <f t="shared" si="10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143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10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10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10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125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1">SUM(F78*G78/1000)</f>
        <v>4.4637839999999995</v>
      </c>
      <c r="I78" s="13">
        <v>0</v>
      </c>
    </row>
    <row r="79" spans="1:22" ht="15.75" hidden="1" customHeight="1">
      <c r="A79" s="80"/>
      <c r="B79" s="74" t="s">
        <v>120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87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40" t="s">
        <v>136</v>
      </c>
      <c r="B81" s="141"/>
      <c r="C81" s="141"/>
      <c r="D81" s="141"/>
      <c r="E81" s="141"/>
      <c r="F81" s="141"/>
      <c r="G81" s="141"/>
      <c r="H81" s="141"/>
      <c r="I81" s="142"/>
    </row>
    <row r="82" spans="1:9" ht="15.75" customHeight="1">
      <c r="A82" s="29">
        <v>21</v>
      </c>
      <c r="B82" s="81" t="s">
        <v>126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22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15.75" customHeight="1">
      <c r="A84" s="80"/>
      <c r="B84" s="40" t="s">
        <v>78</v>
      </c>
      <c r="C84" s="41"/>
      <c r="D84" s="15"/>
      <c r="E84" s="15"/>
      <c r="F84" s="15"/>
      <c r="G84" s="18"/>
      <c r="H84" s="18"/>
      <c r="I84" s="31">
        <f>I83+I82+I70+I54+I53+I52+I51+I50+I49+I48+I47+I46+I45+I44+I33+I32+I31+I30+I27+I18+I17+I16</f>
        <v>41880.972624499998</v>
      </c>
    </row>
    <row r="85" spans="1:9" ht="15.75" customHeight="1">
      <c r="A85" s="143" t="s">
        <v>59</v>
      </c>
      <c r="B85" s="144"/>
      <c r="C85" s="144"/>
      <c r="D85" s="144"/>
      <c r="E85" s="144"/>
      <c r="F85" s="144"/>
      <c r="G85" s="144"/>
      <c r="H85" s="144"/>
      <c r="I85" s="145"/>
    </row>
    <row r="86" spans="1:9" ht="15.75" customHeight="1">
      <c r="A86" s="103">
        <v>23</v>
      </c>
      <c r="B86" s="37" t="s">
        <v>158</v>
      </c>
      <c r="C86" s="38" t="s">
        <v>159</v>
      </c>
      <c r="D86" s="52"/>
      <c r="E86" s="13"/>
      <c r="F86" s="13">
        <v>2</v>
      </c>
      <c r="G86" s="36">
        <v>1.4</v>
      </c>
      <c r="H86" s="98">
        <f t="shared" ref="H86" si="12">G86*F86/1000</f>
        <v>2.8E-3</v>
      </c>
      <c r="I86" s="104">
        <f>G86*12</f>
        <v>16.799999999999997</v>
      </c>
    </row>
    <row r="87" spans="1:9" ht="15.75" customHeight="1">
      <c r="A87" s="29"/>
      <c r="B87" s="46" t="s">
        <v>51</v>
      </c>
      <c r="C87" s="42"/>
      <c r="D87" s="54"/>
      <c r="E87" s="42">
        <v>1</v>
      </c>
      <c r="F87" s="42"/>
      <c r="G87" s="42"/>
      <c r="H87" s="42"/>
      <c r="I87" s="31">
        <f>SUM(I86:I86)</f>
        <v>16.799999999999997</v>
      </c>
    </row>
    <row r="88" spans="1:9" ht="15.75" customHeight="1">
      <c r="A88" s="29"/>
      <c r="B88" s="52" t="s">
        <v>77</v>
      </c>
      <c r="C88" s="15"/>
      <c r="D88" s="15"/>
      <c r="E88" s="43"/>
      <c r="F88" s="43"/>
      <c r="G88" s="44"/>
      <c r="H88" s="44"/>
      <c r="I88" s="17">
        <v>0</v>
      </c>
    </row>
    <row r="89" spans="1:9" ht="15.75" customHeight="1">
      <c r="A89" s="55"/>
      <c r="B89" s="47" t="s">
        <v>137</v>
      </c>
      <c r="C89" s="34"/>
      <c r="D89" s="34"/>
      <c r="E89" s="34"/>
      <c r="F89" s="34"/>
      <c r="G89" s="34"/>
      <c r="H89" s="34"/>
      <c r="I89" s="45">
        <f>I84+I87</f>
        <v>41897.772624500001</v>
      </c>
    </row>
    <row r="90" spans="1:9" ht="15.75">
      <c r="A90" s="146" t="s">
        <v>200</v>
      </c>
      <c r="B90" s="146"/>
      <c r="C90" s="146"/>
      <c r="D90" s="146"/>
      <c r="E90" s="146"/>
      <c r="F90" s="146"/>
      <c r="G90" s="146"/>
      <c r="H90" s="146"/>
      <c r="I90" s="146"/>
    </row>
    <row r="91" spans="1:9" ht="15.75">
      <c r="A91" s="61"/>
      <c r="B91" s="130" t="s">
        <v>201</v>
      </c>
      <c r="C91" s="130"/>
      <c r="D91" s="130"/>
      <c r="E91" s="130"/>
      <c r="F91" s="130"/>
      <c r="G91" s="130"/>
      <c r="H91" s="79"/>
      <c r="I91" s="3"/>
    </row>
    <row r="92" spans="1:9">
      <c r="A92" s="70"/>
      <c r="B92" s="131" t="s">
        <v>6</v>
      </c>
      <c r="C92" s="131"/>
      <c r="D92" s="131"/>
      <c r="E92" s="131"/>
      <c r="F92" s="131"/>
      <c r="G92" s="131"/>
      <c r="H92" s="24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35" t="s">
        <v>7</v>
      </c>
      <c r="B94" s="135"/>
      <c r="C94" s="135"/>
      <c r="D94" s="135"/>
      <c r="E94" s="135"/>
      <c r="F94" s="135"/>
      <c r="G94" s="135"/>
      <c r="H94" s="135"/>
      <c r="I94" s="135"/>
    </row>
    <row r="95" spans="1:9" ht="15.75">
      <c r="A95" s="135" t="s">
        <v>8</v>
      </c>
      <c r="B95" s="135"/>
      <c r="C95" s="135"/>
      <c r="D95" s="135"/>
      <c r="E95" s="135"/>
      <c r="F95" s="135"/>
      <c r="G95" s="135"/>
      <c r="H95" s="135"/>
      <c r="I95" s="135"/>
    </row>
    <row r="96" spans="1:9" ht="15.75">
      <c r="A96" s="132" t="s">
        <v>60</v>
      </c>
      <c r="B96" s="132"/>
      <c r="C96" s="132"/>
      <c r="D96" s="132"/>
      <c r="E96" s="132"/>
      <c r="F96" s="132"/>
      <c r="G96" s="132"/>
      <c r="H96" s="132"/>
      <c r="I96" s="132"/>
    </row>
    <row r="97" spans="1:9" ht="15.75">
      <c r="A97" s="11"/>
    </row>
    <row r="98" spans="1:9" ht="15.75">
      <c r="A98" s="133" t="s">
        <v>9</v>
      </c>
      <c r="B98" s="133"/>
      <c r="C98" s="133"/>
      <c r="D98" s="133"/>
      <c r="E98" s="133"/>
      <c r="F98" s="133"/>
      <c r="G98" s="133"/>
      <c r="H98" s="133"/>
      <c r="I98" s="133"/>
    </row>
    <row r="99" spans="1:9" ht="15.75">
      <c r="A99" s="4"/>
    </row>
    <row r="100" spans="1:9" ht="15.75">
      <c r="B100" s="69" t="s">
        <v>10</v>
      </c>
      <c r="C100" s="134" t="s">
        <v>85</v>
      </c>
      <c r="D100" s="134"/>
      <c r="E100" s="134"/>
      <c r="F100" s="77"/>
      <c r="I100" s="72"/>
    </row>
    <row r="101" spans="1:9">
      <c r="A101" s="70"/>
      <c r="C101" s="131" t="s">
        <v>11</v>
      </c>
      <c r="D101" s="131"/>
      <c r="E101" s="131"/>
      <c r="F101" s="24"/>
      <c r="I101" s="71" t="s">
        <v>12</v>
      </c>
    </row>
    <row r="102" spans="1:9" ht="15.75">
      <c r="A102" s="25"/>
      <c r="C102" s="12"/>
      <c r="D102" s="12"/>
      <c r="G102" s="12"/>
      <c r="H102" s="12"/>
    </row>
    <row r="103" spans="1:9" ht="15.75">
      <c r="B103" s="69" t="s">
        <v>13</v>
      </c>
      <c r="C103" s="137"/>
      <c r="D103" s="137"/>
      <c r="E103" s="137"/>
      <c r="F103" s="78"/>
      <c r="I103" s="72"/>
    </row>
    <row r="104" spans="1:9">
      <c r="A104" s="70"/>
      <c r="C104" s="138" t="s">
        <v>11</v>
      </c>
      <c r="D104" s="138"/>
      <c r="E104" s="138"/>
      <c r="F104" s="70"/>
      <c r="I104" s="71" t="s">
        <v>12</v>
      </c>
    </row>
    <row r="105" spans="1:9" ht="15.75">
      <c r="A105" s="4" t="s">
        <v>14</v>
      </c>
    </row>
    <row r="106" spans="1:9">
      <c r="A106" s="139" t="s">
        <v>15</v>
      </c>
      <c r="B106" s="139"/>
      <c r="C106" s="139"/>
      <c r="D106" s="139"/>
      <c r="E106" s="139"/>
      <c r="F106" s="139"/>
      <c r="G106" s="139"/>
      <c r="H106" s="139"/>
      <c r="I106" s="139"/>
    </row>
    <row r="107" spans="1:9" ht="45" customHeight="1">
      <c r="A107" s="136" t="s">
        <v>16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ht="30" customHeight="1">
      <c r="A108" s="136" t="s">
        <v>17</v>
      </c>
      <c r="B108" s="136"/>
      <c r="C108" s="136"/>
      <c r="D108" s="136"/>
      <c r="E108" s="136"/>
      <c r="F108" s="136"/>
      <c r="G108" s="136"/>
      <c r="H108" s="136"/>
      <c r="I108" s="136"/>
    </row>
    <row r="109" spans="1:9" ht="30" customHeight="1">
      <c r="A109" s="136" t="s">
        <v>21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15.75">
      <c r="A110" s="136" t="s">
        <v>20</v>
      </c>
      <c r="B110" s="136"/>
      <c r="C110" s="136"/>
      <c r="D110" s="136"/>
      <c r="E110" s="136"/>
      <c r="F110" s="136"/>
      <c r="G110" s="136"/>
      <c r="H110" s="136"/>
      <c r="I110" s="136"/>
    </row>
  </sheetData>
  <autoFilter ref="I12:I63"/>
  <mergeCells count="29">
    <mergeCell ref="A106:I106"/>
    <mergeCell ref="A107:I107"/>
    <mergeCell ref="A108:I108"/>
    <mergeCell ref="A109:I109"/>
    <mergeCell ref="A110:I110"/>
    <mergeCell ref="R68:U6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topLeftCell="A55" workbookViewId="0">
      <selection activeCell="A87" sqref="A87:XFD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151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202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44012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customHeight="1">
      <c r="A19" s="29">
        <v>4</v>
      </c>
      <c r="B19" s="81" t="s">
        <v>91</v>
      </c>
      <c r="C19" s="82" t="s">
        <v>86</v>
      </c>
      <c r="D19" s="81" t="s">
        <v>174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F19/1*G19</f>
        <v>323.9622</v>
      </c>
      <c r="J19" s="22"/>
      <c r="K19" s="8"/>
      <c r="L19" s="8"/>
      <c r="M19" s="8"/>
    </row>
    <row r="20" spans="1:13" ht="15.75" customHeight="1">
      <c r="A20" s="29">
        <v>5</v>
      </c>
      <c r="B20" s="81" t="s">
        <v>94</v>
      </c>
      <c r="C20" s="82" t="s">
        <v>90</v>
      </c>
      <c r="D20" s="81" t="s">
        <v>172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6</v>
      </c>
      <c r="B21" s="81" t="s">
        <v>95</v>
      </c>
      <c r="C21" s="82" t="s">
        <v>90</v>
      </c>
      <c r="D21" s="81" t="s">
        <v>172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customHeight="1">
      <c r="A22" s="29">
        <v>7</v>
      </c>
      <c r="B22" s="81" t="s">
        <v>96</v>
      </c>
      <c r="C22" s="82" t="s">
        <v>52</v>
      </c>
      <c r="D22" s="81" t="s">
        <v>172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customHeight="1">
      <c r="A23" s="29">
        <v>8</v>
      </c>
      <c r="B23" s="81" t="s">
        <v>97</v>
      </c>
      <c r="C23" s="82" t="s">
        <v>52</v>
      </c>
      <c r="D23" s="81" t="s">
        <v>174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customHeight="1">
      <c r="A24" s="29">
        <v>9</v>
      </c>
      <c r="B24" s="81" t="s">
        <v>93</v>
      </c>
      <c r="C24" s="82" t="s">
        <v>52</v>
      </c>
      <c r="D24" s="81" t="s">
        <v>203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customHeight="1">
      <c r="A25" s="29">
        <v>10</v>
      </c>
      <c r="B25" s="81" t="s">
        <v>128</v>
      </c>
      <c r="C25" s="82" t="s">
        <v>52</v>
      </c>
      <c r="D25" s="81" t="s">
        <v>203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customHeight="1">
      <c r="A26" s="29">
        <v>11</v>
      </c>
      <c r="B26" s="81" t="s">
        <v>98</v>
      </c>
      <c r="C26" s="82" t="s">
        <v>52</v>
      </c>
      <c r="D26" s="81" t="s">
        <v>203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12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13</v>
      </c>
      <c r="B30" s="32" t="s">
        <v>99</v>
      </c>
      <c r="C30" s="82" t="s">
        <v>100</v>
      </c>
      <c r="D30" s="81" t="s">
        <v>166</v>
      </c>
      <c r="E30" s="84">
        <v>58</v>
      </c>
      <c r="F30" s="84">
        <f>SUM(E30*52/1000)</f>
        <v>3.016</v>
      </c>
      <c r="G30" s="84">
        <v>193.97</v>
      </c>
      <c r="H30" s="85">
        <f t="shared" ref="H30:H35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14</v>
      </c>
      <c r="B31" s="32" t="s">
        <v>102</v>
      </c>
      <c r="C31" s="82" t="s">
        <v>100</v>
      </c>
      <c r="D31" s="81" t="s">
        <v>165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15</v>
      </c>
      <c r="B33" s="32" t="s">
        <v>104</v>
      </c>
      <c r="C33" s="82" t="s">
        <v>39</v>
      </c>
      <c r="D33" s="81" t="s">
        <v>169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 t="shared" si="1"/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 t="shared" si="1"/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106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107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100</v>
      </c>
      <c r="D40" s="81" t="s">
        <v>108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109</v>
      </c>
      <c r="C41" s="82" t="s">
        <v>100</v>
      </c>
      <c r="D41" s="81" t="s">
        <v>110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hidden="1" customHeight="1">
      <c r="A43" s="154" t="s">
        <v>134</v>
      </c>
      <c r="B43" s="155"/>
      <c r="C43" s="155"/>
      <c r="D43" s="155"/>
      <c r="E43" s="155"/>
      <c r="F43" s="155"/>
      <c r="G43" s="155"/>
      <c r="H43" s="155"/>
      <c r="I43" s="156"/>
      <c r="J43" s="23"/>
      <c r="L43" s="19"/>
      <c r="M43" s="20"/>
      <c r="N43" s="21"/>
    </row>
    <row r="44" spans="1:14" ht="15.75" hidden="1" customHeight="1">
      <c r="A44" s="41">
        <v>19</v>
      </c>
      <c r="B44" s="81" t="s">
        <v>111</v>
      </c>
      <c r="C44" s="82" t="s">
        <v>100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20</v>
      </c>
      <c r="B45" s="81" t="s">
        <v>34</v>
      </c>
      <c r="C45" s="82" t="s">
        <v>100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21</v>
      </c>
      <c r="B46" s="81" t="s">
        <v>35</v>
      </c>
      <c r="C46" s="82" t="s">
        <v>100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22</v>
      </c>
      <c r="B47" s="81" t="s">
        <v>36</v>
      </c>
      <c r="C47" s="82" t="s">
        <v>100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23</v>
      </c>
      <c r="B48" s="81" t="s">
        <v>32</v>
      </c>
      <c r="C48" s="82" t="s">
        <v>33</v>
      </c>
      <c r="D48" s="81" t="s">
        <v>138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24</v>
      </c>
      <c r="B49" s="81" t="s">
        <v>55</v>
      </c>
      <c r="C49" s="82" t="s">
        <v>100</v>
      </c>
      <c r="D49" s="81" t="s">
        <v>140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25</v>
      </c>
      <c r="B50" s="81" t="s">
        <v>112</v>
      </c>
      <c r="C50" s="82" t="s">
        <v>100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26</v>
      </c>
      <c r="B51" s="81" t="s">
        <v>113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27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hidden="1" customHeight="1">
      <c r="A53" s="41">
        <v>10</v>
      </c>
      <c r="B53" s="81" t="s">
        <v>139</v>
      </c>
      <c r="C53" s="82" t="s">
        <v>29</v>
      </c>
      <c r="D53" s="81" t="s">
        <v>69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11</v>
      </c>
      <c r="B54" s="81" t="s">
        <v>40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4" t="s">
        <v>147</v>
      </c>
      <c r="B55" s="155"/>
      <c r="C55" s="155"/>
      <c r="D55" s="155"/>
      <c r="E55" s="155"/>
      <c r="F55" s="155"/>
      <c r="G55" s="155"/>
      <c r="H55" s="155"/>
      <c r="I55" s="156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115</v>
      </c>
      <c r="C57" s="82" t="s">
        <v>141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116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24.75" hidden="1" customHeight="1">
      <c r="A62" s="41">
        <v>17</v>
      </c>
      <c r="B62" s="97" t="s">
        <v>46</v>
      </c>
      <c r="C62" s="16" t="s">
        <v>114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0" si="7">SUM(F62*G62/1000)</f>
        <v>0.27673999999999999</v>
      </c>
      <c r="I62" s="13">
        <v>0</v>
      </c>
    </row>
    <row r="63" spans="1:14" ht="24" hidden="1" customHeight="1">
      <c r="A63" s="29">
        <v>29</v>
      </c>
      <c r="B63" s="97" t="s">
        <v>47</v>
      </c>
      <c r="C63" s="16" t="s">
        <v>114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6.5" customHeight="1">
      <c r="A64" s="29">
        <v>16</v>
      </c>
      <c r="B64" s="97" t="s">
        <v>48</v>
      </c>
      <c r="C64" s="16" t="s">
        <v>117</v>
      </c>
      <c r="D64" s="97"/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9.5" customHeight="1">
      <c r="A65" s="29">
        <v>17</v>
      </c>
      <c r="B65" s="97" t="s">
        <v>49</v>
      </c>
      <c r="C65" s="16" t="s">
        <v>118</v>
      </c>
      <c r="D65" s="97"/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customHeight="1">
      <c r="A66" s="29">
        <v>18</v>
      </c>
      <c r="B66" s="97" t="s">
        <v>50</v>
      </c>
      <c r="C66" s="16" t="s">
        <v>75</v>
      </c>
      <c r="D66" s="97"/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8.75" customHeight="1">
      <c r="A67" s="29">
        <v>19</v>
      </c>
      <c r="B67" s="99" t="s">
        <v>119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8" customHeight="1">
      <c r="A68" s="29">
        <v>20</v>
      </c>
      <c r="B68" s="99" t="s">
        <v>142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38"/>
      <c r="S68" s="138"/>
      <c r="T68" s="138"/>
      <c r="U68" s="138"/>
    </row>
    <row r="69" spans="1:22" ht="23.25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21</v>
      </c>
      <c r="B70" s="97" t="s">
        <v>83</v>
      </c>
      <c r="C70" s="41" t="s">
        <v>129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7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121</v>
      </c>
      <c r="C72" s="16" t="s">
        <v>122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9">SUM(F72*G72/1000)</f>
        <v>0.97639999999999993</v>
      </c>
      <c r="I72" s="13">
        <v>0</v>
      </c>
    </row>
    <row r="73" spans="1:22" ht="15.75" hidden="1" customHeight="1">
      <c r="A73" s="29"/>
      <c r="B73" s="97" t="s">
        <v>123</v>
      </c>
      <c r="C73" s="16" t="s">
        <v>124</v>
      </c>
      <c r="D73" s="97"/>
      <c r="E73" s="18">
        <v>1</v>
      </c>
      <c r="F73" s="13">
        <v>1</v>
      </c>
      <c r="G73" s="13">
        <v>650</v>
      </c>
      <c r="H73" s="98">
        <f t="shared" si="9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143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9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9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9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125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0">SUM(F78*G78/1000)</f>
        <v>4.4637839999999995</v>
      </c>
      <c r="I78" s="13">
        <v>0</v>
      </c>
    </row>
    <row r="79" spans="1:22" ht="15.75" hidden="1" customHeight="1">
      <c r="A79" s="80"/>
      <c r="B79" s="74" t="s">
        <v>120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87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40" t="s">
        <v>148</v>
      </c>
      <c r="B81" s="141"/>
      <c r="C81" s="141"/>
      <c r="D81" s="141"/>
      <c r="E81" s="141"/>
      <c r="F81" s="141"/>
      <c r="G81" s="141"/>
      <c r="H81" s="141"/>
      <c r="I81" s="142"/>
    </row>
    <row r="82" spans="1:9" ht="15.75" customHeight="1">
      <c r="A82" s="29">
        <v>22</v>
      </c>
      <c r="B82" s="81" t="s">
        <v>126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23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15.75" customHeight="1">
      <c r="A84" s="80"/>
      <c r="B84" s="40" t="s">
        <v>78</v>
      </c>
      <c r="C84" s="41"/>
      <c r="D84" s="15"/>
      <c r="E84" s="15"/>
      <c r="F84" s="15"/>
      <c r="G84" s="18"/>
      <c r="H84" s="18"/>
      <c r="I84" s="31">
        <f>I83+I82+I70+I68+I67+I66+I65+I64+I33+I31+I30+I27+I26+I25+I24+I23+I22+I21+I20+I19+I18+I17+I16</f>
        <v>72903.983828000011</v>
      </c>
    </row>
    <row r="85" spans="1:9" ht="15.75" customHeight="1">
      <c r="A85" s="143" t="s">
        <v>59</v>
      </c>
      <c r="B85" s="144"/>
      <c r="C85" s="144"/>
      <c r="D85" s="144"/>
      <c r="E85" s="144"/>
      <c r="F85" s="144"/>
      <c r="G85" s="144"/>
      <c r="H85" s="144"/>
      <c r="I85" s="145"/>
    </row>
    <row r="86" spans="1:9" ht="18.75" customHeight="1">
      <c r="A86" s="103">
        <v>24</v>
      </c>
      <c r="B86" s="37" t="s">
        <v>158</v>
      </c>
      <c r="C86" s="38" t="s">
        <v>159</v>
      </c>
      <c r="D86" s="52"/>
      <c r="E86" s="13"/>
      <c r="F86" s="13">
        <v>2</v>
      </c>
      <c r="G86" s="36">
        <v>1.4</v>
      </c>
      <c r="H86" s="98">
        <f t="shared" ref="H86" si="11">G86*F86/1000</f>
        <v>2.8E-3</v>
      </c>
      <c r="I86" s="104">
        <f>G86*12</f>
        <v>16.799999999999997</v>
      </c>
    </row>
    <row r="87" spans="1:9" ht="15.75" customHeight="1">
      <c r="A87" s="29"/>
      <c r="B87" s="46" t="s">
        <v>51</v>
      </c>
      <c r="C87" s="42"/>
      <c r="D87" s="54"/>
      <c r="E87" s="42">
        <v>1</v>
      </c>
      <c r="F87" s="42"/>
      <c r="G87" s="42"/>
      <c r="H87" s="42"/>
      <c r="I87" s="31">
        <f>SUM(I86:I86)</f>
        <v>16.799999999999997</v>
      </c>
    </row>
    <row r="88" spans="1:9" ht="15.75" customHeight="1">
      <c r="A88" s="29"/>
      <c r="B88" s="52" t="s">
        <v>77</v>
      </c>
      <c r="C88" s="15"/>
      <c r="D88" s="15"/>
      <c r="E88" s="43"/>
      <c r="F88" s="43"/>
      <c r="G88" s="44"/>
      <c r="H88" s="44"/>
      <c r="I88" s="17">
        <v>0</v>
      </c>
    </row>
    <row r="89" spans="1:9" ht="15.75" customHeight="1">
      <c r="A89" s="55"/>
      <c r="B89" s="47" t="s">
        <v>137</v>
      </c>
      <c r="C89" s="34"/>
      <c r="D89" s="34"/>
      <c r="E89" s="34"/>
      <c r="F89" s="34"/>
      <c r="G89" s="34"/>
      <c r="H89" s="34"/>
      <c r="I89" s="45">
        <f>I84+I87</f>
        <v>72920.783828000014</v>
      </c>
    </row>
    <row r="90" spans="1:9" ht="15.75">
      <c r="A90" s="146" t="s">
        <v>204</v>
      </c>
      <c r="B90" s="146"/>
      <c r="C90" s="146"/>
      <c r="D90" s="146"/>
      <c r="E90" s="146"/>
      <c r="F90" s="146"/>
      <c r="G90" s="146"/>
      <c r="H90" s="146"/>
      <c r="I90" s="146"/>
    </row>
    <row r="91" spans="1:9" ht="15.75">
      <c r="A91" s="61"/>
      <c r="B91" s="130" t="s">
        <v>205</v>
      </c>
      <c r="C91" s="130"/>
      <c r="D91" s="130"/>
      <c r="E91" s="130"/>
      <c r="F91" s="130"/>
      <c r="G91" s="130"/>
      <c r="H91" s="79"/>
      <c r="I91" s="3"/>
    </row>
    <row r="92" spans="1:9">
      <c r="A92" s="70"/>
      <c r="B92" s="131" t="s">
        <v>6</v>
      </c>
      <c r="C92" s="131"/>
      <c r="D92" s="131"/>
      <c r="E92" s="131"/>
      <c r="F92" s="131"/>
      <c r="G92" s="131"/>
      <c r="H92" s="24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35" t="s">
        <v>7</v>
      </c>
      <c r="B94" s="135"/>
      <c r="C94" s="135"/>
      <c r="D94" s="135"/>
      <c r="E94" s="135"/>
      <c r="F94" s="135"/>
      <c r="G94" s="135"/>
      <c r="H94" s="135"/>
      <c r="I94" s="135"/>
    </row>
    <row r="95" spans="1:9" ht="15.75">
      <c r="A95" s="135" t="s">
        <v>8</v>
      </c>
      <c r="B95" s="135"/>
      <c r="C95" s="135"/>
      <c r="D95" s="135"/>
      <c r="E95" s="135"/>
      <c r="F95" s="135"/>
      <c r="G95" s="135"/>
      <c r="H95" s="135"/>
      <c r="I95" s="135"/>
    </row>
    <row r="96" spans="1:9" ht="15.75">
      <c r="A96" s="132" t="s">
        <v>60</v>
      </c>
      <c r="B96" s="132"/>
      <c r="C96" s="132"/>
      <c r="D96" s="132"/>
      <c r="E96" s="132"/>
      <c r="F96" s="132"/>
      <c r="G96" s="132"/>
      <c r="H96" s="132"/>
      <c r="I96" s="132"/>
    </row>
    <row r="97" spans="1:9" ht="15.75">
      <c r="A97" s="11"/>
    </row>
    <row r="98" spans="1:9" ht="15.75">
      <c r="A98" s="133" t="s">
        <v>9</v>
      </c>
      <c r="B98" s="133"/>
      <c r="C98" s="133"/>
      <c r="D98" s="133"/>
      <c r="E98" s="133"/>
      <c r="F98" s="133"/>
      <c r="G98" s="133"/>
      <c r="H98" s="133"/>
      <c r="I98" s="133"/>
    </row>
    <row r="99" spans="1:9" ht="15.75">
      <c r="A99" s="4"/>
    </row>
    <row r="100" spans="1:9" ht="15.75">
      <c r="B100" s="69" t="s">
        <v>10</v>
      </c>
      <c r="C100" s="134" t="s">
        <v>85</v>
      </c>
      <c r="D100" s="134"/>
      <c r="E100" s="134"/>
      <c r="F100" s="77"/>
      <c r="I100" s="72"/>
    </row>
    <row r="101" spans="1:9">
      <c r="A101" s="70"/>
      <c r="C101" s="131" t="s">
        <v>11</v>
      </c>
      <c r="D101" s="131"/>
      <c r="E101" s="131"/>
      <c r="F101" s="24"/>
      <c r="I101" s="71" t="s">
        <v>12</v>
      </c>
    </row>
    <row r="102" spans="1:9" ht="15.75">
      <c r="A102" s="25"/>
      <c r="C102" s="12"/>
      <c r="D102" s="12"/>
      <c r="G102" s="12"/>
      <c r="H102" s="12"/>
    </row>
    <row r="103" spans="1:9" ht="15.75">
      <c r="B103" s="69" t="s">
        <v>13</v>
      </c>
      <c r="C103" s="137"/>
      <c r="D103" s="137"/>
      <c r="E103" s="137"/>
      <c r="F103" s="78"/>
      <c r="I103" s="72"/>
    </row>
    <row r="104" spans="1:9">
      <c r="A104" s="70"/>
      <c r="C104" s="138" t="s">
        <v>11</v>
      </c>
      <c r="D104" s="138"/>
      <c r="E104" s="138"/>
      <c r="F104" s="70"/>
      <c r="I104" s="71" t="s">
        <v>12</v>
      </c>
    </row>
    <row r="105" spans="1:9" ht="15.75">
      <c r="A105" s="4" t="s">
        <v>14</v>
      </c>
    </row>
    <row r="106" spans="1:9">
      <c r="A106" s="139" t="s">
        <v>15</v>
      </c>
      <c r="B106" s="139"/>
      <c r="C106" s="139"/>
      <c r="D106" s="139"/>
      <c r="E106" s="139"/>
      <c r="F106" s="139"/>
      <c r="G106" s="139"/>
      <c r="H106" s="139"/>
      <c r="I106" s="139"/>
    </row>
    <row r="107" spans="1:9" ht="45" customHeight="1">
      <c r="A107" s="136" t="s">
        <v>16</v>
      </c>
      <c r="B107" s="136"/>
      <c r="C107" s="136"/>
      <c r="D107" s="136"/>
      <c r="E107" s="136"/>
      <c r="F107" s="136"/>
      <c r="G107" s="136"/>
      <c r="H107" s="136"/>
      <c r="I107" s="136"/>
    </row>
    <row r="108" spans="1:9" ht="30" customHeight="1">
      <c r="A108" s="136" t="s">
        <v>17</v>
      </c>
      <c r="B108" s="136"/>
      <c r="C108" s="136"/>
      <c r="D108" s="136"/>
      <c r="E108" s="136"/>
      <c r="F108" s="136"/>
      <c r="G108" s="136"/>
      <c r="H108" s="136"/>
      <c r="I108" s="136"/>
    </row>
    <row r="109" spans="1:9" ht="30" customHeight="1">
      <c r="A109" s="136" t="s">
        <v>21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15.75">
      <c r="A110" s="136" t="s">
        <v>20</v>
      </c>
      <c r="B110" s="136"/>
      <c r="C110" s="136"/>
      <c r="D110" s="136"/>
      <c r="E110" s="136"/>
      <c r="F110" s="136"/>
      <c r="G110" s="136"/>
      <c r="H110" s="136"/>
      <c r="I110" s="136"/>
    </row>
  </sheetData>
  <autoFilter ref="I12:I63"/>
  <mergeCells count="29">
    <mergeCell ref="A106:I106"/>
    <mergeCell ref="A107:I107"/>
    <mergeCell ref="A108:I108"/>
    <mergeCell ref="A109:I109"/>
    <mergeCell ref="A110:I110"/>
    <mergeCell ref="R68:U6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7"/>
  <sheetViews>
    <sheetView topLeftCell="A81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152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207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44043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5</v>
      </c>
      <c r="B30" s="32" t="s">
        <v>99</v>
      </c>
      <c r="C30" s="82" t="s">
        <v>100</v>
      </c>
      <c r="D30" s="81" t="s">
        <v>166</v>
      </c>
      <c r="E30" s="84">
        <v>58</v>
      </c>
      <c r="F30" s="84">
        <f>SUM(E30*52/1000)</f>
        <v>3.016</v>
      </c>
      <c r="G30" s="84">
        <v>193.97</v>
      </c>
      <c r="H30" s="85">
        <f t="shared" ref="H30:H35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6</v>
      </c>
      <c r="B31" s="32" t="s">
        <v>102</v>
      </c>
      <c r="C31" s="82" t="s">
        <v>100</v>
      </c>
      <c r="D31" s="81" t="s">
        <v>165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7</v>
      </c>
      <c r="B33" s="32" t="s">
        <v>104</v>
      </c>
      <c r="C33" s="82" t="s">
        <v>39</v>
      </c>
      <c r="D33" s="81" t="s">
        <v>169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 t="shared" si="1"/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 t="shared" si="1"/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106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107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100</v>
      </c>
      <c r="D40" s="81" t="s">
        <v>108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109</v>
      </c>
      <c r="C41" s="82" t="s">
        <v>100</v>
      </c>
      <c r="D41" s="81" t="s">
        <v>110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hidden="1" customHeight="1">
      <c r="A43" s="154" t="s">
        <v>134</v>
      </c>
      <c r="B43" s="155"/>
      <c r="C43" s="155"/>
      <c r="D43" s="155"/>
      <c r="E43" s="155"/>
      <c r="F43" s="155"/>
      <c r="G43" s="155"/>
      <c r="H43" s="155"/>
      <c r="I43" s="156"/>
      <c r="J43" s="23"/>
      <c r="L43" s="19"/>
      <c r="M43" s="20"/>
      <c r="N43" s="21"/>
    </row>
    <row r="44" spans="1:14" ht="15.75" hidden="1" customHeight="1">
      <c r="A44" s="41">
        <v>19</v>
      </c>
      <c r="B44" s="81" t="s">
        <v>111</v>
      </c>
      <c r="C44" s="82" t="s">
        <v>100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20</v>
      </c>
      <c r="B45" s="81" t="s">
        <v>34</v>
      </c>
      <c r="C45" s="82" t="s">
        <v>100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21</v>
      </c>
      <c r="B46" s="81" t="s">
        <v>35</v>
      </c>
      <c r="C46" s="82" t="s">
        <v>100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22</v>
      </c>
      <c r="B47" s="81" t="s">
        <v>36</v>
      </c>
      <c r="C47" s="82" t="s">
        <v>100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23</v>
      </c>
      <c r="B48" s="81" t="s">
        <v>32</v>
      </c>
      <c r="C48" s="82" t="s">
        <v>33</v>
      </c>
      <c r="D48" s="81" t="s">
        <v>138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24</v>
      </c>
      <c r="B49" s="81" t="s">
        <v>55</v>
      </c>
      <c r="C49" s="82" t="s">
        <v>100</v>
      </c>
      <c r="D49" s="81" t="s">
        <v>140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25</v>
      </c>
      <c r="B50" s="81" t="s">
        <v>112</v>
      </c>
      <c r="C50" s="82" t="s">
        <v>100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26</v>
      </c>
      <c r="B51" s="81" t="s">
        <v>113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27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hidden="1" customHeight="1">
      <c r="A53" s="41">
        <v>10</v>
      </c>
      <c r="B53" s="81" t="s">
        <v>139</v>
      </c>
      <c r="C53" s="82" t="s">
        <v>29</v>
      </c>
      <c r="D53" s="81" t="s">
        <v>69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11</v>
      </c>
      <c r="B54" s="81" t="s">
        <v>40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4" t="s">
        <v>147</v>
      </c>
      <c r="B55" s="155"/>
      <c r="C55" s="155"/>
      <c r="D55" s="155"/>
      <c r="E55" s="155"/>
      <c r="F55" s="155"/>
      <c r="G55" s="155"/>
      <c r="H55" s="155"/>
      <c r="I55" s="156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115</v>
      </c>
      <c r="C57" s="82" t="s">
        <v>141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116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hidden="1" customHeight="1">
      <c r="A62" s="41">
        <v>17</v>
      </c>
      <c r="B62" s="97" t="s">
        <v>46</v>
      </c>
      <c r="C62" s="16" t="s">
        <v>114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0" si="7">SUM(F62*G62/1000)</f>
        <v>0.27673999999999999</v>
      </c>
      <c r="I62" s="13">
        <v>0</v>
      </c>
    </row>
    <row r="63" spans="1:14" ht="15.75" hidden="1" customHeight="1">
      <c r="A63" s="29">
        <v>29</v>
      </c>
      <c r="B63" s="97" t="s">
        <v>47</v>
      </c>
      <c r="C63" s="16" t="s">
        <v>114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117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118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119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142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38"/>
      <c r="S68" s="138"/>
      <c r="T68" s="138"/>
      <c r="U68" s="138"/>
    </row>
    <row r="69" spans="1:22" ht="15.75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8</v>
      </c>
      <c r="B70" s="97" t="s">
        <v>83</v>
      </c>
      <c r="C70" s="41" t="s">
        <v>129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7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121</v>
      </c>
      <c r="C72" s="16" t="s">
        <v>122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9">SUM(F72*G72/1000)</f>
        <v>0.97639999999999993</v>
      </c>
      <c r="I72" s="13">
        <v>0</v>
      </c>
    </row>
    <row r="73" spans="1:22" ht="15.75" hidden="1" customHeight="1">
      <c r="A73" s="29"/>
      <c r="B73" s="97" t="s">
        <v>123</v>
      </c>
      <c r="C73" s="16" t="s">
        <v>124</v>
      </c>
      <c r="D73" s="97"/>
      <c r="E73" s="18">
        <v>1</v>
      </c>
      <c r="F73" s="13">
        <v>1</v>
      </c>
      <c r="G73" s="13">
        <v>650</v>
      </c>
      <c r="H73" s="98">
        <f t="shared" si="9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143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9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9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9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125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0">SUM(F78*G78/1000)</f>
        <v>4.4637839999999995</v>
      </c>
      <c r="I78" s="13">
        <v>0</v>
      </c>
    </row>
    <row r="79" spans="1:22" ht="15.75" hidden="1" customHeight="1">
      <c r="A79" s="80"/>
      <c r="B79" s="74" t="s">
        <v>120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87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40" t="s">
        <v>148</v>
      </c>
      <c r="B81" s="141"/>
      <c r="C81" s="141"/>
      <c r="D81" s="141"/>
      <c r="E81" s="141"/>
      <c r="F81" s="141"/>
      <c r="G81" s="141"/>
      <c r="H81" s="141"/>
      <c r="I81" s="142"/>
    </row>
    <row r="82" spans="1:9" ht="15.75" customHeight="1">
      <c r="A82" s="29">
        <v>9</v>
      </c>
      <c r="B82" s="81" t="s">
        <v>126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10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15.75" customHeight="1">
      <c r="A84" s="80"/>
      <c r="B84" s="40" t="s">
        <v>78</v>
      </c>
      <c r="C84" s="41"/>
      <c r="D84" s="15"/>
      <c r="E84" s="15"/>
      <c r="F84" s="15"/>
      <c r="G84" s="18"/>
      <c r="H84" s="18"/>
      <c r="I84" s="31">
        <f>I83+I82+I70+I33+I31+I30+I27+I18+I17+I16</f>
        <v>22123.550937999997</v>
      </c>
    </row>
    <row r="85" spans="1:9" ht="15.75" customHeight="1">
      <c r="A85" s="143" t="s">
        <v>59</v>
      </c>
      <c r="B85" s="144"/>
      <c r="C85" s="144"/>
      <c r="D85" s="144"/>
      <c r="E85" s="144"/>
      <c r="F85" s="144"/>
      <c r="G85" s="144"/>
      <c r="H85" s="144"/>
      <c r="I85" s="145"/>
    </row>
    <row r="86" spans="1:9" ht="15.75" customHeight="1">
      <c r="A86" s="103">
        <v>11</v>
      </c>
      <c r="B86" s="37" t="s">
        <v>158</v>
      </c>
      <c r="C86" s="38" t="s">
        <v>159</v>
      </c>
      <c r="D86" s="52"/>
      <c r="E86" s="13"/>
      <c r="F86" s="13">
        <v>2</v>
      </c>
      <c r="G86" s="36">
        <v>1.4</v>
      </c>
      <c r="H86" s="98">
        <f t="shared" ref="H86" si="11">G86*F86/1000</f>
        <v>2.8E-3</v>
      </c>
      <c r="I86" s="104">
        <f>G86*12</f>
        <v>16.799999999999997</v>
      </c>
    </row>
    <row r="87" spans="1:9" ht="15.75" customHeight="1">
      <c r="A87" s="103">
        <v>12</v>
      </c>
      <c r="B87" s="37" t="s">
        <v>208</v>
      </c>
      <c r="C87" s="38" t="s">
        <v>159</v>
      </c>
      <c r="D87" s="37"/>
      <c r="E87" s="17"/>
      <c r="F87" s="36">
        <v>12</v>
      </c>
      <c r="G87" s="36">
        <v>1.4</v>
      </c>
      <c r="H87" s="98"/>
      <c r="I87" s="104">
        <f>G87*12</f>
        <v>16.799999999999997</v>
      </c>
    </row>
    <row r="88" spans="1:9" ht="34.5" customHeight="1">
      <c r="A88" s="103">
        <v>13</v>
      </c>
      <c r="B88" s="119" t="s">
        <v>209</v>
      </c>
      <c r="C88" s="65" t="s">
        <v>210</v>
      </c>
      <c r="D88" s="126" t="s">
        <v>215</v>
      </c>
      <c r="E88" s="36"/>
      <c r="F88" s="36">
        <v>1</v>
      </c>
      <c r="G88" s="36">
        <v>668.89</v>
      </c>
      <c r="H88" s="98"/>
      <c r="I88" s="104">
        <f>G88*1</f>
        <v>668.89</v>
      </c>
    </row>
    <row r="89" spans="1:9" ht="15.75" customHeight="1">
      <c r="A89" s="103">
        <v>14</v>
      </c>
      <c r="B89" s="119" t="s">
        <v>211</v>
      </c>
      <c r="C89" s="65" t="s">
        <v>212</v>
      </c>
      <c r="D89" s="126" t="s">
        <v>214</v>
      </c>
      <c r="E89" s="36"/>
      <c r="F89" s="36">
        <v>1</v>
      </c>
      <c r="G89" s="36">
        <v>587.45000000000005</v>
      </c>
      <c r="H89" s="98"/>
      <c r="I89" s="104">
        <f>G89*1</f>
        <v>587.45000000000005</v>
      </c>
    </row>
    <row r="90" spans="1:9" ht="15.75" customHeight="1">
      <c r="A90" s="103">
        <v>15</v>
      </c>
      <c r="B90" s="119" t="s">
        <v>213</v>
      </c>
      <c r="C90" s="65" t="s">
        <v>114</v>
      </c>
      <c r="D90" s="126"/>
      <c r="E90" s="36"/>
      <c r="F90" s="36">
        <v>1</v>
      </c>
      <c r="G90" s="36">
        <v>215.85</v>
      </c>
      <c r="H90" s="98"/>
      <c r="I90" s="104">
        <f>G90*1</f>
        <v>215.85</v>
      </c>
    </row>
    <row r="91" spans="1:9" ht="30.75" customHeight="1">
      <c r="A91" s="103">
        <v>16</v>
      </c>
      <c r="B91" s="119" t="s">
        <v>216</v>
      </c>
      <c r="C91" s="65" t="s">
        <v>217</v>
      </c>
      <c r="D91" s="37" t="s">
        <v>219</v>
      </c>
      <c r="E91" s="36"/>
      <c r="F91" s="36">
        <v>2</v>
      </c>
      <c r="G91" s="36">
        <v>222.63</v>
      </c>
      <c r="H91" s="98"/>
      <c r="I91" s="104">
        <f>G91*1</f>
        <v>222.63</v>
      </c>
    </row>
    <row r="92" spans="1:9" ht="31.5" customHeight="1">
      <c r="A92" s="103">
        <v>17</v>
      </c>
      <c r="B92" s="119" t="s">
        <v>218</v>
      </c>
      <c r="C92" s="65" t="s">
        <v>210</v>
      </c>
      <c r="D92" s="126" t="s">
        <v>220</v>
      </c>
      <c r="E92" s="36"/>
      <c r="F92" s="36">
        <v>4</v>
      </c>
      <c r="G92" s="36">
        <v>1514.86</v>
      </c>
      <c r="H92" s="98"/>
      <c r="I92" s="104">
        <f>G92*4</f>
        <v>6059.44</v>
      </c>
    </row>
    <row r="93" spans="1:9" ht="18" customHeight="1">
      <c r="A93" s="103">
        <v>18</v>
      </c>
      <c r="B93" s="119" t="s">
        <v>221</v>
      </c>
      <c r="C93" s="65" t="s">
        <v>39</v>
      </c>
      <c r="D93" s="126" t="s">
        <v>172</v>
      </c>
      <c r="E93" s="36"/>
      <c r="F93" s="36">
        <v>0.01</v>
      </c>
      <c r="G93" s="36">
        <v>27139.18</v>
      </c>
      <c r="H93" s="98"/>
      <c r="I93" s="104">
        <v>0</v>
      </c>
    </row>
    <row r="94" spans="1:9" ht="15.75" customHeight="1">
      <c r="A94" s="29"/>
      <c r="B94" s="46" t="s">
        <v>51</v>
      </c>
      <c r="C94" s="42"/>
      <c r="D94" s="54"/>
      <c r="E94" s="42">
        <v>1</v>
      </c>
      <c r="F94" s="42"/>
      <c r="G94" s="42"/>
      <c r="H94" s="42"/>
      <c r="I94" s="31">
        <f>SUM(I86:I93)</f>
        <v>7787.86</v>
      </c>
    </row>
    <row r="95" spans="1:9" ht="15.75" customHeight="1">
      <c r="A95" s="29"/>
      <c r="B95" s="52" t="s">
        <v>77</v>
      </c>
      <c r="C95" s="15"/>
      <c r="D95" s="15"/>
      <c r="E95" s="43"/>
      <c r="F95" s="43"/>
      <c r="G95" s="44"/>
      <c r="H95" s="44"/>
      <c r="I95" s="17">
        <v>0</v>
      </c>
    </row>
    <row r="96" spans="1:9" ht="15.75" customHeight="1">
      <c r="A96" s="55"/>
      <c r="B96" s="47" t="s">
        <v>137</v>
      </c>
      <c r="C96" s="34"/>
      <c r="D96" s="34"/>
      <c r="E96" s="34"/>
      <c r="F96" s="34"/>
      <c r="G96" s="34"/>
      <c r="H96" s="34"/>
      <c r="I96" s="45">
        <f>I84+I94</f>
        <v>29911.410937999997</v>
      </c>
    </row>
    <row r="97" spans="1:9" ht="15.75">
      <c r="A97" s="146" t="s">
        <v>242</v>
      </c>
      <c r="B97" s="146"/>
      <c r="C97" s="146"/>
      <c r="D97" s="146"/>
      <c r="E97" s="146"/>
      <c r="F97" s="146"/>
      <c r="G97" s="146"/>
      <c r="H97" s="146"/>
      <c r="I97" s="146"/>
    </row>
    <row r="98" spans="1:9" ht="15.75">
      <c r="A98" s="61"/>
      <c r="B98" s="130" t="s">
        <v>243</v>
      </c>
      <c r="C98" s="130"/>
      <c r="D98" s="130"/>
      <c r="E98" s="130"/>
      <c r="F98" s="130"/>
      <c r="G98" s="130"/>
      <c r="H98" s="79"/>
      <c r="I98" s="3"/>
    </row>
    <row r="99" spans="1:9">
      <c r="A99" s="70"/>
      <c r="B99" s="131" t="s">
        <v>6</v>
      </c>
      <c r="C99" s="131"/>
      <c r="D99" s="131"/>
      <c r="E99" s="131"/>
      <c r="F99" s="131"/>
      <c r="G99" s="131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35" t="s">
        <v>7</v>
      </c>
      <c r="B101" s="135"/>
      <c r="C101" s="135"/>
      <c r="D101" s="135"/>
      <c r="E101" s="135"/>
      <c r="F101" s="135"/>
      <c r="G101" s="135"/>
      <c r="H101" s="135"/>
      <c r="I101" s="135"/>
    </row>
    <row r="102" spans="1:9" ht="15.75">
      <c r="A102" s="135" t="s">
        <v>8</v>
      </c>
      <c r="B102" s="135"/>
      <c r="C102" s="135"/>
      <c r="D102" s="135"/>
      <c r="E102" s="135"/>
      <c r="F102" s="135"/>
      <c r="G102" s="135"/>
      <c r="H102" s="135"/>
      <c r="I102" s="135"/>
    </row>
    <row r="103" spans="1:9" ht="15.75">
      <c r="A103" s="132" t="s">
        <v>60</v>
      </c>
      <c r="B103" s="132"/>
      <c r="C103" s="132"/>
      <c r="D103" s="132"/>
      <c r="E103" s="132"/>
      <c r="F103" s="132"/>
      <c r="G103" s="132"/>
      <c r="H103" s="132"/>
      <c r="I103" s="132"/>
    </row>
    <row r="104" spans="1:9" ht="15.75">
      <c r="A104" s="11"/>
    </row>
    <row r="105" spans="1:9" ht="15.75">
      <c r="A105" s="133" t="s">
        <v>9</v>
      </c>
      <c r="B105" s="133"/>
      <c r="C105" s="133"/>
      <c r="D105" s="133"/>
      <c r="E105" s="133"/>
      <c r="F105" s="133"/>
      <c r="G105" s="133"/>
      <c r="H105" s="133"/>
      <c r="I105" s="133"/>
    </row>
    <row r="106" spans="1:9" ht="15.75">
      <c r="A106" s="4"/>
    </row>
    <row r="107" spans="1:9" ht="15.75">
      <c r="B107" s="69" t="s">
        <v>10</v>
      </c>
      <c r="C107" s="134" t="s">
        <v>85</v>
      </c>
      <c r="D107" s="134"/>
      <c r="E107" s="134"/>
      <c r="F107" s="77"/>
      <c r="I107" s="72"/>
    </row>
    <row r="108" spans="1:9">
      <c r="A108" s="70"/>
      <c r="C108" s="131" t="s">
        <v>11</v>
      </c>
      <c r="D108" s="131"/>
      <c r="E108" s="131"/>
      <c r="F108" s="24"/>
      <c r="I108" s="71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69" t="s">
        <v>13</v>
      </c>
      <c r="C110" s="137"/>
      <c r="D110" s="137"/>
      <c r="E110" s="137"/>
      <c r="F110" s="78"/>
      <c r="I110" s="72"/>
    </row>
    <row r="111" spans="1:9">
      <c r="A111" s="70"/>
      <c r="C111" s="138" t="s">
        <v>11</v>
      </c>
      <c r="D111" s="138"/>
      <c r="E111" s="138"/>
      <c r="F111" s="70"/>
      <c r="I111" s="71" t="s">
        <v>12</v>
      </c>
    </row>
    <row r="112" spans="1:9" ht="15.75">
      <c r="A112" s="4" t="s">
        <v>14</v>
      </c>
    </row>
    <row r="113" spans="1:9">
      <c r="A113" s="139" t="s">
        <v>15</v>
      </c>
      <c r="B113" s="139"/>
      <c r="C113" s="139"/>
      <c r="D113" s="139"/>
      <c r="E113" s="139"/>
      <c r="F113" s="139"/>
      <c r="G113" s="139"/>
      <c r="H113" s="139"/>
      <c r="I113" s="139"/>
    </row>
    <row r="114" spans="1:9" ht="45" customHeight="1">
      <c r="A114" s="136" t="s">
        <v>16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30" customHeight="1">
      <c r="A115" s="136" t="s">
        <v>17</v>
      </c>
      <c r="B115" s="136"/>
      <c r="C115" s="136"/>
      <c r="D115" s="136"/>
      <c r="E115" s="136"/>
      <c r="F115" s="136"/>
      <c r="G115" s="136"/>
      <c r="H115" s="136"/>
      <c r="I115" s="136"/>
    </row>
    <row r="116" spans="1:9" ht="30" customHeight="1">
      <c r="A116" s="136" t="s">
        <v>21</v>
      </c>
      <c r="B116" s="136"/>
      <c r="C116" s="136"/>
      <c r="D116" s="136"/>
      <c r="E116" s="136"/>
      <c r="F116" s="136"/>
      <c r="G116" s="136"/>
      <c r="H116" s="136"/>
      <c r="I116" s="136"/>
    </row>
    <row r="117" spans="1:9" ht="15.75">
      <c r="A117" s="136" t="s">
        <v>20</v>
      </c>
      <c r="B117" s="136"/>
      <c r="C117" s="136"/>
      <c r="D117" s="136"/>
      <c r="E117" s="136"/>
      <c r="F117" s="136"/>
      <c r="G117" s="136"/>
      <c r="H117" s="136"/>
      <c r="I117" s="136"/>
    </row>
  </sheetData>
  <autoFilter ref="I12:I63"/>
  <mergeCells count="29">
    <mergeCell ref="A113:I113"/>
    <mergeCell ref="A114:I114"/>
    <mergeCell ref="A115:I115"/>
    <mergeCell ref="A116:I116"/>
    <mergeCell ref="A117:I117"/>
    <mergeCell ref="R68:U68"/>
    <mergeCell ref="C111:E111"/>
    <mergeCell ref="A85:I85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topLeftCell="A43" workbookViewId="0">
      <selection activeCell="D95" sqref="D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153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222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44074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1.7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1" t="s">
        <v>94</v>
      </c>
      <c r="C20" s="82" t="s">
        <v>90</v>
      </c>
      <c r="D20" s="81" t="s">
        <v>41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1" t="s">
        <v>95</v>
      </c>
      <c r="C21" s="82" t="s">
        <v>90</v>
      </c>
      <c r="D21" s="81" t="s">
        <v>41</v>
      </c>
      <c r="E21" s="83">
        <v>8.68</v>
      </c>
      <c r="F21" s="84">
        <f>SUM(E21*2/100)</f>
        <v>0.1736</v>
      </c>
      <c r="G21" s="84">
        <v>268.92</v>
      </c>
      <c r="H21" s="85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5</v>
      </c>
      <c r="B30" s="32" t="s">
        <v>99</v>
      </c>
      <c r="C30" s="82" t="s">
        <v>100</v>
      </c>
      <c r="D30" s="81" t="s">
        <v>166</v>
      </c>
      <c r="E30" s="84">
        <v>58</v>
      </c>
      <c r="F30" s="84">
        <f>SUM(E30*52/1000)</f>
        <v>3.016</v>
      </c>
      <c r="G30" s="84">
        <v>193.97</v>
      </c>
      <c r="H30" s="85">
        <f t="shared" ref="H30:H33" si="1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6</v>
      </c>
      <c r="B31" s="32" t="s">
        <v>102</v>
      </c>
      <c r="C31" s="82" t="s">
        <v>100</v>
      </c>
      <c r="D31" s="81" t="s">
        <v>165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1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1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7</v>
      </c>
      <c r="B33" s="32" t="s">
        <v>104</v>
      </c>
      <c r="C33" s="82" t="s">
        <v>39</v>
      </c>
      <c r="D33" s="81" t="s">
        <v>169</v>
      </c>
      <c r="E33" s="84">
        <v>1</v>
      </c>
      <c r="F33" s="84">
        <f>E33*155/100</f>
        <v>1.55</v>
      </c>
      <c r="G33" s="84">
        <v>1620.15</v>
      </c>
      <c r="H33" s="85">
        <f t="shared" si="1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>SUM(F34*G34/1000)</f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>SUM(F35*G35/1000)</f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2">SUM(F37*G37/1000)</f>
        <v>3.8007399999999998</v>
      </c>
      <c r="I37" s="13">
        <f t="shared" ref="I37:I42" si="3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106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2"/>
        <v>3.7912940100000001</v>
      </c>
      <c r="I38" s="13">
        <f t="shared" si="3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107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2"/>
        <v>3.2674829250000004</v>
      </c>
      <c r="I39" s="13">
        <f t="shared" si="3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100</v>
      </c>
      <c r="D40" s="81" t="s">
        <v>108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2"/>
        <v>12.207455505</v>
      </c>
      <c r="I40" s="13">
        <f t="shared" si="3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109</v>
      </c>
      <c r="C41" s="82" t="s">
        <v>100</v>
      </c>
      <c r="D41" s="81" t="s">
        <v>110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2"/>
        <v>0.51531270000000007</v>
      </c>
      <c r="I41" s="13">
        <f t="shared" si="3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2"/>
        <v>0.49648500000000001</v>
      </c>
      <c r="I42" s="13">
        <f t="shared" si="3"/>
        <v>82.747500000000002</v>
      </c>
      <c r="J42" s="23"/>
      <c r="L42" s="19"/>
      <c r="M42" s="20"/>
      <c r="N42" s="21"/>
    </row>
    <row r="43" spans="1:14" ht="15.75" customHeight="1">
      <c r="A43" s="154" t="s">
        <v>134</v>
      </c>
      <c r="B43" s="155"/>
      <c r="C43" s="155"/>
      <c r="D43" s="155"/>
      <c r="E43" s="155"/>
      <c r="F43" s="155"/>
      <c r="G43" s="155"/>
      <c r="H43" s="155"/>
      <c r="I43" s="156"/>
      <c r="J43" s="23"/>
      <c r="L43" s="19"/>
      <c r="M43" s="20"/>
      <c r="N43" s="21"/>
    </row>
    <row r="44" spans="1:14" ht="15.75" hidden="1" customHeight="1">
      <c r="A44" s="41">
        <v>19</v>
      </c>
      <c r="B44" s="81" t="s">
        <v>111</v>
      </c>
      <c r="C44" s="82" t="s">
        <v>100</v>
      </c>
      <c r="D44" s="81" t="s">
        <v>41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4">SUM(F44*G44/1000)</f>
        <v>2.6816613240000002</v>
      </c>
      <c r="I44" s="13">
        <f t="shared" ref="I44:I47" si="5">F44/2*G44</f>
        <v>1340.8306620000001</v>
      </c>
      <c r="J44" s="23"/>
      <c r="L44" s="19"/>
      <c r="M44" s="20"/>
      <c r="N44" s="21"/>
    </row>
    <row r="45" spans="1:14" ht="15.75" hidden="1" customHeight="1">
      <c r="A45" s="41">
        <v>20</v>
      </c>
      <c r="B45" s="81" t="s">
        <v>34</v>
      </c>
      <c r="C45" s="82" t="s">
        <v>100</v>
      </c>
      <c r="D45" s="81" t="s">
        <v>41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4"/>
        <v>0.16602854400000003</v>
      </c>
      <c r="I45" s="13">
        <f t="shared" si="5"/>
        <v>83.01427200000002</v>
      </c>
      <c r="J45" s="23"/>
      <c r="L45" s="19"/>
      <c r="M45" s="20"/>
      <c r="N45" s="21"/>
    </row>
    <row r="46" spans="1:14" ht="15.75" hidden="1" customHeight="1">
      <c r="A46" s="41">
        <v>21</v>
      </c>
      <c r="B46" s="81" t="s">
        <v>35</v>
      </c>
      <c r="C46" s="82" t="s">
        <v>100</v>
      </c>
      <c r="D46" s="81" t="s">
        <v>41</v>
      </c>
      <c r="E46" s="83">
        <v>660.84</v>
      </c>
      <c r="F46" s="84">
        <f>SUM(E46*2/1000)</f>
        <v>1.32168</v>
      </c>
      <c r="G46" s="13">
        <v>1711.28</v>
      </c>
      <c r="H46" s="85">
        <f t="shared" si="4"/>
        <v>2.2617645503999997</v>
      </c>
      <c r="I46" s="13">
        <f t="shared" si="5"/>
        <v>1130.8822751999999</v>
      </c>
      <c r="J46" s="23"/>
      <c r="L46" s="19"/>
      <c r="M46" s="20"/>
      <c r="N46" s="21"/>
    </row>
    <row r="47" spans="1:14" ht="15.75" hidden="1" customHeight="1">
      <c r="A47" s="41">
        <v>22</v>
      </c>
      <c r="B47" s="81" t="s">
        <v>36</v>
      </c>
      <c r="C47" s="82" t="s">
        <v>100</v>
      </c>
      <c r="D47" s="81" t="s">
        <v>41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4"/>
        <v>2.7280312466000001</v>
      </c>
      <c r="I47" s="13">
        <f t="shared" si="5"/>
        <v>1364.0156233</v>
      </c>
      <c r="J47" s="23"/>
      <c r="L47" s="19"/>
      <c r="M47" s="20"/>
      <c r="N47" s="21"/>
    </row>
    <row r="48" spans="1:14" ht="15.75" hidden="1" customHeight="1">
      <c r="A48" s="41">
        <v>23</v>
      </c>
      <c r="B48" s="81" t="s">
        <v>32</v>
      </c>
      <c r="C48" s="82" t="s">
        <v>33</v>
      </c>
      <c r="D48" s="81" t="s">
        <v>138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4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hidden="1" customHeight="1">
      <c r="A49" s="41">
        <v>24</v>
      </c>
      <c r="B49" s="81" t="s">
        <v>55</v>
      </c>
      <c r="C49" s="82" t="s">
        <v>100</v>
      </c>
      <c r="D49" s="81" t="s">
        <v>140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4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hidden="1" customHeight="1">
      <c r="A50" s="41">
        <v>25</v>
      </c>
      <c r="B50" s="81" t="s">
        <v>112</v>
      </c>
      <c r="C50" s="82" t="s">
        <v>100</v>
      </c>
      <c r="D50" s="81" t="s">
        <v>41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4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hidden="1" customHeight="1">
      <c r="A51" s="41">
        <v>26</v>
      </c>
      <c r="B51" s="81" t="s">
        <v>113</v>
      </c>
      <c r="C51" s="82" t="s">
        <v>37</v>
      </c>
      <c r="D51" s="81" t="s">
        <v>41</v>
      </c>
      <c r="E51" s="83">
        <v>9</v>
      </c>
      <c r="F51" s="84">
        <f>SUM(E51*2/100)</f>
        <v>0.18</v>
      </c>
      <c r="G51" s="13">
        <v>3850.4</v>
      </c>
      <c r="H51" s="85">
        <f t="shared" si="4"/>
        <v>0.69307200000000002</v>
      </c>
      <c r="I51" s="13">
        <f t="shared" ref="I51:I52" si="6">F51/2*G51</f>
        <v>346.536</v>
      </c>
      <c r="J51" s="23"/>
      <c r="L51" s="19"/>
      <c r="M51" s="20"/>
      <c r="N51" s="21"/>
    </row>
    <row r="52" spans="1:14" ht="15.75" hidden="1" customHeight="1">
      <c r="A52" s="41">
        <v>27</v>
      </c>
      <c r="B52" s="81" t="s">
        <v>38</v>
      </c>
      <c r="C52" s="82" t="s">
        <v>39</v>
      </c>
      <c r="D52" s="81" t="s">
        <v>41</v>
      </c>
      <c r="E52" s="83">
        <v>1</v>
      </c>
      <c r="F52" s="84">
        <v>0.02</v>
      </c>
      <c r="G52" s="13">
        <v>7033.13</v>
      </c>
      <c r="H52" s="85">
        <f t="shared" si="4"/>
        <v>0.1406626</v>
      </c>
      <c r="I52" s="13">
        <f t="shared" si="6"/>
        <v>70.331299999999999</v>
      </c>
      <c r="J52" s="23"/>
      <c r="L52" s="19"/>
      <c r="M52" s="20"/>
      <c r="N52" s="21"/>
    </row>
    <row r="53" spans="1:14" ht="15.75" customHeight="1">
      <c r="A53" s="41">
        <v>8</v>
      </c>
      <c r="B53" s="81" t="s">
        <v>139</v>
      </c>
      <c r="C53" s="82" t="s">
        <v>29</v>
      </c>
      <c r="D53" s="124">
        <v>44063</v>
      </c>
      <c r="E53" s="83">
        <v>36</v>
      </c>
      <c r="F53" s="84">
        <f>E53*3</f>
        <v>108</v>
      </c>
      <c r="G53" s="13">
        <v>175.6</v>
      </c>
      <c r="H53" s="85">
        <f t="shared" si="4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customHeight="1">
      <c r="A54" s="41">
        <v>9</v>
      </c>
      <c r="B54" s="81" t="s">
        <v>40</v>
      </c>
      <c r="C54" s="82" t="s">
        <v>29</v>
      </c>
      <c r="D54" s="124">
        <v>44063</v>
      </c>
      <c r="E54" s="83">
        <v>36</v>
      </c>
      <c r="F54" s="84">
        <f>E54*3</f>
        <v>108</v>
      </c>
      <c r="G54" s="13">
        <v>81.73</v>
      </c>
      <c r="H54" s="85">
        <f t="shared" si="4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4" t="s">
        <v>135</v>
      </c>
      <c r="B55" s="155"/>
      <c r="C55" s="155"/>
      <c r="D55" s="155"/>
      <c r="E55" s="155"/>
      <c r="F55" s="155"/>
      <c r="G55" s="155"/>
      <c r="H55" s="155"/>
      <c r="I55" s="156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115</v>
      </c>
      <c r="C57" s="82" t="s">
        <v>141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116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hidden="1" customHeight="1">
      <c r="A62" s="41">
        <v>17</v>
      </c>
      <c r="B62" s="97" t="s">
        <v>46</v>
      </c>
      <c r="C62" s="16" t="s">
        <v>114</v>
      </c>
      <c r="D62" s="97" t="s">
        <v>65</v>
      </c>
      <c r="E62" s="18">
        <v>1</v>
      </c>
      <c r="F62" s="84">
        <f>E62</f>
        <v>1</v>
      </c>
      <c r="G62" s="13">
        <v>276.74</v>
      </c>
      <c r="H62" s="98">
        <f t="shared" ref="H62:H70" si="7">SUM(F62*G62/1000)</f>
        <v>0.27673999999999999</v>
      </c>
      <c r="I62" s="13">
        <v>0</v>
      </c>
    </row>
    <row r="63" spans="1:14" ht="15.75" hidden="1" customHeight="1">
      <c r="A63" s="29">
        <v>29</v>
      </c>
      <c r="B63" s="97" t="s">
        <v>47</v>
      </c>
      <c r="C63" s="16" t="s">
        <v>114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7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117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7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118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7"/>
        <v>1.4934660500000001</v>
      </c>
      <c r="I65" s="13">
        <f t="shared" ref="I65:I68" si="8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7"/>
        <v>28.138677000000005</v>
      </c>
      <c r="I66" s="13">
        <f t="shared" si="8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119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7"/>
        <v>0.36062</v>
      </c>
      <c r="I67" s="13">
        <f t="shared" si="8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142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7"/>
        <v>0.33645199999999997</v>
      </c>
      <c r="I68" s="13">
        <f t="shared" si="8"/>
        <v>336.452</v>
      </c>
      <c r="J68" s="5"/>
      <c r="K68" s="5"/>
      <c r="L68" s="5"/>
      <c r="M68" s="5"/>
      <c r="N68" s="5"/>
      <c r="O68" s="5"/>
      <c r="P68" s="5"/>
      <c r="Q68" s="5"/>
      <c r="R68" s="138"/>
      <c r="S68" s="138"/>
      <c r="T68" s="138"/>
      <c r="U68" s="138"/>
    </row>
    <row r="69" spans="1:22" ht="15.75" hidden="1" customHeight="1">
      <c r="A69" s="29">
        <v>13</v>
      </c>
      <c r="B69" s="97" t="s">
        <v>56</v>
      </c>
      <c r="C69" s="16" t="s">
        <v>57</v>
      </c>
      <c r="D69" s="97" t="s">
        <v>53</v>
      </c>
      <c r="E69" s="18">
        <v>2</v>
      </c>
      <c r="F69" s="84">
        <f>SUM(E69)</f>
        <v>2</v>
      </c>
      <c r="G69" s="13">
        <v>62.07</v>
      </c>
      <c r="H69" s="98">
        <f t="shared" si="7"/>
        <v>0.12414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10</v>
      </c>
      <c r="B70" s="97" t="s">
        <v>83</v>
      </c>
      <c r="C70" s="41" t="s">
        <v>129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7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121</v>
      </c>
      <c r="C72" s="16" t="s">
        <v>122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9">SUM(F72*G72/1000)</f>
        <v>0.97639999999999993</v>
      </c>
      <c r="I72" s="13">
        <v>0</v>
      </c>
    </row>
    <row r="73" spans="1:22" ht="15.75" hidden="1" customHeight="1">
      <c r="A73" s="29"/>
      <c r="B73" s="97" t="s">
        <v>123</v>
      </c>
      <c r="C73" s="16" t="s">
        <v>124</v>
      </c>
      <c r="D73" s="97"/>
      <c r="E73" s="18">
        <v>1</v>
      </c>
      <c r="F73" s="13">
        <v>1</v>
      </c>
      <c r="G73" s="13">
        <v>650</v>
      </c>
      <c r="H73" s="98">
        <f t="shared" si="9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143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9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9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9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125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0">SUM(F78*G78/1000)</f>
        <v>4.4637839999999995</v>
      </c>
      <c r="I78" s="13">
        <v>0</v>
      </c>
    </row>
    <row r="79" spans="1:22" ht="15.75" hidden="1" customHeight="1">
      <c r="A79" s="80"/>
      <c r="B79" s="74" t="s">
        <v>120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87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40" t="s">
        <v>136</v>
      </c>
      <c r="B81" s="141"/>
      <c r="C81" s="141"/>
      <c r="D81" s="141"/>
      <c r="E81" s="141"/>
      <c r="F81" s="141"/>
      <c r="G81" s="141"/>
      <c r="H81" s="141"/>
      <c r="I81" s="142"/>
    </row>
    <row r="82" spans="1:9" ht="15.75" customHeight="1">
      <c r="A82" s="29">
        <v>11</v>
      </c>
      <c r="B82" s="81" t="s">
        <v>126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12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31.5" hidden="1" customHeight="1">
      <c r="A84" s="29">
        <v>13</v>
      </c>
      <c r="B84" s="97" t="s">
        <v>130</v>
      </c>
      <c r="C84" s="16" t="s">
        <v>131</v>
      </c>
      <c r="D84" s="102" t="s">
        <v>144</v>
      </c>
      <c r="E84" s="101"/>
      <c r="F84" s="13"/>
      <c r="G84" s="13"/>
      <c r="H84" s="98">
        <v>59.113</v>
      </c>
      <c r="I84" s="13">
        <v>4926.08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I83+I82+I70+I54+I53+I33+I31+I30+I27+I18+I17+I16</f>
        <v>31387.430937999994</v>
      </c>
    </row>
    <row r="86" spans="1:9" ht="15.75" customHeight="1">
      <c r="A86" s="143" t="s">
        <v>59</v>
      </c>
      <c r="B86" s="144"/>
      <c r="C86" s="144"/>
      <c r="D86" s="144"/>
      <c r="E86" s="144"/>
      <c r="F86" s="144"/>
      <c r="G86" s="144"/>
      <c r="H86" s="144"/>
      <c r="I86" s="145"/>
    </row>
    <row r="87" spans="1:9" ht="17.25" customHeight="1">
      <c r="A87" s="103">
        <v>13</v>
      </c>
      <c r="B87" s="37" t="s">
        <v>158</v>
      </c>
      <c r="C87" s="38" t="s">
        <v>159</v>
      </c>
      <c r="D87" s="52"/>
      <c r="E87" s="13"/>
      <c r="F87" s="13">
        <v>2</v>
      </c>
      <c r="G87" s="36">
        <v>1.4</v>
      </c>
      <c r="H87" s="98">
        <f t="shared" ref="H87" si="11">G87*F87/1000</f>
        <v>2.8E-3</v>
      </c>
      <c r="I87" s="104">
        <f>G87*12</f>
        <v>16.799999999999997</v>
      </c>
    </row>
    <row r="88" spans="1:9" ht="28.5" customHeight="1">
      <c r="A88" s="103">
        <v>14</v>
      </c>
      <c r="B88" s="119" t="s">
        <v>223</v>
      </c>
      <c r="C88" s="65" t="s">
        <v>37</v>
      </c>
      <c r="D88" s="126" t="s">
        <v>172</v>
      </c>
      <c r="E88" s="36"/>
      <c r="F88" s="36">
        <v>0.01</v>
      </c>
      <c r="G88" s="36">
        <v>4070.89</v>
      </c>
      <c r="H88" s="98"/>
      <c r="I88" s="104">
        <v>0</v>
      </c>
    </row>
    <row r="89" spans="1:9" ht="15.75" customHeight="1">
      <c r="A89" s="29"/>
      <c r="B89" s="46" t="s">
        <v>51</v>
      </c>
      <c r="C89" s="42"/>
      <c r="D89" s="54"/>
      <c r="E89" s="42">
        <v>1</v>
      </c>
      <c r="F89" s="42"/>
      <c r="G89" s="42"/>
      <c r="H89" s="42"/>
      <c r="I89" s="31">
        <f>SUM(I87:I88)</f>
        <v>16.799999999999997</v>
      </c>
    </row>
    <row r="90" spans="1:9" ht="15.75" customHeight="1">
      <c r="A90" s="29"/>
      <c r="B90" s="52" t="s">
        <v>77</v>
      </c>
      <c r="C90" s="15"/>
      <c r="D90" s="15"/>
      <c r="E90" s="43"/>
      <c r="F90" s="43"/>
      <c r="G90" s="44"/>
      <c r="H90" s="44"/>
      <c r="I90" s="17">
        <v>0</v>
      </c>
    </row>
    <row r="91" spans="1:9" ht="15.75" customHeight="1">
      <c r="A91" s="55"/>
      <c r="B91" s="47" t="s">
        <v>137</v>
      </c>
      <c r="C91" s="34"/>
      <c r="D91" s="34"/>
      <c r="E91" s="34"/>
      <c r="F91" s="34"/>
      <c r="G91" s="34"/>
      <c r="H91" s="34"/>
      <c r="I91" s="45">
        <f>I85+I89</f>
        <v>31404.230937999993</v>
      </c>
    </row>
    <row r="92" spans="1:9" ht="15.75">
      <c r="A92" s="146" t="s">
        <v>244</v>
      </c>
      <c r="B92" s="146"/>
      <c r="C92" s="146"/>
      <c r="D92" s="146"/>
      <c r="E92" s="146"/>
      <c r="F92" s="146"/>
      <c r="G92" s="146"/>
      <c r="H92" s="146"/>
      <c r="I92" s="146"/>
    </row>
    <row r="93" spans="1:9" ht="15.75">
      <c r="A93" s="61"/>
      <c r="B93" s="130" t="s">
        <v>245</v>
      </c>
      <c r="C93" s="130"/>
      <c r="D93" s="130"/>
      <c r="E93" s="130"/>
      <c r="F93" s="130"/>
      <c r="G93" s="130"/>
      <c r="H93" s="79"/>
      <c r="I93" s="3"/>
    </row>
    <row r="94" spans="1:9">
      <c r="A94" s="70"/>
      <c r="B94" s="131" t="s">
        <v>6</v>
      </c>
      <c r="C94" s="131"/>
      <c r="D94" s="131"/>
      <c r="E94" s="131"/>
      <c r="F94" s="131"/>
      <c r="G94" s="131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5" t="s">
        <v>7</v>
      </c>
      <c r="B96" s="135"/>
      <c r="C96" s="135"/>
      <c r="D96" s="135"/>
      <c r="E96" s="135"/>
      <c r="F96" s="135"/>
      <c r="G96" s="135"/>
      <c r="H96" s="135"/>
      <c r="I96" s="135"/>
    </row>
    <row r="97" spans="1:9" ht="15.75">
      <c r="A97" s="135" t="s">
        <v>8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>
      <c r="A98" s="132" t="s">
        <v>60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69" t="s">
        <v>10</v>
      </c>
      <c r="C102" s="134" t="s">
        <v>85</v>
      </c>
      <c r="D102" s="134"/>
      <c r="E102" s="134"/>
      <c r="F102" s="77"/>
      <c r="I102" s="72"/>
    </row>
    <row r="103" spans="1:9">
      <c r="A103" s="70"/>
      <c r="C103" s="131" t="s">
        <v>11</v>
      </c>
      <c r="D103" s="131"/>
      <c r="E103" s="131"/>
      <c r="F103" s="24"/>
      <c r="I103" s="71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69" t="s">
        <v>13</v>
      </c>
      <c r="C105" s="137"/>
      <c r="D105" s="137"/>
      <c r="E105" s="137"/>
      <c r="F105" s="78"/>
      <c r="I105" s="72"/>
    </row>
    <row r="106" spans="1:9">
      <c r="A106" s="70"/>
      <c r="C106" s="138" t="s">
        <v>11</v>
      </c>
      <c r="D106" s="138"/>
      <c r="E106" s="138"/>
      <c r="F106" s="70"/>
      <c r="I106" s="71" t="s">
        <v>12</v>
      </c>
    </row>
    <row r="107" spans="1:9" ht="15.75">
      <c r="A107" s="4" t="s">
        <v>14</v>
      </c>
    </row>
    <row r="108" spans="1:9">
      <c r="A108" s="139" t="s">
        <v>15</v>
      </c>
      <c r="B108" s="139"/>
      <c r="C108" s="139"/>
      <c r="D108" s="139"/>
      <c r="E108" s="139"/>
      <c r="F108" s="139"/>
      <c r="G108" s="139"/>
      <c r="H108" s="139"/>
      <c r="I108" s="139"/>
    </row>
    <row r="109" spans="1:9" ht="45" customHeight="1">
      <c r="A109" s="136" t="s">
        <v>16</v>
      </c>
      <c r="B109" s="136"/>
      <c r="C109" s="136"/>
      <c r="D109" s="136"/>
      <c r="E109" s="136"/>
      <c r="F109" s="136"/>
      <c r="G109" s="136"/>
      <c r="H109" s="136"/>
      <c r="I109" s="136"/>
    </row>
    <row r="110" spans="1:9" ht="30" customHeight="1">
      <c r="A110" s="136" t="s">
        <v>17</v>
      </c>
      <c r="B110" s="136"/>
      <c r="C110" s="136"/>
      <c r="D110" s="136"/>
      <c r="E110" s="136"/>
      <c r="F110" s="136"/>
      <c r="G110" s="136"/>
      <c r="H110" s="136"/>
      <c r="I110" s="136"/>
    </row>
    <row r="111" spans="1:9" ht="30" customHeight="1">
      <c r="A111" s="136" t="s">
        <v>21</v>
      </c>
      <c r="B111" s="136"/>
      <c r="C111" s="136"/>
      <c r="D111" s="136"/>
      <c r="E111" s="136"/>
      <c r="F111" s="136"/>
      <c r="G111" s="136"/>
      <c r="H111" s="136"/>
      <c r="I111" s="136"/>
    </row>
    <row r="112" spans="1:9" ht="15.75">
      <c r="A112" s="136" t="s">
        <v>20</v>
      </c>
      <c r="B112" s="136"/>
      <c r="C112" s="136"/>
      <c r="D112" s="136"/>
      <c r="E112" s="136"/>
      <c r="F112" s="136"/>
      <c r="G112" s="136"/>
      <c r="H112" s="136"/>
      <c r="I112" s="136"/>
    </row>
  </sheetData>
  <autoFilter ref="I12:I63"/>
  <mergeCells count="29">
    <mergeCell ref="A108:I108"/>
    <mergeCell ref="A109:I109"/>
    <mergeCell ref="A110:I110"/>
    <mergeCell ref="A111:I111"/>
    <mergeCell ref="A112:I112"/>
    <mergeCell ref="R68:U68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55" zoomScale="60" workbookViewId="0">
      <selection activeCell="G98" sqref="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160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47" t="s">
        <v>154</v>
      </c>
      <c r="B3" s="147"/>
      <c r="C3" s="147"/>
      <c r="D3" s="147"/>
      <c r="E3" s="147"/>
      <c r="F3" s="147"/>
      <c r="G3" s="147"/>
      <c r="H3" s="147"/>
      <c r="I3" s="147"/>
      <c r="J3" s="3"/>
      <c r="K3" s="3"/>
      <c r="L3" s="3"/>
    </row>
    <row r="4" spans="1:13" ht="31.5" customHeight="1">
      <c r="A4" s="148" t="s">
        <v>127</v>
      </c>
      <c r="B4" s="148"/>
      <c r="C4" s="148"/>
      <c r="D4" s="148"/>
      <c r="E4" s="148"/>
      <c r="F4" s="148"/>
      <c r="G4" s="148"/>
      <c r="H4" s="148"/>
      <c r="I4" s="148"/>
    </row>
    <row r="5" spans="1:13" ht="15.75" customHeight="1">
      <c r="A5" s="147" t="s">
        <v>224</v>
      </c>
      <c r="B5" s="151"/>
      <c r="C5" s="151"/>
      <c r="D5" s="151"/>
      <c r="E5" s="151"/>
      <c r="F5" s="151"/>
      <c r="G5" s="151"/>
      <c r="H5" s="151"/>
      <c r="I5" s="151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0">
        <v>44104</v>
      </c>
      <c r="J6" s="2"/>
      <c r="K6" s="2"/>
      <c r="L6" s="2"/>
      <c r="M6" s="2"/>
    </row>
    <row r="7" spans="1:13" ht="15.75" customHeight="1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9" t="s">
        <v>161</v>
      </c>
      <c r="B8" s="149"/>
      <c r="C8" s="149"/>
      <c r="D8" s="149"/>
      <c r="E8" s="149"/>
      <c r="F8" s="149"/>
      <c r="G8" s="149"/>
      <c r="H8" s="149"/>
      <c r="I8" s="1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0" t="s">
        <v>133</v>
      </c>
      <c r="B10" s="150"/>
      <c r="C10" s="150"/>
      <c r="D10" s="150"/>
      <c r="E10" s="150"/>
      <c r="F10" s="150"/>
      <c r="G10" s="150"/>
      <c r="H10" s="150"/>
      <c r="I10" s="1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52" t="s">
        <v>58</v>
      </c>
      <c r="B14" s="152"/>
      <c r="C14" s="152"/>
      <c r="D14" s="152"/>
      <c r="E14" s="152"/>
      <c r="F14" s="152"/>
      <c r="G14" s="152"/>
      <c r="H14" s="152"/>
      <c r="I14" s="152"/>
      <c r="J14" s="8"/>
      <c r="K14" s="8"/>
      <c r="L14" s="8"/>
      <c r="M14" s="8"/>
    </row>
    <row r="15" spans="1:13" ht="15.75" customHeight="1">
      <c r="A15" s="153" t="s">
        <v>4</v>
      </c>
      <c r="B15" s="153"/>
      <c r="C15" s="153"/>
      <c r="D15" s="153"/>
      <c r="E15" s="153"/>
      <c r="F15" s="153"/>
      <c r="G15" s="153"/>
      <c r="H15" s="153"/>
      <c r="I15" s="153"/>
      <c r="J15" s="8"/>
      <c r="K15" s="8"/>
      <c r="L15" s="8"/>
      <c r="M15" s="8"/>
    </row>
    <row r="16" spans="1:13" ht="15.75" customHeight="1">
      <c r="A16" s="29">
        <v>1</v>
      </c>
      <c r="B16" s="81" t="s">
        <v>81</v>
      </c>
      <c r="C16" s="82" t="s">
        <v>90</v>
      </c>
      <c r="D16" s="81" t="s">
        <v>165</v>
      </c>
      <c r="E16" s="83">
        <v>54.2</v>
      </c>
      <c r="F16" s="84">
        <f>SUM(E16*156/100)</f>
        <v>84.552000000000007</v>
      </c>
      <c r="G16" s="84">
        <v>218.21</v>
      </c>
      <c r="H16" s="85">
        <f t="shared" ref="H16:H18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1" t="s">
        <v>88</v>
      </c>
      <c r="C17" s="82" t="s">
        <v>90</v>
      </c>
      <c r="D17" s="81" t="s">
        <v>166</v>
      </c>
      <c r="E17" s="83">
        <v>108.5</v>
      </c>
      <c r="F17" s="84">
        <f>SUM(E17*104/100)</f>
        <v>112.84</v>
      </c>
      <c r="G17" s="84">
        <v>218.21</v>
      </c>
      <c r="H17" s="85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1" t="s">
        <v>89</v>
      </c>
      <c r="C18" s="82" t="s">
        <v>90</v>
      </c>
      <c r="D18" s="81" t="s">
        <v>167</v>
      </c>
      <c r="E18" s="83">
        <f>SUM(E16+E17)</f>
        <v>162.69999999999999</v>
      </c>
      <c r="F18" s="84">
        <f>SUM(E18*24/100)</f>
        <v>39.047999999999995</v>
      </c>
      <c r="G18" s="84">
        <v>627.77</v>
      </c>
      <c r="H18" s="85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1" t="s">
        <v>91</v>
      </c>
      <c r="C19" s="82" t="s">
        <v>86</v>
      </c>
      <c r="D19" s="81" t="s">
        <v>92</v>
      </c>
      <c r="E19" s="83">
        <v>15.3</v>
      </c>
      <c r="F19" s="84">
        <f>SUM(E19/10)</f>
        <v>1.53</v>
      </c>
      <c r="G19" s="84">
        <v>211.74</v>
      </c>
      <c r="H19" s="85">
        <f t="shared" ref="H19:H26" si="1">SUM(F19*G19/1000)</f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customHeight="1">
      <c r="A20" s="29">
        <v>4</v>
      </c>
      <c r="B20" s="81" t="s">
        <v>94</v>
      </c>
      <c r="C20" s="82" t="s">
        <v>90</v>
      </c>
      <c r="D20" s="81" t="s">
        <v>172</v>
      </c>
      <c r="E20" s="83">
        <v>19.62</v>
      </c>
      <c r="F20" s="84">
        <f>SUM(E20*2/100)</f>
        <v>0.39240000000000003</v>
      </c>
      <c r="G20" s="84">
        <v>271.12</v>
      </c>
      <c r="H20" s="85">
        <f t="shared" si="1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5</v>
      </c>
      <c r="B21" s="81" t="s">
        <v>95</v>
      </c>
      <c r="C21" s="82" t="s">
        <v>90</v>
      </c>
      <c r="D21" s="81" t="s">
        <v>172</v>
      </c>
      <c r="E21" s="83">
        <v>8.68</v>
      </c>
      <c r="F21" s="84">
        <f>SUM(E21*2/100)</f>
        <v>0.1736</v>
      </c>
      <c r="G21" s="84">
        <v>268.92</v>
      </c>
      <c r="H21" s="85">
        <f t="shared" si="1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1" t="s">
        <v>96</v>
      </c>
      <c r="C22" s="82" t="s">
        <v>52</v>
      </c>
      <c r="D22" s="81" t="s">
        <v>92</v>
      </c>
      <c r="E22" s="83">
        <v>215</v>
      </c>
      <c r="F22" s="84">
        <f>SUM(E22/100)</f>
        <v>2.15</v>
      </c>
      <c r="G22" s="84">
        <v>335.05</v>
      </c>
      <c r="H22" s="85">
        <f t="shared" si="1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1" t="s">
        <v>97</v>
      </c>
      <c r="C23" s="82" t="s">
        <v>52</v>
      </c>
      <c r="D23" s="81" t="s">
        <v>92</v>
      </c>
      <c r="E23" s="86">
        <v>17.64</v>
      </c>
      <c r="F23" s="84">
        <f>SUM(E23/100)</f>
        <v>0.1764</v>
      </c>
      <c r="G23" s="84">
        <v>55.1</v>
      </c>
      <c r="H23" s="85">
        <f t="shared" si="1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1" t="s">
        <v>93</v>
      </c>
      <c r="C24" s="82" t="s">
        <v>52</v>
      </c>
      <c r="D24" s="81" t="s">
        <v>92</v>
      </c>
      <c r="E24" s="18">
        <v>4.5</v>
      </c>
      <c r="F24" s="87">
        <v>0.05</v>
      </c>
      <c r="G24" s="84">
        <v>484.94</v>
      </c>
      <c r="H24" s="85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1" t="s">
        <v>128</v>
      </c>
      <c r="C25" s="82" t="s">
        <v>52</v>
      </c>
      <c r="D25" s="81" t="s">
        <v>92</v>
      </c>
      <c r="E25" s="86">
        <v>9.4499999999999993</v>
      </c>
      <c r="F25" s="84">
        <v>0.09</v>
      </c>
      <c r="G25" s="84">
        <v>268.92</v>
      </c>
      <c r="H25" s="85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1" t="s">
        <v>98</v>
      </c>
      <c r="C26" s="82" t="s">
        <v>52</v>
      </c>
      <c r="D26" s="81" t="s">
        <v>92</v>
      </c>
      <c r="E26" s="83">
        <v>14.4</v>
      </c>
      <c r="F26" s="84">
        <f>SUM(E26/100)</f>
        <v>0.14400000000000002</v>
      </c>
      <c r="G26" s="84">
        <v>648.04999999999995</v>
      </c>
      <c r="H26" s="85">
        <f t="shared" si="1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163</v>
      </c>
      <c r="C27" s="122" t="s">
        <v>159</v>
      </c>
      <c r="D27" s="32" t="s">
        <v>164</v>
      </c>
      <c r="E27" s="123">
        <v>3.43</v>
      </c>
      <c r="F27" s="100">
        <f>E27*258</f>
        <v>884.94</v>
      </c>
      <c r="G27" s="100">
        <v>10.39</v>
      </c>
      <c r="H27" s="85">
        <f>SUM(F27*G27/1000)</f>
        <v>9.1945266000000014</v>
      </c>
      <c r="I27" s="13">
        <f>F27/12*G27</f>
        <v>766.21055000000013</v>
      </c>
      <c r="J27" s="22"/>
      <c r="K27" s="8"/>
      <c r="L27" s="8"/>
      <c r="M27" s="8"/>
    </row>
    <row r="28" spans="1:13" ht="15.75" customHeight="1">
      <c r="A28" s="153" t="s">
        <v>80</v>
      </c>
      <c r="B28" s="153"/>
      <c r="C28" s="153"/>
      <c r="D28" s="153"/>
      <c r="E28" s="153"/>
      <c r="F28" s="153"/>
      <c r="G28" s="153"/>
      <c r="H28" s="153"/>
      <c r="I28" s="153"/>
      <c r="J28" s="22"/>
      <c r="K28" s="8"/>
      <c r="L28" s="8"/>
      <c r="M28" s="8"/>
    </row>
    <row r="29" spans="1:13" ht="15.75" customHeight="1">
      <c r="A29" s="41"/>
      <c r="B29" s="51" t="s">
        <v>27</v>
      </c>
      <c r="C29" s="51"/>
      <c r="D29" s="51"/>
      <c r="E29" s="51"/>
      <c r="F29" s="51"/>
      <c r="G29" s="51"/>
      <c r="H29" s="51"/>
      <c r="I29" s="18"/>
      <c r="J29" s="22"/>
      <c r="K29" s="8"/>
      <c r="L29" s="8"/>
      <c r="M29" s="8"/>
    </row>
    <row r="30" spans="1:13" ht="15.75" customHeight="1">
      <c r="A30" s="41">
        <v>7</v>
      </c>
      <c r="B30" s="32" t="s">
        <v>99</v>
      </c>
      <c r="C30" s="82" t="s">
        <v>100</v>
      </c>
      <c r="D30" s="81" t="s">
        <v>166</v>
      </c>
      <c r="E30" s="84">
        <v>58</v>
      </c>
      <c r="F30" s="84">
        <f>SUM(E30*52/1000)</f>
        <v>3.016</v>
      </c>
      <c r="G30" s="84">
        <v>193.97</v>
      </c>
      <c r="H30" s="85">
        <f t="shared" ref="H30:H33" si="2">SUM(F30*G30/1000)</f>
        <v>0.58501351999999995</v>
      </c>
      <c r="I30" s="13">
        <f>F30/6*G30</f>
        <v>97.502253333333343</v>
      </c>
      <c r="J30" s="22"/>
      <c r="K30" s="8"/>
      <c r="L30" s="8"/>
      <c r="M30" s="8"/>
    </row>
    <row r="31" spans="1:13" ht="31.5" customHeight="1">
      <c r="A31" s="41">
        <v>8</v>
      </c>
      <c r="B31" s="32" t="s">
        <v>102</v>
      </c>
      <c r="C31" s="82" t="s">
        <v>100</v>
      </c>
      <c r="D31" s="81" t="s">
        <v>165</v>
      </c>
      <c r="E31" s="84">
        <v>48.3</v>
      </c>
      <c r="F31" s="84">
        <f>SUM(E31*78/1000)</f>
        <v>3.7673999999999994</v>
      </c>
      <c r="G31" s="84">
        <v>321.82</v>
      </c>
      <c r="H31" s="85">
        <f t="shared" si="2"/>
        <v>1.2124246679999999</v>
      </c>
      <c r="I31" s="13">
        <f>F31/6*G31</f>
        <v>202.07077799999996</v>
      </c>
      <c r="J31" s="22"/>
      <c r="K31" s="8"/>
      <c r="L31" s="8"/>
      <c r="M31" s="8"/>
    </row>
    <row r="32" spans="1:13" ht="15.75" hidden="1" customHeight="1">
      <c r="A32" s="41">
        <v>16</v>
      </c>
      <c r="B32" s="32" t="s">
        <v>26</v>
      </c>
      <c r="C32" s="82" t="s">
        <v>100</v>
      </c>
      <c r="D32" s="81" t="s">
        <v>53</v>
      </c>
      <c r="E32" s="84">
        <v>58</v>
      </c>
      <c r="F32" s="84">
        <f>SUM(E32/1000)</f>
        <v>5.8000000000000003E-2</v>
      </c>
      <c r="G32" s="84">
        <v>3758.28</v>
      </c>
      <c r="H32" s="85">
        <f t="shared" si="2"/>
        <v>0.21798024000000002</v>
      </c>
      <c r="I32" s="13">
        <f>F32*G32</f>
        <v>217.98024000000001</v>
      </c>
      <c r="J32" s="22"/>
      <c r="K32" s="8"/>
      <c r="L32" s="8"/>
      <c r="M32" s="8"/>
    </row>
    <row r="33" spans="1:14" ht="15.75" customHeight="1">
      <c r="A33" s="41">
        <v>9</v>
      </c>
      <c r="B33" s="32" t="s">
        <v>104</v>
      </c>
      <c r="C33" s="82" t="s">
        <v>39</v>
      </c>
      <c r="D33" s="81" t="s">
        <v>169</v>
      </c>
      <c r="E33" s="84">
        <v>1</v>
      </c>
      <c r="F33" s="84">
        <f>E33*155/100</f>
        <v>1.55</v>
      </c>
      <c r="G33" s="84">
        <v>1620.15</v>
      </c>
      <c r="H33" s="85">
        <f t="shared" si="2"/>
        <v>2.5112325000000002</v>
      </c>
      <c r="I33" s="13">
        <f>F33/6*G33</f>
        <v>418.53875000000005</v>
      </c>
      <c r="J33" s="22"/>
      <c r="K33" s="8"/>
    </row>
    <row r="34" spans="1:14" ht="15.75" hidden="1" customHeight="1">
      <c r="A34" s="41">
        <v>4</v>
      </c>
      <c r="B34" s="81" t="s">
        <v>63</v>
      </c>
      <c r="C34" s="82" t="s">
        <v>31</v>
      </c>
      <c r="D34" s="81" t="s">
        <v>65</v>
      </c>
      <c r="E34" s="83"/>
      <c r="F34" s="84">
        <v>1</v>
      </c>
      <c r="G34" s="84">
        <v>238.07</v>
      </c>
      <c r="H34" s="85">
        <f>SUM(F34*G34/1000)</f>
        <v>0.23807</v>
      </c>
      <c r="I34" s="13">
        <v>0</v>
      </c>
      <c r="J34" s="23"/>
    </row>
    <row r="35" spans="1:14" ht="15.75" hidden="1" customHeight="1">
      <c r="A35" s="29">
        <v>8</v>
      </c>
      <c r="B35" s="81" t="s">
        <v>64</v>
      </c>
      <c r="C35" s="82" t="s">
        <v>30</v>
      </c>
      <c r="D35" s="81" t="s">
        <v>65</v>
      </c>
      <c r="E35" s="83"/>
      <c r="F35" s="84">
        <v>1</v>
      </c>
      <c r="G35" s="84">
        <v>1413.96</v>
      </c>
      <c r="H35" s="85">
        <f>SUM(F35*G35/1000)</f>
        <v>1.4139600000000001</v>
      </c>
      <c r="I35" s="13">
        <v>0</v>
      </c>
      <c r="J35" s="23"/>
    </row>
    <row r="36" spans="1:14" ht="15.75" hidden="1" customHeight="1">
      <c r="A36" s="41"/>
      <c r="B36" s="49" t="s">
        <v>5</v>
      </c>
      <c r="C36" s="49"/>
      <c r="D36" s="49"/>
      <c r="E36" s="13"/>
      <c r="F36" s="13"/>
      <c r="G36" s="14"/>
      <c r="H36" s="14"/>
      <c r="I36" s="18"/>
      <c r="J36" s="23"/>
    </row>
    <row r="37" spans="1:14" ht="15.75" hidden="1" customHeight="1">
      <c r="A37" s="33">
        <v>6</v>
      </c>
      <c r="B37" s="81" t="s">
        <v>25</v>
      </c>
      <c r="C37" s="82" t="s">
        <v>30</v>
      </c>
      <c r="D37" s="81"/>
      <c r="E37" s="83"/>
      <c r="F37" s="84">
        <v>2</v>
      </c>
      <c r="G37" s="84">
        <v>1900.37</v>
      </c>
      <c r="H37" s="85">
        <f t="shared" ref="H37:H42" si="3">SUM(F37*G37/1000)</f>
        <v>3.8007399999999998</v>
      </c>
      <c r="I37" s="13">
        <f t="shared" ref="I37:I42" si="4">F37/6*G37</f>
        <v>633.45666666666659</v>
      </c>
      <c r="J37" s="23"/>
    </row>
    <row r="38" spans="1:14" ht="15.75" hidden="1" customHeight="1">
      <c r="A38" s="33">
        <v>7</v>
      </c>
      <c r="B38" s="81" t="s">
        <v>66</v>
      </c>
      <c r="C38" s="82" t="s">
        <v>28</v>
      </c>
      <c r="D38" s="81" t="s">
        <v>106</v>
      </c>
      <c r="E38" s="84">
        <v>48.3</v>
      </c>
      <c r="F38" s="84">
        <f>SUM(E38*30/1000)</f>
        <v>1.4490000000000001</v>
      </c>
      <c r="G38" s="84">
        <v>2616.4899999999998</v>
      </c>
      <c r="H38" s="85">
        <f t="shared" si="3"/>
        <v>3.7912940100000001</v>
      </c>
      <c r="I38" s="13">
        <f t="shared" si="4"/>
        <v>631.88233500000001</v>
      </c>
      <c r="J38" s="23"/>
    </row>
    <row r="39" spans="1:14" ht="15.75" hidden="1" customHeight="1">
      <c r="A39" s="33">
        <v>8</v>
      </c>
      <c r="B39" s="81" t="s">
        <v>67</v>
      </c>
      <c r="C39" s="82" t="s">
        <v>28</v>
      </c>
      <c r="D39" s="81" t="s">
        <v>107</v>
      </c>
      <c r="E39" s="84">
        <v>48.3</v>
      </c>
      <c r="F39" s="84">
        <f>SUM(E39*155/1000)</f>
        <v>7.4865000000000004</v>
      </c>
      <c r="G39" s="84">
        <v>436.45</v>
      </c>
      <c r="H39" s="85">
        <f t="shared" si="3"/>
        <v>3.2674829250000004</v>
      </c>
      <c r="I39" s="13">
        <f t="shared" si="4"/>
        <v>544.5804875</v>
      </c>
      <c r="J39" s="23"/>
    </row>
    <row r="40" spans="1:14" ht="47.25" hidden="1" customHeight="1">
      <c r="A40" s="33">
        <v>9</v>
      </c>
      <c r="B40" s="81" t="s">
        <v>79</v>
      </c>
      <c r="C40" s="82" t="s">
        <v>100</v>
      </c>
      <c r="D40" s="81" t="s">
        <v>108</v>
      </c>
      <c r="E40" s="84">
        <f>E38</f>
        <v>48.3</v>
      </c>
      <c r="F40" s="84">
        <f>SUM(E40*35/1000)</f>
        <v>1.6904999999999999</v>
      </c>
      <c r="G40" s="84">
        <v>7221.21</v>
      </c>
      <c r="H40" s="85">
        <f t="shared" si="3"/>
        <v>12.207455505</v>
      </c>
      <c r="I40" s="13">
        <f t="shared" si="4"/>
        <v>2034.5759175000001</v>
      </c>
      <c r="J40" s="23"/>
      <c r="L40" s="19"/>
      <c r="M40" s="20"/>
      <c r="N40" s="21"/>
    </row>
    <row r="41" spans="1:14" ht="15.75" hidden="1" customHeight="1">
      <c r="A41" s="33">
        <v>10</v>
      </c>
      <c r="B41" s="81" t="s">
        <v>109</v>
      </c>
      <c r="C41" s="82" t="s">
        <v>100</v>
      </c>
      <c r="D41" s="81" t="s">
        <v>110</v>
      </c>
      <c r="E41" s="84">
        <f>E38</f>
        <v>48.3</v>
      </c>
      <c r="F41" s="84">
        <f>SUM(E41*20/1000)</f>
        <v>0.96599999999999997</v>
      </c>
      <c r="G41" s="84">
        <v>533.45000000000005</v>
      </c>
      <c r="H41" s="85">
        <f t="shared" si="3"/>
        <v>0.51531270000000007</v>
      </c>
      <c r="I41" s="13">
        <f t="shared" si="4"/>
        <v>85.885450000000006</v>
      </c>
      <c r="J41" s="23"/>
      <c r="L41" s="19"/>
      <c r="M41" s="20"/>
      <c r="N41" s="21"/>
    </row>
    <row r="42" spans="1:14" ht="15.75" hidden="1" customHeight="1">
      <c r="A42" s="33">
        <v>11</v>
      </c>
      <c r="B42" s="81" t="s">
        <v>68</v>
      </c>
      <c r="C42" s="82" t="s">
        <v>31</v>
      </c>
      <c r="D42" s="81"/>
      <c r="E42" s="83"/>
      <c r="F42" s="84">
        <v>0.5</v>
      </c>
      <c r="G42" s="84">
        <v>992.97</v>
      </c>
      <c r="H42" s="85">
        <f t="shared" si="3"/>
        <v>0.49648500000000001</v>
      </c>
      <c r="I42" s="13">
        <f t="shared" si="4"/>
        <v>82.747500000000002</v>
      </c>
      <c r="J42" s="23"/>
      <c r="L42" s="19"/>
      <c r="M42" s="20"/>
      <c r="N42" s="21"/>
    </row>
    <row r="43" spans="1:14" ht="15.75" customHeight="1">
      <c r="A43" s="154" t="s">
        <v>134</v>
      </c>
      <c r="B43" s="155"/>
      <c r="C43" s="155"/>
      <c r="D43" s="155"/>
      <c r="E43" s="155"/>
      <c r="F43" s="155"/>
      <c r="G43" s="155"/>
      <c r="H43" s="155"/>
      <c r="I43" s="156"/>
      <c r="J43" s="23"/>
      <c r="L43" s="19"/>
      <c r="M43" s="20"/>
      <c r="N43" s="21"/>
    </row>
    <row r="44" spans="1:14" ht="15.75" customHeight="1">
      <c r="A44" s="41">
        <v>10</v>
      </c>
      <c r="B44" s="81" t="s">
        <v>111</v>
      </c>
      <c r="C44" s="82" t="s">
        <v>100</v>
      </c>
      <c r="D44" s="81" t="s">
        <v>172</v>
      </c>
      <c r="E44" s="83">
        <v>1044.7</v>
      </c>
      <c r="F44" s="84">
        <f>SUM(E44*2/1000)</f>
        <v>2.0893999999999999</v>
      </c>
      <c r="G44" s="13">
        <v>1283.46</v>
      </c>
      <c r="H44" s="85">
        <f t="shared" ref="H44:H54" si="5">SUM(F44*G44/1000)</f>
        <v>2.6816613240000002</v>
      </c>
      <c r="I44" s="13">
        <f t="shared" ref="I44:I47" si="6">F44/2*G44</f>
        <v>1340.8306620000001</v>
      </c>
      <c r="J44" s="23"/>
      <c r="L44" s="19"/>
      <c r="M44" s="20"/>
      <c r="N44" s="21"/>
    </row>
    <row r="45" spans="1:14" ht="15.75" customHeight="1">
      <c r="A45" s="41">
        <v>11</v>
      </c>
      <c r="B45" s="81" t="s">
        <v>34</v>
      </c>
      <c r="C45" s="82" t="s">
        <v>100</v>
      </c>
      <c r="D45" s="81" t="s">
        <v>172</v>
      </c>
      <c r="E45" s="83">
        <v>19.8</v>
      </c>
      <c r="F45" s="84">
        <f>SUM(E45*2/1000)</f>
        <v>3.9600000000000003E-2</v>
      </c>
      <c r="G45" s="13">
        <v>4192.6400000000003</v>
      </c>
      <c r="H45" s="85">
        <f t="shared" si="5"/>
        <v>0.16602854400000003</v>
      </c>
      <c r="I45" s="13">
        <f t="shared" si="6"/>
        <v>83.01427200000002</v>
      </c>
      <c r="J45" s="23"/>
      <c r="L45" s="19"/>
      <c r="M45" s="20"/>
      <c r="N45" s="21"/>
    </row>
    <row r="46" spans="1:14" ht="15.75" customHeight="1">
      <c r="A46" s="41">
        <v>12</v>
      </c>
      <c r="B46" s="81" t="s">
        <v>35</v>
      </c>
      <c r="C46" s="82" t="s">
        <v>100</v>
      </c>
      <c r="D46" s="81" t="s">
        <v>172</v>
      </c>
      <c r="E46" s="83">
        <v>660.84</v>
      </c>
      <c r="F46" s="84">
        <f>SUM(E46*2/1000)</f>
        <v>1.32168</v>
      </c>
      <c r="G46" s="13">
        <v>1711.28</v>
      </c>
      <c r="H46" s="85">
        <f t="shared" si="5"/>
        <v>2.2617645503999997</v>
      </c>
      <c r="I46" s="13">
        <f t="shared" si="6"/>
        <v>1130.8822751999999</v>
      </c>
      <c r="J46" s="23"/>
      <c r="L46" s="19"/>
      <c r="M46" s="20"/>
      <c r="N46" s="21"/>
    </row>
    <row r="47" spans="1:14" ht="15.75" customHeight="1">
      <c r="A47" s="41">
        <v>13</v>
      </c>
      <c r="B47" s="81" t="s">
        <v>36</v>
      </c>
      <c r="C47" s="82" t="s">
        <v>100</v>
      </c>
      <c r="D47" s="81" t="s">
        <v>172</v>
      </c>
      <c r="E47" s="83">
        <v>1156.21</v>
      </c>
      <c r="F47" s="84">
        <f>SUM(E47*2/1000)</f>
        <v>2.3124199999999999</v>
      </c>
      <c r="G47" s="13">
        <v>1179.73</v>
      </c>
      <c r="H47" s="85">
        <f t="shared" si="5"/>
        <v>2.7280312466000001</v>
      </c>
      <c r="I47" s="13">
        <f t="shared" si="6"/>
        <v>1364.0156233</v>
      </c>
      <c r="J47" s="23"/>
      <c r="L47" s="19"/>
      <c r="M47" s="20"/>
      <c r="N47" s="21"/>
    </row>
    <row r="48" spans="1:14" ht="15.75" customHeight="1">
      <c r="A48" s="41">
        <v>14</v>
      </c>
      <c r="B48" s="81" t="s">
        <v>32</v>
      </c>
      <c r="C48" s="82" t="s">
        <v>33</v>
      </c>
      <c r="D48" s="81" t="s">
        <v>172</v>
      </c>
      <c r="E48" s="83">
        <v>17.2</v>
      </c>
      <c r="F48" s="84">
        <f>SUM(E48*2/100)</f>
        <v>0.34399999999999997</v>
      </c>
      <c r="G48" s="13">
        <v>90.61</v>
      </c>
      <c r="H48" s="85">
        <f t="shared" si="5"/>
        <v>3.1169839999999997E-2</v>
      </c>
      <c r="I48" s="13">
        <f>F48/2*G48</f>
        <v>15.584919999999999</v>
      </c>
      <c r="J48" s="23"/>
      <c r="L48" s="19"/>
      <c r="M48" s="20"/>
      <c r="N48" s="21"/>
    </row>
    <row r="49" spans="1:14" ht="15.75" customHeight="1">
      <c r="A49" s="41">
        <v>15</v>
      </c>
      <c r="B49" s="81" t="s">
        <v>55</v>
      </c>
      <c r="C49" s="82" t="s">
        <v>100</v>
      </c>
      <c r="D49" s="81" t="s">
        <v>172</v>
      </c>
      <c r="E49" s="83">
        <v>1839.1</v>
      </c>
      <c r="F49" s="84">
        <f>SUM(E49*5/1000)</f>
        <v>9.1954999999999991</v>
      </c>
      <c r="G49" s="13">
        <v>1711.28</v>
      </c>
      <c r="H49" s="85">
        <f t="shared" si="5"/>
        <v>15.736075239999998</v>
      </c>
      <c r="I49" s="13">
        <f>F49/5*G49</f>
        <v>3147.2150479999996</v>
      </c>
      <c r="J49" s="23"/>
      <c r="L49" s="19"/>
      <c r="M49" s="20"/>
      <c r="N49" s="21"/>
    </row>
    <row r="50" spans="1:14" ht="31.5" customHeight="1">
      <c r="A50" s="41">
        <v>16</v>
      </c>
      <c r="B50" s="81" t="s">
        <v>112</v>
      </c>
      <c r="C50" s="82" t="s">
        <v>100</v>
      </c>
      <c r="D50" s="81" t="s">
        <v>172</v>
      </c>
      <c r="E50" s="83">
        <f>E49</f>
        <v>1839.1</v>
      </c>
      <c r="F50" s="84">
        <f>SUM(E50*2/1000)</f>
        <v>3.6781999999999999</v>
      </c>
      <c r="G50" s="13">
        <v>1510.06</v>
      </c>
      <c r="H50" s="85">
        <f t="shared" si="5"/>
        <v>5.5543026919999994</v>
      </c>
      <c r="I50" s="13">
        <f>F50/2*G50</f>
        <v>2777.1513459999996</v>
      </c>
      <c r="J50" s="23"/>
      <c r="L50" s="19"/>
      <c r="M50" s="20"/>
      <c r="N50" s="21"/>
    </row>
    <row r="51" spans="1:14" ht="31.5" customHeight="1">
      <c r="A51" s="41">
        <v>17</v>
      </c>
      <c r="B51" s="81" t="s">
        <v>113</v>
      </c>
      <c r="C51" s="82" t="s">
        <v>37</v>
      </c>
      <c r="D51" s="81" t="s">
        <v>172</v>
      </c>
      <c r="E51" s="83">
        <v>9</v>
      </c>
      <c r="F51" s="84">
        <f>SUM(E51*2/100)</f>
        <v>0.18</v>
      </c>
      <c r="G51" s="13">
        <v>3850.4</v>
      </c>
      <c r="H51" s="85">
        <f t="shared" si="5"/>
        <v>0.69307200000000002</v>
      </c>
      <c r="I51" s="13">
        <f t="shared" ref="I51:I52" si="7">F51/2*G51</f>
        <v>346.536</v>
      </c>
      <c r="J51" s="23"/>
      <c r="L51" s="19"/>
      <c r="M51" s="20"/>
      <c r="N51" s="21"/>
    </row>
    <row r="52" spans="1:14" ht="15.75" customHeight="1">
      <c r="A52" s="41">
        <v>18</v>
      </c>
      <c r="B52" s="81" t="s">
        <v>38</v>
      </c>
      <c r="C52" s="82" t="s">
        <v>39</v>
      </c>
      <c r="D52" s="81" t="s">
        <v>172</v>
      </c>
      <c r="E52" s="83">
        <v>1</v>
      </c>
      <c r="F52" s="84">
        <v>0.02</v>
      </c>
      <c r="G52" s="13">
        <v>7033.13</v>
      </c>
      <c r="H52" s="85">
        <f t="shared" si="5"/>
        <v>0.1406626</v>
      </c>
      <c r="I52" s="13">
        <f t="shared" si="7"/>
        <v>70.331299999999999</v>
      </c>
      <c r="J52" s="23"/>
      <c r="L52" s="19"/>
      <c r="M52" s="20"/>
      <c r="N52" s="21"/>
    </row>
    <row r="53" spans="1:14" ht="15.75" hidden="1" customHeight="1">
      <c r="A53" s="41">
        <v>10</v>
      </c>
      <c r="B53" s="81" t="s">
        <v>139</v>
      </c>
      <c r="C53" s="82" t="s">
        <v>29</v>
      </c>
      <c r="D53" s="81" t="s">
        <v>69</v>
      </c>
      <c r="E53" s="83">
        <v>36</v>
      </c>
      <c r="F53" s="84">
        <f>E53*3</f>
        <v>108</v>
      </c>
      <c r="G53" s="13">
        <v>175.6</v>
      </c>
      <c r="H53" s="85">
        <f t="shared" si="5"/>
        <v>18.9648</v>
      </c>
      <c r="I53" s="13">
        <f>E53*G53</f>
        <v>6321.5999999999995</v>
      </c>
      <c r="J53" s="23"/>
      <c r="L53" s="19"/>
      <c r="M53" s="20"/>
      <c r="N53" s="21"/>
    </row>
    <row r="54" spans="1:14" ht="15.75" hidden="1" customHeight="1">
      <c r="A54" s="41">
        <v>11</v>
      </c>
      <c r="B54" s="81" t="s">
        <v>40</v>
      </c>
      <c r="C54" s="82" t="s">
        <v>29</v>
      </c>
      <c r="D54" s="81" t="s">
        <v>69</v>
      </c>
      <c r="E54" s="83">
        <v>36</v>
      </c>
      <c r="F54" s="84">
        <f>E54*3</f>
        <v>108</v>
      </c>
      <c r="G54" s="13">
        <v>81.73</v>
      </c>
      <c r="H54" s="85">
        <f t="shared" si="5"/>
        <v>8.8268400000000007</v>
      </c>
      <c r="I54" s="13">
        <f>E54*G54</f>
        <v>2942.28</v>
      </c>
      <c r="J54" s="23"/>
      <c r="L54" s="19"/>
      <c r="M54" s="20"/>
      <c r="N54" s="21"/>
    </row>
    <row r="55" spans="1:14" ht="15.75" customHeight="1">
      <c r="A55" s="154" t="s">
        <v>135</v>
      </c>
      <c r="B55" s="155"/>
      <c r="C55" s="155"/>
      <c r="D55" s="155"/>
      <c r="E55" s="155"/>
      <c r="F55" s="155"/>
      <c r="G55" s="155"/>
      <c r="H55" s="155"/>
      <c r="I55" s="156"/>
      <c r="J55" s="23"/>
      <c r="L55" s="19"/>
      <c r="M55" s="20"/>
      <c r="N55" s="21"/>
    </row>
    <row r="56" spans="1:14" ht="15.75" hidden="1" customHeight="1">
      <c r="A56" s="80"/>
      <c r="B56" s="48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1">
        <v>12</v>
      </c>
      <c r="B57" s="81" t="s">
        <v>115</v>
      </c>
      <c r="C57" s="82" t="s">
        <v>141</v>
      </c>
      <c r="D57" s="81" t="s">
        <v>70</v>
      </c>
      <c r="E57" s="83">
        <v>12.5</v>
      </c>
      <c r="F57" s="84">
        <f>E57*6/100</f>
        <v>0.75</v>
      </c>
      <c r="G57" s="90">
        <v>2306.62</v>
      </c>
      <c r="H57" s="85">
        <f>F57*G57/1000</f>
        <v>1.729965</v>
      </c>
      <c r="I57" s="13">
        <f>F57/6*G57</f>
        <v>288.32749999999999</v>
      </c>
      <c r="J57" s="23"/>
      <c r="L57" s="19"/>
      <c r="M57" s="20"/>
      <c r="N57" s="21"/>
    </row>
    <row r="58" spans="1:14" ht="15.75" hidden="1" customHeight="1">
      <c r="A58" s="41">
        <v>13</v>
      </c>
      <c r="B58" s="91" t="s">
        <v>82</v>
      </c>
      <c r="C58" s="92" t="s">
        <v>116</v>
      </c>
      <c r="D58" s="37" t="s">
        <v>65</v>
      </c>
      <c r="E58" s="93"/>
      <c r="F58" s="94">
        <v>2</v>
      </c>
      <c r="G58" s="95">
        <v>1501</v>
      </c>
      <c r="H58" s="85">
        <f>F58*G58/1000</f>
        <v>3.0019999999999998</v>
      </c>
      <c r="I58" s="13">
        <f>G58*0.5</f>
        <v>750.5</v>
      </c>
      <c r="J58" s="23"/>
      <c r="L58" s="19"/>
      <c r="M58" s="20"/>
      <c r="N58" s="21"/>
    </row>
    <row r="59" spans="1:14" ht="15.75" hidden="1" customHeight="1">
      <c r="A59" s="41"/>
      <c r="B59" s="74" t="s">
        <v>43</v>
      </c>
      <c r="C59" s="74"/>
      <c r="D59" s="74"/>
      <c r="E59" s="74"/>
      <c r="F59" s="75"/>
      <c r="G59" s="63"/>
      <c r="H59" s="63"/>
      <c r="I59" s="35"/>
      <c r="J59" s="23"/>
      <c r="L59" s="19"/>
      <c r="M59" s="20"/>
      <c r="N59" s="21"/>
    </row>
    <row r="60" spans="1:14" ht="15.75" hidden="1" customHeight="1">
      <c r="A60" s="41">
        <v>27</v>
      </c>
      <c r="B60" s="91" t="s">
        <v>44</v>
      </c>
      <c r="C60" s="92" t="s">
        <v>52</v>
      </c>
      <c r="D60" s="91" t="s">
        <v>53</v>
      </c>
      <c r="E60" s="93">
        <v>164</v>
      </c>
      <c r="F60" s="94">
        <f>E60/100</f>
        <v>1.64</v>
      </c>
      <c r="G60" s="95">
        <v>987.51</v>
      </c>
      <c r="H60" s="96">
        <f>G60*F60/1000</f>
        <v>1.6195164</v>
      </c>
      <c r="I60" s="13">
        <v>0</v>
      </c>
      <c r="J60" s="23"/>
      <c r="L60" s="19"/>
      <c r="M60" s="20"/>
      <c r="N60" s="21"/>
    </row>
    <row r="61" spans="1:14" ht="15.75" customHeight="1">
      <c r="A61" s="41"/>
      <c r="B61" s="74" t="s">
        <v>45</v>
      </c>
      <c r="C61" s="16"/>
      <c r="D61" s="37"/>
      <c r="E61" s="15"/>
      <c r="F61" s="76"/>
      <c r="G61" s="64"/>
      <c r="H61" s="63"/>
      <c r="I61" s="18"/>
      <c r="J61" s="23"/>
      <c r="L61" s="19"/>
    </row>
    <row r="62" spans="1:14" ht="15.75" customHeight="1">
      <c r="A62" s="41">
        <v>19</v>
      </c>
      <c r="B62" s="97" t="s">
        <v>46</v>
      </c>
      <c r="C62" s="16" t="s">
        <v>114</v>
      </c>
      <c r="D62" s="97" t="s">
        <v>172</v>
      </c>
      <c r="E62" s="18">
        <v>1</v>
      </c>
      <c r="F62" s="84">
        <f>E62</f>
        <v>1</v>
      </c>
      <c r="G62" s="13">
        <v>276.74</v>
      </c>
      <c r="H62" s="98">
        <f t="shared" ref="H62:H70" si="8">SUM(F62*G62/1000)</f>
        <v>0.27673999999999999</v>
      </c>
      <c r="I62" s="13">
        <f>G62*1</f>
        <v>276.74</v>
      </c>
    </row>
    <row r="63" spans="1:14" ht="15.75" hidden="1" customHeight="1">
      <c r="A63" s="29">
        <v>29</v>
      </c>
      <c r="B63" s="97" t="s">
        <v>47</v>
      </c>
      <c r="C63" s="16" t="s">
        <v>114</v>
      </c>
      <c r="D63" s="97" t="s">
        <v>65</v>
      </c>
      <c r="E63" s="18">
        <v>3</v>
      </c>
      <c r="F63" s="84">
        <v>3</v>
      </c>
      <c r="G63" s="13">
        <v>94.89</v>
      </c>
      <c r="H63" s="98">
        <f t="shared" si="8"/>
        <v>0.28467000000000003</v>
      </c>
      <c r="I63" s="13">
        <v>0</v>
      </c>
    </row>
    <row r="64" spans="1:14" ht="15.75" hidden="1" customHeight="1">
      <c r="A64" s="29">
        <v>28</v>
      </c>
      <c r="B64" s="97" t="s">
        <v>48</v>
      </c>
      <c r="C64" s="16" t="s">
        <v>117</v>
      </c>
      <c r="D64" s="97" t="s">
        <v>53</v>
      </c>
      <c r="E64" s="83">
        <v>7265</v>
      </c>
      <c r="F64" s="13">
        <f>SUM(E64/100)</f>
        <v>72.650000000000006</v>
      </c>
      <c r="G64" s="13">
        <v>263.99</v>
      </c>
      <c r="H64" s="98">
        <f t="shared" si="8"/>
        <v>19.178873500000002</v>
      </c>
      <c r="I64" s="13">
        <f>F64*G64</f>
        <v>19178.873500000002</v>
      </c>
    </row>
    <row r="65" spans="1:22" ht="15.75" hidden="1" customHeight="1">
      <c r="A65" s="29">
        <v>29</v>
      </c>
      <c r="B65" s="97" t="s">
        <v>49</v>
      </c>
      <c r="C65" s="16" t="s">
        <v>118</v>
      </c>
      <c r="D65" s="97" t="s">
        <v>53</v>
      </c>
      <c r="E65" s="83">
        <f>E64</f>
        <v>7265</v>
      </c>
      <c r="F65" s="13">
        <f>SUM(E65/1000)</f>
        <v>7.2649999999999997</v>
      </c>
      <c r="G65" s="13">
        <v>205.57</v>
      </c>
      <c r="H65" s="98">
        <f t="shared" si="8"/>
        <v>1.4934660500000001</v>
      </c>
      <c r="I65" s="13">
        <f t="shared" ref="I65:I68" si="9">F65*G65</f>
        <v>1493.46605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29">
        <v>30</v>
      </c>
      <c r="B66" s="97" t="s">
        <v>50</v>
      </c>
      <c r="C66" s="16" t="s">
        <v>75</v>
      </c>
      <c r="D66" s="97" t="s">
        <v>53</v>
      </c>
      <c r="E66" s="83">
        <v>1090</v>
      </c>
      <c r="F66" s="13">
        <f>SUM(E66/100)</f>
        <v>10.9</v>
      </c>
      <c r="G66" s="13">
        <v>2581.5300000000002</v>
      </c>
      <c r="H66" s="98">
        <f t="shared" si="8"/>
        <v>28.138677000000005</v>
      </c>
      <c r="I66" s="13">
        <f t="shared" si="9"/>
        <v>28138.677000000003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29">
        <v>31</v>
      </c>
      <c r="B67" s="99" t="s">
        <v>119</v>
      </c>
      <c r="C67" s="16" t="s">
        <v>31</v>
      </c>
      <c r="D67" s="97"/>
      <c r="E67" s="83">
        <v>7.6</v>
      </c>
      <c r="F67" s="13">
        <f>SUM(E67)</f>
        <v>7.6</v>
      </c>
      <c r="G67" s="13">
        <v>47.45</v>
      </c>
      <c r="H67" s="98">
        <f t="shared" si="8"/>
        <v>0.36062</v>
      </c>
      <c r="I67" s="13">
        <f t="shared" si="9"/>
        <v>360.62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29">
        <v>32</v>
      </c>
      <c r="B68" s="99" t="s">
        <v>142</v>
      </c>
      <c r="C68" s="16" t="s">
        <v>31</v>
      </c>
      <c r="D68" s="97"/>
      <c r="E68" s="83">
        <f>E67</f>
        <v>7.6</v>
      </c>
      <c r="F68" s="13">
        <f>SUM(E68)</f>
        <v>7.6</v>
      </c>
      <c r="G68" s="13">
        <v>44.27</v>
      </c>
      <c r="H68" s="98">
        <f t="shared" si="8"/>
        <v>0.33645199999999997</v>
      </c>
      <c r="I68" s="13">
        <f t="shared" si="9"/>
        <v>336.452</v>
      </c>
      <c r="J68" s="5"/>
      <c r="K68" s="5"/>
      <c r="L68" s="5"/>
      <c r="M68" s="5"/>
      <c r="N68" s="5"/>
      <c r="O68" s="5"/>
      <c r="P68" s="5"/>
      <c r="Q68" s="5"/>
      <c r="R68" s="138"/>
      <c r="S68" s="138"/>
      <c r="T68" s="138"/>
      <c r="U68" s="138"/>
    </row>
    <row r="69" spans="1:22" ht="15.75" customHeight="1">
      <c r="A69" s="29">
        <v>20</v>
      </c>
      <c r="B69" s="97" t="s">
        <v>56</v>
      </c>
      <c r="C69" s="16" t="s">
        <v>57</v>
      </c>
      <c r="D69" s="97" t="s">
        <v>177</v>
      </c>
      <c r="E69" s="18">
        <v>2</v>
      </c>
      <c r="F69" s="84">
        <f>SUM(E69)</f>
        <v>2</v>
      </c>
      <c r="G69" s="13">
        <v>62.07</v>
      </c>
      <c r="H69" s="98">
        <f t="shared" si="8"/>
        <v>0.12414</v>
      </c>
      <c r="I69" s="13">
        <f>F69*G69</f>
        <v>124.14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customHeight="1">
      <c r="A70" s="29">
        <v>21</v>
      </c>
      <c r="B70" s="97" t="s">
        <v>83</v>
      </c>
      <c r="C70" s="41" t="s">
        <v>129</v>
      </c>
      <c r="D70" s="37"/>
      <c r="E70" s="17">
        <v>1839.1</v>
      </c>
      <c r="F70" s="100">
        <f>SUM(E70*12)</f>
        <v>22069.199999999997</v>
      </c>
      <c r="G70" s="13">
        <v>2.16</v>
      </c>
      <c r="H70" s="98">
        <f t="shared" si="8"/>
        <v>47.669471999999992</v>
      </c>
      <c r="I70" s="13">
        <f>F70/12*G70</f>
        <v>3972.4559999999997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29"/>
      <c r="B71" s="49" t="s">
        <v>71</v>
      </c>
      <c r="C71" s="49"/>
      <c r="D71" s="49"/>
      <c r="E71" s="18"/>
      <c r="F71" s="18"/>
      <c r="G71" s="29"/>
      <c r="H71" s="29"/>
      <c r="I71" s="18"/>
    </row>
    <row r="72" spans="1:22" ht="15.75" hidden="1" customHeight="1">
      <c r="A72" s="29"/>
      <c r="B72" s="97" t="s">
        <v>121</v>
      </c>
      <c r="C72" s="16" t="s">
        <v>122</v>
      </c>
      <c r="D72" s="97" t="s">
        <v>65</v>
      </c>
      <c r="E72" s="18">
        <v>1</v>
      </c>
      <c r="F72" s="13">
        <f>E72</f>
        <v>1</v>
      </c>
      <c r="G72" s="13">
        <v>976.4</v>
      </c>
      <c r="H72" s="98">
        <f t="shared" ref="H72:H76" si="10">SUM(F72*G72/1000)</f>
        <v>0.97639999999999993</v>
      </c>
      <c r="I72" s="13">
        <v>0</v>
      </c>
    </row>
    <row r="73" spans="1:22" ht="15.75" hidden="1" customHeight="1">
      <c r="A73" s="29"/>
      <c r="B73" s="97" t="s">
        <v>123</v>
      </c>
      <c r="C73" s="16" t="s">
        <v>124</v>
      </c>
      <c r="D73" s="97"/>
      <c r="E73" s="18">
        <v>1</v>
      </c>
      <c r="F73" s="13">
        <v>1</v>
      </c>
      <c r="G73" s="13">
        <v>650</v>
      </c>
      <c r="H73" s="98">
        <f t="shared" si="10"/>
        <v>0.65</v>
      </c>
      <c r="I73" s="13">
        <v>0</v>
      </c>
    </row>
    <row r="74" spans="1:22" ht="15.75" hidden="1" customHeight="1">
      <c r="A74" s="29"/>
      <c r="B74" s="97" t="s">
        <v>72</v>
      </c>
      <c r="C74" s="16" t="s">
        <v>143</v>
      </c>
      <c r="D74" s="97" t="s">
        <v>65</v>
      </c>
      <c r="E74" s="18">
        <v>3</v>
      </c>
      <c r="F74" s="13">
        <f>E74/10</f>
        <v>0.3</v>
      </c>
      <c r="G74" s="13">
        <v>624.16999999999996</v>
      </c>
      <c r="H74" s="98">
        <f t="shared" si="10"/>
        <v>0.18725099999999997</v>
      </c>
      <c r="I74" s="13">
        <v>0</v>
      </c>
    </row>
    <row r="75" spans="1:22" ht="15.75" hidden="1" customHeight="1">
      <c r="A75" s="29"/>
      <c r="B75" s="97" t="s">
        <v>73</v>
      </c>
      <c r="C75" s="16" t="s">
        <v>29</v>
      </c>
      <c r="D75" s="97" t="s">
        <v>65</v>
      </c>
      <c r="E75" s="18">
        <v>1</v>
      </c>
      <c r="F75" s="13">
        <v>1</v>
      </c>
      <c r="G75" s="13">
        <v>1061.4100000000001</v>
      </c>
      <c r="H75" s="98">
        <f t="shared" si="10"/>
        <v>1.0614100000000002</v>
      </c>
      <c r="I75" s="13">
        <v>0</v>
      </c>
    </row>
    <row r="76" spans="1:22" ht="15.75" hidden="1" customHeight="1">
      <c r="A76" s="29">
        <v>17</v>
      </c>
      <c r="B76" s="97" t="s">
        <v>84</v>
      </c>
      <c r="C76" s="16" t="s">
        <v>29</v>
      </c>
      <c r="D76" s="97" t="s">
        <v>65</v>
      </c>
      <c r="E76" s="18">
        <v>1</v>
      </c>
      <c r="F76" s="84">
        <f>SUM(E76)</f>
        <v>1</v>
      </c>
      <c r="G76" s="13">
        <v>446.12</v>
      </c>
      <c r="H76" s="98">
        <f t="shared" si="10"/>
        <v>0.44612000000000002</v>
      </c>
      <c r="I76" s="13">
        <f>G76</f>
        <v>446.12</v>
      </c>
    </row>
    <row r="77" spans="1:22" ht="15.75" hidden="1" customHeight="1">
      <c r="A77" s="29"/>
      <c r="B77" s="50" t="s">
        <v>74</v>
      </c>
      <c r="C77" s="38"/>
      <c r="D77" s="29"/>
      <c r="E77" s="18"/>
      <c r="F77" s="18"/>
      <c r="G77" s="36"/>
      <c r="H77" s="36"/>
      <c r="I77" s="18"/>
    </row>
    <row r="78" spans="1:22" ht="15.75" hidden="1" customHeight="1">
      <c r="A78" s="29">
        <v>39</v>
      </c>
      <c r="B78" s="39" t="s">
        <v>125</v>
      </c>
      <c r="C78" s="16" t="s">
        <v>75</v>
      </c>
      <c r="D78" s="97"/>
      <c r="E78" s="18"/>
      <c r="F78" s="13">
        <v>1.3</v>
      </c>
      <c r="G78" s="13">
        <v>3433.68</v>
      </c>
      <c r="H78" s="98">
        <f t="shared" ref="H78" si="11">SUM(F78*G78/1000)</f>
        <v>4.4637839999999995</v>
      </c>
      <c r="I78" s="13">
        <v>0</v>
      </c>
    </row>
    <row r="79" spans="1:22" ht="15.75" hidden="1" customHeight="1">
      <c r="A79" s="80"/>
      <c r="B79" s="74" t="s">
        <v>120</v>
      </c>
      <c r="C79" s="74"/>
      <c r="D79" s="74"/>
      <c r="E79" s="74"/>
      <c r="F79" s="74"/>
      <c r="G79" s="74"/>
      <c r="H79" s="74"/>
      <c r="I79" s="18"/>
    </row>
    <row r="80" spans="1:22" ht="15.75" hidden="1" customHeight="1">
      <c r="A80" s="29">
        <v>15</v>
      </c>
      <c r="B80" s="81" t="s">
        <v>87</v>
      </c>
      <c r="C80" s="16"/>
      <c r="D80" s="97"/>
      <c r="E80" s="101"/>
      <c r="F80" s="13">
        <v>1</v>
      </c>
      <c r="G80" s="13">
        <v>13707.8</v>
      </c>
      <c r="H80" s="98">
        <f>G80*F80/1000</f>
        <v>13.707799999999999</v>
      </c>
      <c r="I80" s="13">
        <f>G80</f>
        <v>13707.8</v>
      </c>
    </row>
    <row r="81" spans="1:9" ht="15.75" customHeight="1">
      <c r="A81" s="140" t="s">
        <v>136</v>
      </c>
      <c r="B81" s="141"/>
      <c r="C81" s="141"/>
      <c r="D81" s="141"/>
      <c r="E81" s="141"/>
      <c r="F81" s="141"/>
      <c r="G81" s="141"/>
      <c r="H81" s="141"/>
      <c r="I81" s="142"/>
    </row>
    <row r="82" spans="1:9" ht="15.75" customHeight="1">
      <c r="A82" s="29">
        <v>22</v>
      </c>
      <c r="B82" s="81" t="s">
        <v>126</v>
      </c>
      <c r="C82" s="16" t="s">
        <v>54</v>
      </c>
      <c r="D82" s="102"/>
      <c r="E82" s="13">
        <v>1839.1</v>
      </c>
      <c r="F82" s="13">
        <f>SUM(E82*12)</f>
        <v>22069.199999999997</v>
      </c>
      <c r="G82" s="13">
        <v>2.95</v>
      </c>
      <c r="H82" s="98">
        <f>SUM(F82*G82/1000)</f>
        <v>65.104139999999987</v>
      </c>
      <c r="I82" s="13">
        <f>F82/12*G82</f>
        <v>5425.3449999999993</v>
      </c>
    </row>
    <row r="83" spans="1:9" ht="31.5" customHeight="1">
      <c r="A83" s="29">
        <v>23</v>
      </c>
      <c r="B83" s="97" t="s">
        <v>76</v>
      </c>
      <c r="C83" s="16"/>
      <c r="D83" s="102"/>
      <c r="E83" s="83">
        <v>1839.1</v>
      </c>
      <c r="F83" s="13">
        <f>E83*12</f>
        <v>22069.199999999997</v>
      </c>
      <c r="G83" s="13">
        <v>3.05</v>
      </c>
      <c r="H83" s="98">
        <f>F83*G83/1000</f>
        <v>67.311059999999983</v>
      </c>
      <c r="I83" s="13">
        <f>F83/12*G83</f>
        <v>5609.2549999999983</v>
      </c>
    </row>
    <row r="84" spans="1:9" ht="31.5" hidden="1" customHeight="1">
      <c r="A84" s="29">
        <v>22</v>
      </c>
      <c r="B84" s="97" t="s">
        <v>130</v>
      </c>
      <c r="C84" s="16" t="s">
        <v>131</v>
      </c>
      <c r="D84" s="102" t="s">
        <v>144</v>
      </c>
      <c r="E84" s="101"/>
      <c r="F84" s="13"/>
      <c r="G84" s="13"/>
      <c r="H84" s="98">
        <v>59.113</v>
      </c>
      <c r="I84" s="13">
        <v>4926.08</v>
      </c>
    </row>
    <row r="85" spans="1:9" ht="15.75" customHeight="1">
      <c r="A85" s="80"/>
      <c r="B85" s="40" t="s">
        <v>78</v>
      </c>
      <c r="C85" s="41"/>
      <c r="D85" s="15"/>
      <c r="E85" s="15"/>
      <c r="F85" s="15"/>
      <c r="G85" s="18"/>
      <c r="H85" s="18"/>
      <c r="I85" s="31">
        <f>I83+I82+I70+I69+I62+I52+I51+I50+I49+I48+I47+I46+I45+I44+I33+I31+I30+I27+I21+I20+I18+I17+I16</f>
        <v>32876.528384500001</v>
      </c>
    </row>
    <row r="86" spans="1:9" ht="15.75" customHeight="1">
      <c r="A86" s="143" t="s">
        <v>59</v>
      </c>
      <c r="B86" s="144"/>
      <c r="C86" s="144"/>
      <c r="D86" s="144"/>
      <c r="E86" s="144"/>
      <c r="F86" s="144"/>
      <c r="G86" s="144"/>
      <c r="H86" s="144"/>
      <c r="I86" s="145"/>
    </row>
    <row r="87" spans="1:9" ht="15.75" customHeight="1">
      <c r="A87" s="42">
        <v>24</v>
      </c>
      <c r="B87" s="37" t="s">
        <v>158</v>
      </c>
      <c r="C87" s="38" t="s">
        <v>159</v>
      </c>
      <c r="D87" s="52"/>
      <c r="E87" s="13"/>
      <c r="F87" s="13">
        <v>2</v>
      </c>
      <c r="G87" s="36">
        <v>1.4</v>
      </c>
      <c r="H87" s="98">
        <f t="shared" ref="H87" si="12">G87*F87/1000</f>
        <v>2.8E-3</v>
      </c>
      <c r="I87" s="104">
        <f>G87*12</f>
        <v>16.799999999999997</v>
      </c>
    </row>
    <row r="88" spans="1:9" ht="18" customHeight="1">
      <c r="A88" s="29">
        <v>25</v>
      </c>
      <c r="B88" s="119" t="s">
        <v>225</v>
      </c>
      <c r="C88" s="65" t="s">
        <v>114</v>
      </c>
      <c r="D88" s="37" t="s">
        <v>228</v>
      </c>
      <c r="E88" s="17"/>
      <c r="F88" s="36">
        <v>1</v>
      </c>
      <c r="G88" s="36">
        <v>290.39999999999998</v>
      </c>
      <c r="H88" s="98"/>
      <c r="I88" s="104">
        <v>0</v>
      </c>
    </row>
    <row r="89" spans="1:9" ht="18" customHeight="1">
      <c r="A89" s="29">
        <v>26</v>
      </c>
      <c r="B89" s="119" t="s">
        <v>226</v>
      </c>
      <c r="C89" s="65" t="s">
        <v>114</v>
      </c>
      <c r="D89" s="37" t="s">
        <v>228</v>
      </c>
      <c r="E89" s="17"/>
      <c r="F89" s="36">
        <v>1</v>
      </c>
      <c r="G89" s="36">
        <v>90</v>
      </c>
      <c r="H89" s="98"/>
      <c r="I89" s="104">
        <v>0</v>
      </c>
    </row>
    <row r="90" spans="1:9" ht="18" customHeight="1">
      <c r="A90" s="29">
        <v>27</v>
      </c>
      <c r="B90" s="119" t="s">
        <v>213</v>
      </c>
      <c r="C90" s="65" t="s">
        <v>114</v>
      </c>
      <c r="D90" s="126"/>
      <c r="E90" s="36"/>
      <c r="F90" s="36">
        <v>2</v>
      </c>
      <c r="G90" s="36">
        <v>215.85</v>
      </c>
      <c r="H90" s="98"/>
      <c r="I90" s="104">
        <f>G90*1</f>
        <v>215.85</v>
      </c>
    </row>
    <row r="91" spans="1:9" ht="15.75" customHeight="1">
      <c r="A91" s="29">
        <v>28</v>
      </c>
      <c r="B91" s="119" t="s">
        <v>227</v>
      </c>
      <c r="C91" s="65" t="s">
        <v>212</v>
      </c>
      <c r="D91" s="126" t="s">
        <v>229</v>
      </c>
      <c r="E91" s="36"/>
      <c r="F91" s="36">
        <v>1</v>
      </c>
      <c r="G91" s="36">
        <v>358.39</v>
      </c>
      <c r="H91" s="98"/>
      <c r="I91" s="104">
        <f>G91*1</f>
        <v>358.39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SUM(I87:I91)</f>
        <v>591.04</v>
      </c>
    </row>
    <row r="93" spans="1:9" ht="15.75" customHeight="1">
      <c r="A93" s="29"/>
      <c r="B93" s="52" t="s">
        <v>77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137</v>
      </c>
      <c r="C94" s="34"/>
      <c r="D94" s="34"/>
      <c r="E94" s="34"/>
      <c r="F94" s="34"/>
      <c r="G94" s="34"/>
      <c r="H94" s="34"/>
      <c r="I94" s="45">
        <f>I85+I92</f>
        <v>33467.568384500002</v>
      </c>
    </row>
    <row r="95" spans="1:9" ht="15.75">
      <c r="A95" s="146" t="s">
        <v>246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>
      <c r="A96" s="61"/>
      <c r="B96" s="130" t="s">
        <v>247</v>
      </c>
      <c r="C96" s="130"/>
      <c r="D96" s="130"/>
      <c r="E96" s="130"/>
      <c r="F96" s="130"/>
      <c r="G96" s="130"/>
      <c r="H96" s="79"/>
      <c r="I96" s="3"/>
    </row>
    <row r="97" spans="1:9">
      <c r="A97" s="70"/>
      <c r="B97" s="131" t="s">
        <v>6</v>
      </c>
      <c r="C97" s="131"/>
      <c r="D97" s="131"/>
      <c r="E97" s="131"/>
      <c r="F97" s="131"/>
      <c r="G97" s="131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5" t="s">
        <v>7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>
      <c r="A100" s="135" t="s">
        <v>8</v>
      </c>
      <c r="B100" s="135"/>
      <c r="C100" s="135"/>
      <c r="D100" s="135"/>
      <c r="E100" s="135"/>
      <c r="F100" s="135"/>
      <c r="G100" s="135"/>
      <c r="H100" s="135"/>
      <c r="I100" s="135"/>
    </row>
    <row r="101" spans="1:9" ht="15.75">
      <c r="A101" s="132" t="s">
        <v>60</v>
      </c>
      <c r="B101" s="132"/>
      <c r="C101" s="132"/>
      <c r="D101" s="132"/>
      <c r="E101" s="132"/>
      <c r="F101" s="132"/>
      <c r="G101" s="132"/>
      <c r="H101" s="132"/>
      <c r="I101" s="132"/>
    </row>
    <row r="102" spans="1:9" ht="15.75">
      <c r="A102" s="11"/>
    </row>
    <row r="103" spans="1:9" ht="15.75">
      <c r="A103" s="133" t="s">
        <v>9</v>
      </c>
      <c r="B103" s="133"/>
      <c r="C103" s="133"/>
      <c r="D103" s="133"/>
      <c r="E103" s="133"/>
      <c r="F103" s="133"/>
      <c r="G103" s="133"/>
      <c r="H103" s="133"/>
      <c r="I103" s="133"/>
    </row>
    <row r="104" spans="1:9" ht="15.75">
      <c r="A104" s="4"/>
    </row>
    <row r="105" spans="1:9" ht="15.75">
      <c r="B105" s="69" t="s">
        <v>10</v>
      </c>
      <c r="C105" s="134" t="s">
        <v>85</v>
      </c>
      <c r="D105" s="134"/>
      <c r="E105" s="134"/>
      <c r="F105" s="77"/>
      <c r="I105" s="72"/>
    </row>
    <row r="106" spans="1:9">
      <c r="A106" s="70"/>
      <c r="C106" s="131" t="s">
        <v>11</v>
      </c>
      <c r="D106" s="131"/>
      <c r="E106" s="131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69" t="s">
        <v>13</v>
      </c>
      <c r="C108" s="137"/>
      <c r="D108" s="137"/>
      <c r="E108" s="137"/>
      <c r="F108" s="78"/>
      <c r="I108" s="72"/>
    </row>
    <row r="109" spans="1:9">
      <c r="A109" s="70"/>
      <c r="C109" s="138" t="s">
        <v>11</v>
      </c>
      <c r="D109" s="138"/>
      <c r="E109" s="138"/>
      <c r="F109" s="70"/>
      <c r="I109" s="71" t="s">
        <v>12</v>
      </c>
    </row>
    <row r="110" spans="1:9" ht="15.75">
      <c r="A110" s="4" t="s">
        <v>14</v>
      </c>
    </row>
    <row r="111" spans="1:9">
      <c r="A111" s="139" t="s">
        <v>15</v>
      </c>
      <c r="B111" s="139"/>
      <c r="C111" s="139"/>
      <c r="D111" s="139"/>
      <c r="E111" s="139"/>
      <c r="F111" s="139"/>
      <c r="G111" s="139"/>
      <c r="H111" s="139"/>
      <c r="I111" s="139"/>
    </row>
    <row r="112" spans="1:9" ht="45" customHeight="1">
      <c r="A112" s="136" t="s">
        <v>16</v>
      </c>
      <c r="B112" s="136"/>
      <c r="C112" s="136"/>
      <c r="D112" s="136"/>
      <c r="E112" s="136"/>
      <c r="F112" s="136"/>
      <c r="G112" s="136"/>
      <c r="H112" s="136"/>
      <c r="I112" s="136"/>
    </row>
    <row r="113" spans="1:9" ht="30" customHeight="1">
      <c r="A113" s="136" t="s">
        <v>17</v>
      </c>
      <c r="B113" s="136"/>
      <c r="C113" s="136"/>
      <c r="D113" s="136"/>
      <c r="E113" s="136"/>
      <c r="F113" s="136"/>
      <c r="G113" s="136"/>
      <c r="H113" s="136"/>
      <c r="I113" s="136"/>
    </row>
    <row r="114" spans="1:9" ht="30" customHeight="1">
      <c r="A114" s="136" t="s">
        <v>21</v>
      </c>
      <c r="B114" s="136"/>
      <c r="C114" s="136"/>
      <c r="D114" s="136"/>
      <c r="E114" s="136"/>
      <c r="F114" s="136"/>
      <c r="G114" s="136"/>
      <c r="H114" s="136"/>
      <c r="I114" s="136"/>
    </row>
    <row r="115" spans="1:9" ht="15.75">
      <c r="A115" s="136" t="s">
        <v>20</v>
      </c>
      <c r="B115" s="136"/>
      <c r="C115" s="136"/>
      <c r="D115" s="136"/>
      <c r="E115" s="136"/>
      <c r="F115" s="136"/>
      <c r="G115" s="136"/>
      <c r="H115" s="136"/>
      <c r="I115" s="136"/>
    </row>
  </sheetData>
  <autoFilter ref="I12:I63"/>
  <mergeCells count="29">
    <mergeCell ref="A111:I111"/>
    <mergeCell ref="A112:I112"/>
    <mergeCell ref="A113:I113"/>
    <mergeCell ref="A114:I114"/>
    <mergeCell ref="A115:I115"/>
    <mergeCell ref="R68:U68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9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2021-02-11T10:48:38Z</cp:lastPrinted>
  <dcterms:created xsi:type="dcterms:W3CDTF">2016-03-25T08:33:47Z</dcterms:created>
  <dcterms:modified xsi:type="dcterms:W3CDTF">2021-02-11T10:48:54Z</dcterms:modified>
</cp:coreProperties>
</file>