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7" sheetId="27" r:id="rId1"/>
    <sheet name="02.17" sheetId="28" r:id="rId2"/>
    <sheet name="03.17" sheetId="29" r:id="rId3"/>
    <sheet name="04.17" sheetId="30" r:id="rId4"/>
    <sheet name="05.17" sheetId="31" r:id="rId5"/>
    <sheet name="06.17" sheetId="32" r:id="rId6"/>
    <sheet name="07.17" sheetId="33" r:id="rId7"/>
    <sheet name="08.17" sheetId="34" r:id="rId8"/>
    <sheet name="09.17" sheetId="25" r:id="rId9"/>
    <sheet name="10.17" sheetId="26" r:id="rId10"/>
    <sheet name="11.17" sheetId="35" r:id="rId11"/>
    <sheet name="12.17" sheetId="36" r:id="rId12"/>
  </sheets>
  <definedNames>
    <definedName name="_xlnm._FilterDatabase" localSheetId="0" hidden="1">'01.17'!$I$12:$I$56</definedName>
    <definedName name="_xlnm._FilterDatabase" localSheetId="1" hidden="1">'02.17'!$I$12:$I$56</definedName>
    <definedName name="_xlnm._FilterDatabase" localSheetId="2" hidden="1">'03.17'!$I$12:$I$56</definedName>
    <definedName name="_xlnm._FilterDatabase" localSheetId="3" hidden="1">'04.17'!$I$12:$I$56</definedName>
    <definedName name="_xlnm._FilterDatabase" localSheetId="4" hidden="1">'05.17'!$I$12:$I$56</definedName>
    <definedName name="_xlnm._FilterDatabase" localSheetId="5" hidden="1">'06.17'!$I$12:$I$56</definedName>
    <definedName name="_xlnm._FilterDatabase" localSheetId="6" hidden="1">'07.17'!$I$12:$I$56</definedName>
    <definedName name="_xlnm._FilterDatabase" localSheetId="7" hidden="1">'08.17'!$I$12:$I$56</definedName>
    <definedName name="_xlnm._FilterDatabase" localSheetId="8" hidden="1">'09.17'!$I$12:$I$56</definedName>
    <definedName name="_xlnm._FilterDatabase" localSheetId="9" hidden="1">'10.17'!$I$12:$I$56</definedName>
    <definedName name="_xlnm._FilterDatabase" localSheetId="10" hidden="1">'11.17'!$I$12:$I$56</definedName>
    <definedName name="_xlnm._FilterDatabase" localSheetId="11" hidden="1">'12.17'!$I$12:$I$56</definedName>
    <definedName name="_xlnm.Print_Area" localSheetId="0">'01.17'!$A$1:$I$112</definedName>
    <definedName name="_xlnm.Print_Area" localSheetId="1">'02.17'!$A$1:$I$114</definedName>
    <definedName name="_xlnm.Print_Area" localSheetId="2">'03.17'!$A$1:$I$115</definedName>
    <definedName name="_xlnm.Print_Area" localSheetId="3">'04.17'!$A$1:$I$115</definedName>
    <definedName name="_xlnm.Print_Area" localSheetId="4">'05.17'!$A$1:$I$114</definedName>
    <definedName name="_xlnm.Print_Area" localSheetId="5">'06.17'!$A$1:$I$114</definedName>
    <definedName name="_xlnm.Print_Area" localSheetId="6">'07.17'!$A$1:$I$113</definedName>
    <definedName name="_xlnm.Print_Area" localSheetId="7">'08.17'!$A$1:$I$111</definedName>
    <definedName name="_xlnm.Print_Area" localSheetId="8">'09.17'!$A$1:$I$112</definedName>
    <definedName name="_xlnm.Print_Area" localSheetId="9">'10.17'!$A$1:$I$117</definedName>
    <definedName name="_xlnm.Print_Area" localSheetId="10">'11.17'!$A$1:$I$113</definedName>
    <definedName name="_xlnm.Print_Area" localSheetId="11">'12.17'!$A$1:$I$113</definedName>
  </definedNames>
  <calcPr calcId="124519"/>
</workbook>
</file>

<file path=xl/calcChain.xml><?xml version="1.0" encoding="utf-8"?>
<calcChain xmlns="http://schemas.openxmlformats.org/spreadsheetml/2006/main">
  <c r="I90" i="36"/>
  <c r="I89"/>
  <c r="F89"/>
  <c r="H89" s="1"/>
  <c r="I85"/>
  <c r="I85" i="35"/>
  <c r="I91" i="32"/>
  <c r="I90"/>
  <c r="F90"/>
  <c r="H90" s="1"/>
  <c r="F42" i="30"/>
  <c r="H42" s="1"/>
  <c r="I42" i="29"/>
  <c r="F42"/>
  <c r="H42" s="1"/>
  <c r="I85" i="28"/>
  <c r="I42" i="30" l="1"/>
  <c r="I85" i="27" l="1"/>
  <c r="I88" i="36"/>
  <c r="H88"/>
  <c r="I87"/>
  <c r="H87"/>
  <c r="E84"/>
  <c r="F84" s="1"/>
  <c r="I84" s="1"/>
  <c r="F83"/>
  <c r="I83" s="1"/>
  <c r="I81"/>
  <c r="H81"/>
  <c r="H79"/>
  <c r="I78"/>
  <c r="I77"/>
  <c r="H77"/>
  <c r="F77"/>
  <c r="H76"/>
  <c r="I75"/>
  <c r="H75"/>
  <c r="H74"/>
  <c r="H73"/>
  <c r="F73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H63"/>
  <c r="F63"/>
  <c r="F61"/>
  <c r="H61" s="1"/>
  <c r="F60"/>
  <c r="H60" s="1"/>
  <c r="I58"/>
  <c r="H58"/>
  <c r="H57"/>
  <c r="H80" s="1"/>
  <c r="F57"/>
  <c r="I57" s="1"/>
  <c r="I54"/>
  <c r="H54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9" i="35"/>
  <c r="I88"/>
  <c r="H88"/>
  <c r="F89"/>
  <c r="H89" s="1"/>
  <c r="I87"/>
  <c r="I90" s="1"/>
  <c r="H87"/>
  <c r="E84"/>
  <c r="F84" s="1"/>
  <c r="F83"/>
  <c r="H83" s="1"/>
  <c r="I81"/>
  <c r="H81"/>
  <c r="H79"/>
  <c r="I78"/>
  <c r="I77"/>
  <c r="F77"/>
  <c r="H77" s="1"/>
  <c r="H76"/>
  <c r="I75"/>
  <c r="H75"/>
  <c r="H74"/>
  <c r="F73"/>
  <c r="H73" s="1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H61" s="1"/>
  <c r="F60"/>
  <c r="H60" s="1"/>
  <c r="I58"/>
  <c r="H58"/>
  <c r="F57"/>
  <c r="H57" s="1"/>
  <c r="I54"/>
  <c r="H54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H27"/>
  <c r="F27"/>
  <c r="I27" s="1"/>
  <c r="H26"/>
  <c r="F26"/>
  <c r="H25"/>
  <c r="F25"/>
  <c r="H24"/>
  <c r="F24"/>
  <c r="H23"/>
  <c r="F23"/>
  <c r="H22"/>
  <c r="F22"/>
  <c r="F21"/>
  <c r="H21" s="1"/>
  <c r="F20"/>
  <c r="I20" s="1"/>
  <c r="F19"/>
  <c r="H19" s="1"/>
  <c r="E18"/>
  <c r="F18" s="1"/>
  <c r="H18" s="1"/>
  <c r="F17"/>
  <c r="H17" s="1"/>
  <c r="F16"/>
  <c r="I16" s="1"/>
  <c r="I92" i="26"/>
  <c r="I93"/>
  <c r="I91"/>
  <c r="H93"/>
  <c r="F92"/>
  <c r="H92" s="1"/>
  <c r="H91"/>
  <c r="I90"/>
  <c r="F90"/>
  <c r="H90" s="1"/>
  <c r="I89"/>
  <c r="H89"/>
  <c r="I88"/>
  <c r="H88"/>
  <c r="I85"/>
  <c r="I75"/>
  <c r="I58"/>
  <c r="I88" i="25"/>
  <c r="H88"/>
  <c r="I85"/>
  <c r="I63"/>
  <c r="F54"/>
  <c r="I63" i="34"/>
  <c r="I87"/>
  <c r="I88" s="1"/>
  <c r="H87"/>
  <c r="E84"/>
  <c r="F84" s="1"/>
  <c r="F83"/>
  <c r="I83" s="1"/>
  <c r="H81"/>
  <c r="H79"/>
  <c r="I78"/>
  <c r="I77"/>
  <c r="H77"/>
  <c r="F77"/>
  <c r="H76"/>
  <c r="I75"/>
  <c r="H75"/>
  <c r="H74"/>
  <c r="H73"/>
  <c r="F73"/>
  <c r="F71"/>
  <c r="H71" s="1"/>
  <c r="I70"/>
  <c r="H70"/>
  <c r="F69"/>
  <c r="I69" s="1"/>
  <c r="F68"/>
  <c r="H68" s="1"/>
  <c r="H67"/>
  <c r="F67"/>
  <c r="I67" s="1"/>
  <c r="F66"/>
  <c r="H66" s="1"/>
  <c r="F65"/>
  <c r="I65" s="1"/>
  <c r="F64"/>
  <c r="H64" s="1"/>
  <c r="F63"/>
  <c r="H63" s="1"/>
  <c r="H61"/>
  <c r="F61"/>
  <c r="I61" s="1"/>
  <c r="H60"/>
  <c r="F60"/>
  <c r="H58"/>
  <c r="F57"/>
  <c r="I57" s="1"/>
  <c r="F54"/>
  <c r="H54" s="1"/>
  <c r="I53"/>
  <c r="H53"/>
  <c r="H52"/>
  <c r="F52"/>
  <c r="I52" s="1"/>
  <c r="F51"/>
  <c r="H51" s="1"/>
  <c r="F50"/>
  <c r="I50" s="1"/>
  <c r="F49"/>
  <c r="H49" s="1"/>
  <c r="H48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9" i="33"/>
  <c r="F89"/>
  <c r="H89" s="1"/>
  <c r="I88"/>
  <c r="H88"/>
  <c r="I85"/>
  <c r="I63"/>
  <c r="H41" i="36" l="1"/>
  <c r="H49"/>
  <c r="H51"/>
  <c r="I18"/>
  <c r="H18"/>
  <c r="I16"/>
  <c r="H17"/>
  <c r="I20"/>
  <c r="H21"/>
  <c r="I27"/>
  <c r="H28"/>
  <c r="I31"/>
  <c r="H32"/>
  <c r="I33"/>
  <c r="I34"/>
  <c r="H39"/>
  <c r="I40"/>
  <c r="I42"/>
  <c r="H45"/>
  <c r="I46"/>
  <c r="H47"/>
  <c r="I48"/>
  <c r="I50"/>
  <c r="I52"/>
  <c r="I61"/>
  <c r="I71"/>
  <c r="H83"/>
  <c r="H84"/>
  <c r="H85" s="1"/>
  <c r="H16" i="35"/>
  <c r="H42"/>
  <c r="H20"/>
  <c r="H34"/>
  <c r="I57"/>
  <c r="H80"/>
  <c r="H33"/>
  <c r="H31"/>
  <c r="H48"/>
  <c r="H52"/>
  <c r="H40"/>
  <c r="H46"/>
  <c r="H50"/>
  <c r="H84"/>
  <c r="H85" s="1"/>
  <c r="I84"/>
  <c r="I17"/>
  <c r="I18"/>
  <c r="I21"/>
  <c r="I28"/>
  <c r="I32"/>
  <c r="I39"/>
  <c r="I41"/>
  <c r="I45"/>
  <c r="I47"/>
  <c r="I49"/>
  <c r="I51"/>
  <c r="I61"/>
  <c r="I71"/>
  <c r="I83"/>
  <c r="H19" i="34"/>
  <c r="H23"/>
  <c r="H27"/>
  <c r="H33"/>
  <c r="H40"/>
  <c r="H46"/>
  <c r="H50"/>
  <c r="H57"/>
  <c r="H65"/>
  <c r="H69"/>
  <c r="H16"/>
  <c r="H21"/>
  <c r="H25"/>
  <c r="H31"/>
  <c r="H42"/>
  <c r="I84"/>
  <c r="H84"/>
  <c r="H85" s="1"/>
  <c r="I17"/>
  <c r="I18"/>
  <c r="I20"/>
  <c r="I22"/>
  <c r="I24"/>
  <c r="I26"/>
  <c r="I28"/>
  <c r="I32"/>
  <c r="I39"/>
  <c r="I41"/>
  <c r="I45"/>
  <c r="I47"/>
  <c r="I49"/>
  <c r="I51"/>
  <c r="I54"/>
  <c r="I66"/>
  <c r="I68"/>
  <c r="I71"/>
  <c r="H83"/>
  <c r="I92" i="36" l="1"/>
  <c r="I92" i="35"/>
  <c r="I85" i="34"/>
  <c r="I90" s="1"/>
  <c r="H80"/>
  <c r="I87" i="33" l="1"/>
  <c r="H87"/>
  <c r="E84"/>
  <c r="F84" s="1"/>
  <c r="F83"/>
  <c r="I83" s="1"/>
  <c r="H81"/>
  <c r="H79"/>
  <c r="I78"/>
  <c r="I77"/>
  <c r="H77"/>
  <c r="F77"/>
  <c r="H76"/>
  <c r="I75"/>
  <c r="H75"/>
  <c r="H74"/>
  <c r="H73"/>
  <c r="F73"/>
  <c r="F71"/>
  <c r="I71" s="1"/>
  <c r="I70"/>
  <c r="H70"/>
  <c r="F69"/>
  <c r="I69" s="1"/>
  <c r="F68"/>
  <c r="I68" s="1"/>
  <c r="F67"/>
  <c r="I67" s="1"/>
  <c r="F66"/>
  <c r="I66" s="1"/>
  <c r="F65"/>
  <c r="I65" s="1"/>
  <c r="F64"/>
  <c r="H64" s="1"/>
  <c r="F63"/>
  <c r="H63" s="1"/>
  <c r="H61"/>
  <c r="F61"/>
  <c r="I61" s="1"/>
  <c r="H60"/>
  <c r="F60"/>
  <c r="H58"/>
  <c r="H57"/>
  <c r="F57"/>
  <c r="I57" s="1"/>
  <c r="F54"/>
  <c r="I54" s="1"/>
  <c r="I53"/>
  <c r="H53"/>
  <c r="H52"/>
  <c r="F52"/>
  <c r="I52" s="1"/>
  <c r="F51"/>
  <c r="I51" s="1"/>
  <c r="H50"/>
  <c r="F50"/>
  <c r="I50" s="1"/>
  <c r="F49"/>
  <c r="I49" s="1"/>
  <c r="H48"/>
  <c r="F48"/>
  <c r="I48" s="1"/>
  <c r="F47"/>
  <c r="I47" s="1"/>
  <c r="H46"/>
  <c r="F46"/>
  <c r="I46" s="1"/>
  <c r="F45"/>
  <c r="I45" s="1"/>
  <c r="I43"/>
  <c r="H43"/>
  <c r="H42"/>
  <c r="F42"/>
  <c r="I42" s="1"/>
  <c r="F41"/>
  <c r="I41" s="1"/>
  <c r="H40"/>
  <c r="F40"/>
  <c r="I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8" i="32"/>
  <c r="I89"/>
  <c r="H89"/>
  <c r="F89"/>
  <c r="H88"/>
  <c r="I75"/>
  <c r="I87"/>
  <c r="H87"/>
  <c r="E84"/>
  <c r="F84" s="1"/>
  <c r="F83"/>
  <c r="H83" s="1"/>
  <c r="H81"/>
  <c r="H79"/>
  <c r="I78"/>
  <c r="I77"/>
  <c r="F77"/>
  <c r="H77" s="1"/>
  <c r="H76"/>
  <c r="H75"/>
  <c r="H74"/>
  <c r="F73"/>
  <c r="H73" s="1"/>
  <c r="F71"/>
  <c r="I71" s="1"/>
  <c r="I70"/>
  <c r="H70"/>
  <c r="F69"/>
  <c r="H69" s="1"/>
  <c r="F68"/>
  <c r="I68" s="1"/>
  <c r="F67"/>
  <c r="H67" s="1"/>
  <c r="H66"/>
  <c r="F66"/>
  <c r="I66" s="1"/>
  <c r="F65"/>
  <c r="H65" s="1"/>
  <c r="F64"/>
  <c r="H64" s="1"/>
  <c r="I63"/>
  <c r="F63"/>
  <c r="H63" s="1"/>
  <c r="F61"/>
  <c r="H61" s="1"/>
  <c r="F60"/>
  <c r="H60" s="1"/>
  <c r="H58"/>
  <c r="F57"/>
  <c r="H57" s="1"/>
  <c r="F54"/>
  <c r="I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0" i="31"/>
  <c r="I89"/>
  <c r="H90"/>
  <c r="H89"/>
  <c r="H88"/>
  <c r="I65"/>
  <c r="I24"/>
  <c r="I26"/>
  <c r="I88"/>
  <c r="I87"/>
  <c r="I91" s="1"/>
  <c r="H87"/>
  <c r="E84"/>
  <c r="F84" s="1"/>
  <c r="F83"/>
  <c r="I83" s="1"/>
  <c r="H81"/>
  <c r="H79"/>
  <c r="I78"/>
  <c r="I77"/>
  <c r="H77"/>
  <c r="F77"/>
  <c r="H76"/>
  <c r="H75"/>
  <c r="H74"/>
  <c r="F73"/>
  <c r="H73" s="1"/>
  <c r="F71"/>
  <c r="I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60" s="1"/>
  <c r="H58"/>
  <c r="F57"/>
  <c r="I57" s="1"/>
  <c r="F54"/>
  <c r="I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i="30"/>
  <c r="I90"/>
  <c r="H91"/>
  <c r="H90"/>
  <c r="I89"/>
  <c r="H88"/>
  <c r="I85"/>
  <c r="H89"/>
  <c r="F89"/>
  <c r="I88"/>
  <c r="I87"/>
  <c r="I92" s="1"/>
  <c r="H87"/>
  <c r="F84"/>
  <c r="I84" s="1"/>
  <c r="E84"/>
  <c r="F83"/>
  <c r="I83" s="1"/>
  <c r="H81"/>
  <c r="H79"/>
  <c r="I78"/>
  <c r="I77"/>
  <c r="H77"/>
  <c r="F77"/>
  <c r="H76"/>
  <c r="H75"/>
  <c r="H74"/>
  <c r="F73"/>
  <c r="H73" s="1"/>
  <c r="H71"/>
  <c r="F71"/>
  <c r="I71" s="1"/>
  <c r="I70"/>
  <c r="H70"/>
  <c r="H69"/>
  <c r="F69"/>
  <c r="H68"/>
  <c r="F68"/>
  <c r="H67"/>
  <c r="F67"/>
  <c r="H66"/>
  <c r="F66"/>
  <c r="H65"/>
  <c r="F65"/>
  <c r="H64"/>
  <c r="F64"/>
  <c r="I63"/>
  <c r="F63"/>
  <c r="H63" s="1"/>
  <c r="H61"/>
  <c r="F61"/>
  <c r="I61" s="1"/>
  <c r="H60"/>
  <c r="F60"/>
  <c r="H58"/>
  <c r="H57"/>
  <c r="H80" s="1"/>
  <c r="F57"/>
  <c r="I57" s="1"/>
  <c r="F54"/>
  <c r="I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F45"/>
  <c r="I45" s="1"/>
  <c r="I43"/>
  <c r="H43"/>
  <c r="F41"/>
  <c r="I41" s="1"/>
  <c r="H40"/>
  <c r="F40"/>
  <c r="I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H25"/>
  <c r="F25"/>
  <c r="H24"/>
  <c r="F24"/>
  <c r="H23"/>
  <c r="F23"/>
  <c r="H22"/>
  <c r="F22"/>
  <c r="F21"/>
  <c r="I21" s="1"/>
  <c r="F20"/>
  <c r="H20" s="1"/>
  <c r="F19"/>
  <c r="H19" s="1"/>
  <c r="E18"/>
  <c r="F18" s="1"/>
  <c r="F17"/>
  <c r="I17" s="1"/>
  <c r="F16"/>
  <c r="H16" s="1"/>
  <c r="I92" i="29"/>
  <c r="I91"/>
  <c r="I90"/>
  <c r="I89"/>
  <c r="H91"/>
  <c r="F90"/>
  <c r="H90" s="1"/>
  <c r="H89"/>
  <c r="I88"/>
  <c r="H88"/>
  <c r="I87"/>
  <c r="H87"/>
  <c r="F84"/>
  <c r="H84" s="1"/>
  <c r="H85" s="1"/>
  <c r="E84"/>
  <c r="F83"/>
  <c r="H83" s="1"/>
  <c r="H81"/>
  <c r="H79"/>
  <c r="I78"/>
  <c r="I77"/>
  <c r="H77"/>
  <c r="F77"/>
  <c r="H76"/>
  <c r="H75"/>
  <c r="H74"/>
  <c r="F73"/>
  <c r="H73" s="1"/>
  <c r="H71"/>
  <c r="F71"/>
  <c r="I71" s="1"/>
  <c r="I70"/>
  <c r="H70"/>
  <c r="H69"/>
  <c r="F69"/>
  <c r="H68"/>
  <c r="F68"/>
  <c r="H67"/>
  <c r="F67"/>
  <c r="H66"/>
  <c r="F66"/>
  <c r="H65"/>
  <c r="F65"/>
  <c r="H64"/>
  <c r="F64"/>
  <c r="I63"/>
  <c r="F63"/>
  <c r="H63" s="1"/>
  <c r="H61"/>
  <c r="F61"/>
  <c r="I61" s="1"/>
  <c r="H60"/>
  <c r="F60"/>
  <c r="H58"/>
  <c r="H57"/>
  <c r="H80" s="1"/>
  <c r="F57"/>
  <c r="I57" s="1"/>
  <c r="F54"/>
  <c r="H54" s="1"/>
  <c r="I53"/>
  <c r="H53"/>
  <c r="H52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I85"/>
  <c r="F41"/>
  <c r="H41" s="1"/>
  <c r="F40"/>
  <c r="I40" s="1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91" i="28"/>
  <c r="I90"/>
  <c r="I89"/>
  <c r="I88"/>
  <c r="H90"/>
  <c r="H89"/>
  <c r="H88"/>
  <c r="I87"/>
  <c r="H87"/>
  <c r="F84"/>
  <c r="I84" s="1"/>
  <c r="E84"/>
  <c r="F83"/>
  <c r="I83" s="1"/>
  <c r="H81"/>
  <c r="H79"/>
  <c r="I78"/>
  <c r="I77"/>
  <c r="H77"/>
  <c r="F77"/>
  <c r="H76"/>
  <c r="H75"/>
  <c r="H74"/>
  <c r="F73"/>
  <c r="H73" s="1"/>
  <c r="H71"/>
  <c r="F71"/>
  <c r="I71" s="1"/>
  <c r="I70"/>
  <c r="H70"/>
  <c r="F69"/>
  <c r="H69" s="1"/>
  <c r="H68"/>
  <c r="F68"/>
  <c r="H67"/>
  <c r="F67"/>
  <c r="H66"/>
  <c r="F66"/>
  <c r="H65"/>
  <c r="F65"/>
  <c r="H64"/>
  <c r="F64"/>
  <c r="I63"/>
  <c r="F63"/>
  <c r="H63" s="1"/>
  <c r="H61"/>
  <c r="F61"/>
  <c r="I61" s="1"/>
  <c r="H60"/>
  <c r="F60"/>
  <c r="H58"/>
  <c r="H57"/>
  <c r="H80" s="1"/>
  <c r="F57"/>
  <c r="I57" s="1"/>
  <c r="F54"/>
  <c r="I54" s="1"/>
  <c r="I53"/>
  <c r="H53"/>
  <c r="H52"/>
  <c r="F52"/>
  <c r="I52" s="1"/>
  <c r="F51"/>
  <c r="I51" s="1"/>
  <c r="F50"/>
  <c r="H50" s="1"/>
  <c r="H49"/>
  <c r="F49"/>
  <c r="I49" s="1"/>
  <c r="F48"/>
  <c r="H48" s="1"/>
  <c r="H47"/>
  <c r="F47"/>
  <c r="I47" s="1"/>
  <c r="F46"/>
  <c r="H46" s="1"/>
  <c r="F45"/>
  <c r="I45" s="1"/>
  <c r="I43"/>
  <c r="H43"/>
  <c r="F42"/>
  <c r="I42" s="1"/>
  <c r="F41"/>
  <c r="I41" s="1"/>
  <c r="H40"/>
  <c r="F40"/>
  <c r="I40" s="1"/>
  <c r="F39"/>
  <c r="I39" s="1"/>
  <c r="I38"/>
  <c r="H38"/>
  <c r="H36"/>
  <c r="H35"/>
  <c r="H34"/>
  <c r="F34"/>
  <c r="I34" s="1"/>
  <c r="E34"/>
  <c r="H33"/>
  <c r="F33"/>
  <c r="I33" s="1"/>
  <c r="H32"/>
  <c r="F32"/>
  <c r="I32" s="1"/>
  <c r="F31"/>
  <c r="H31" s="1"/>
  <c r="H28"/>
  <c r="F28"/>
  <c r="I28" s="1"/>
  <c r="F27"/>
  <c r="H27" s="1"/>
  <c r="F26"/>
  <c r="H26" s="1"/>
  <c r="F25"/>
  <c r="H25" s="1"/>
  <c r="F24"/>
  <c r="H24" s="1"/>
  <c r="H23"/>
  <c r="F23"/>
  <c r="H22"/>
  <c r="F22"/>
  <c r="F21"/>
  <c r="I21" s="1"/>
  <c r="H20"/>
  <c r="F20"/>
  <c r="I20" s="1"/>
  <c r="H19"/>
  <c r="F19"/>
  <c r="F18"/>
  <c r="I18" s="1"/>
  <c r="E18"/>
  <c r="F17"/>
  <c r="I17" s="1"/>
  <c r="H16"/>
  <c r="F16"/>
  <c r="I16" s="1"/>
  <c r="I87" i="27"/>
  <c r="H87"/>
  <c r="I63"/>
  <c r="F61"/>
  <c r="H61" s="1"/>
  <c r="F60"/>
  <c r="H60" s="1"/>
  <c r="H58"/>
  <c r="H57"/>
  <c r="F57"/>
  <c r="I57" s="1"/>
  <c r="F54"/>
  <c r="H42" i="28" l="1"/>
  <c r="I90" i="33"/>
  <c r="H65"/>
  <c r="H69"/>
  <c r="H67"/>
  <c r="I84"/>
  <c r="H84"/>
  <c r="H85" s="1"/>
  <c r="I18"/>
  <c r="H18"/>
  <c r="I16"/>
  <c r="H17"/>
  <c r="I19"/>
  <c r="H20"/>
  <c r="I21"/>
  <c r="H22"/>
  <c r="I23"/>
  <c r="H24"/>
  <c r="I25"/>
  <c r="H26"/>
  <c r="I27"/>
  <c r="H28"/>
  <c r="I31"/>
  <c r="H32"/>
  <c r="I33"/>
  <c r="H39"/>
  <c r="H41"/>
  <c r="H45"/>
  <c r="H47"/>
  <c r="H49"/>
  <c r="H51"/>
  <c r="H54"/>
  <c r="H66"/>
  <c r="H68"/>
  <c r="H71"/>
  <c r="H83"/>
  <c r="H39" i="32"/>
  <c r="H54"/>
  <c r="H71"/>
  <c r="H41"/>
  <c r="H80"/>
  <c r="H68"/>
  <c r="H47"/>
  <c r="H51"/>
  <c r="H45"/>
  <c r="H49"/>
  <c r="I18"/>
  <c r="H18"/>
  <c r="H84"/>
  <c r="H85" s="1"/>
  <c r="I84"/>
  <c r="I16"/>
  <c r="H17"/>
  <c r="I19"/>
  <c r="H20"/>
  <c r="I21"/>
  <c r="H22"/>
  <c r="I23"/>
  <c r="H24"/>
  <c r="I25"/>
  <c r="H26"/>
  <c r="I27"/>
  <c r="H28"/>
  <c r="I31"/>
  <c r="H32"/>
  <c r="I33"/>
  <c r="I34"/>
  <c r="I40"/>
  <c r="I42"/>
  <c r="I46"/>
  <c r="I48"/>
  <c r="I50"/>
  <c r="I52"/>
  <c r="I57"/>
  <c r="I61"/>
  <c r="I65"/>
  <c r="I67"/>
  <c r="I69"/>
  <c r="I83"/>
  <c r="I19" i="31"/>
  <c r="I68"/>
  <c r="I66"/>
  <c r="H61"/>
  <c r="I22"/>
  <c r="I25"/>
  <c r="I23"/>
  <c r="I69"/>
  <c r="I67"/>
  <c r="H71"/>
  <c r="H57"/>
  <c r="H80" s="1"/>
  <c r="I84"/>
  <c r="H84"/>
  <c r="H85" s="1"/>
  <c r="I18"/>
  <c r="H18"/>
  <c r="I16"/>
  <c r="H17"/>
  <c r="I20"/>
  <c r="H21"/>
  <c r="I27"/>
  <c r="H28"/>
  <c r="I31"/>
  <c r="H32"/>
  <c r="I33"/>
  <c r="I34"/>
  <c r="H39"/>
  <c r="I40"/>
  <c r="H41"/>
  <c r="I42"/>
  <c r="H45"/>
  <c r="I46"/>
  <c r="H47"/>
  <c r="I48"/>
  <c r="H49"/>
  <c r="I50"/>
  <c r="H51"/>
  <c r="I52"/>
  <c r="H54"/>
  <c r="H83"/>
  <c r="H50" i="30"/>
  <c r="H46"/>
  <c r="H48"/>
  <c r="H52"/>
  <c r="I18"/>
  <c r="H18"/>
  <c r="I16"/>
  <c r="H17"/>
  <c r="I20"/>
  <c r="H21"/>
  <c r="I27"/>
  <c r="H28"/>
  <c r="I31"/>
  <c r="H32"/>
  <c r="I33"/>
  <c r="I34"/>
  <c r="H39"/>
  <c r="H41"/>
  <c r="H45"/>
  <c r="H47"/>
  <c r="H49"/>
  <c r="H51"/>
  <c r="H54"/>
  <c r="H83"/>
  <c r="H84"/>
  <c r="H85" s="1"/>
  <c r="H50" i="29"/>
  <c r="H48"/>
  <c r="H18"/>
  <c r="I18"/>
  <c r="H16"/>
  <c r="I17"/>
  <c r="I94" s="1"/>
  <c r="H20"/>
  <c r="I21"/>
  <c r="H27"/>
  <c r="I28"/>
  <c r="H31"/>
  <c r="I32"/>
  <c r="H33"/>
  <c r="H34"/>
  <c r="I39"/>
  <c r="H40"/>
  <c r="I41"/>
  <c r="I45"/>
  <c r="H46"/>
  <c r="I47"/>
  <c r="I49"/>
  <c r="I51"/>
  <c r="I54"/>
  <c r="I83"/>
  <c r="I84"/>
  <c r="H17" i="28"/>
  <c r="H18"/>
  <c r="H21"/>
  <c r="I27"/>
  <c r="I93" s="1"/>
  <c r="I31"/>
  <c r="H39"/>
  <c r="H41"/>
  <c r="H45"/>
  <c r="I46"/>
  <c r="I48"/>
  <c r="I50"/>
  <c r="H51"/>
  <c r="H54"/>
  <c r="H83"/>
  <c r="H84"/>
  <c r="H85" s="1"/>
  <c r="I61" i="27"/>
  <c r="H88"/>
  <c r="I89"/>
  <c r="E84"/>
  <c r="F84" s="1"/>
  <c r="F83"/>
  <c r="I83" s="1"/>
  <c r="H81"/>
  <c r="H79"/>
  <c r="I78"/>
  <c r="I77"/>
  <c r="F77"/>
  <c r="H77" s="1"/>
  <c r="H76"/>
  <c r="H75"/>
  <c r="H74"/>
  <c r="F73"/>
  <c r="H73" s="1"/>
  <c r="F71"/>
  <c r="I71" s="1"/>
  <c r="I70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54"/>
  <c r="H54"/>
  <c r="I53"/>
  <c r="H53"/>
  <c r="F52"/>
  <c r="I52" s="1"/>
  <c r="F51"/>
  <c r="H51" s="1"/>
  <c r="H50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28"/>
  <c r="H28" s="1"/>
  <c r="H27"/>
  <c r="F27"/>
  <c r="I27" s="1"/>
  <c r="H26"/>
  <c r="F26"/>
  <c r="H25"/>
  <c r="F25"/>
  <c r="H24"/>
  <c r="F24"/>
  <c r="H23"/>
  <c r="F23"/>
  <c r="H22"/>
  <c r="F22"/>
  <c r="F21"/>
  <c r="H21" s="1"/>
  <c r="F20"/>
  <c r="I20" s="1"/>
  <c r="H19"/>
  <c r="F19"/>
  <c r="F18"/>
  <c r="H18" s="1"/>
  <c r="E18"/>
  <c r="F17"/>
  <c r="H17" s="1"/>
  <c r="H16"/>
  <c r="F16"/>
  <c r="I16" s="1"/>
  <c r="H80" i="33" l="1"/>
  <c r="I92"/>
  <c r="I85" i="32"/>
  <c r="I93" s="1"/>
  <c r="I85" i="31"/>
  <c r="I93" s="1"/>
  <c r="I94" i="30"/>
  <c r="H46" i="27"/>
  <c r="H31"/>
  <c r="H33"/>
  <c r="H42"/>
  <c r="H48"/>
  <c r="H52"/>
  <c r="H80"/>
  <c r="H71"/>
  <c r="H20"/>
  <c r="I84"/>
  <c r="H84"/>
  <c r="H85" s="1"/>
  <c r="I17"/>
  <c r="I18"/>
  <c r="I21"/>
  <c r="I28"/>
  <c r="I32"/>
  <c r="I39"/>
  <c r="I41"/>
  <c r="I45"/>
  <c r="I47"/>
  <c r="I49"/>
  <c r="I51"/>
  <c r="H83"/>
  <c r="I91" l="1"/>
  <c r="I81" i="26" l="1"/>
  <c r="I63"/>
  <c r="I87"/>
  <c r="I94" s="1"/>
  <c r="H87"/>
  <c r="E84"/>
  <c r="F84" s="1"/>
  <c r="H83"/>
  <c r="F83"/>
  <c r="I83" s="1"/>
  <c r="H81"/>
  <c r="H79"/>
  <c r="I78"/>
  <c r="I77"/>
  <c r="F77"/>
  <c r="H77" s="1"/>
  <c r="H76"/>
  <c r="H75"/>
  <c r="H74"/>
  <c r="F73"/>
  <c r="H73" s="1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H63"/>
  <c r="F63"/>
  <c r="F61"/>
  <c r="H61" s="1"/>
  <c r="F60"/>
  <c r="H60" s="1"/>
  <c r="H58"/>
  <c r="F57"/>
  <c r="H57" s="1"/>
  <c r="I54"/>
  <c r="H54"/>
  <c r="I53"/>
  <c r="H53"/>
  <c r="F52"/>
  <c r="H52" s="1"/>
  <c r="H5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H80" l="1"/>
  <c r="H47"/>
  <c r="H49"/>
  <c r="I18"/>
  <c r="H18"/>
  <c r="I84"/>
  <c r="H84"/>
  <c r="H85" s="1"/>
  <c r="I20"/>
  <c r="H21"/>
  <c r="I27"/>
  <c r="H28"/>
  <c r="I31"/>
  <c r="H32"/>
  <c r="I33"/>
  <c r="I34"/>
  <c r="H39"/>
  <c r="I40"/>
  <c r="H41"/>
  <c r="I42"/>
  <c r="H45"/>
  <c r="I46"/>
  <c r="I48"/>
  <c r="I50"/>
  <c r="I52"/>
  <c r="I61"/>
  <c r="I71"/>
  <c r="I16"/>
  <c r="I96" s="1"/>
  <c r="I71" i="25"/>
  <c r="I70"/>
  <c r="I61"/>
  <c r="I77"/>
  <c r="I87"/>
  <c r="I89" s="1"/>
  <c r="I54" l="1"/>
  <c r="I53"/>
  <c r="I43"/>
  <c r="H87"/>
  <c r="E84"/>
  <c r="F83"/>
  <c r="H81"/>
  <c r="H79"/>
  <c r="F77"/>
  <c r="H77" s="1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H54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F40"/>
  <c r="H40" s="1"/>
  <c r="F39"/>
  <c r="H39" s="1"/>
  <c r="H38"/>
  <c r="F28"/>
  <c r="H28" s="1"/>
  <c r="H36"/>
  <c r="H35"/>
  <c r="F27"/>
  <c r="H27" s="1"/>
  <c r="F34"/>
  <c r="H34" s="1"/>
  <c r="E34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17"/>
  <c r="I32"/>
  <c r="I38"/>
  <c r="I39"/>
  <c r="I40"/>
  <c r="I41"/>
  <c r="I42"/>
  <c r="I78"/>
  <c r="H83" l="1"/>
  <c r="I83"/>
  <c r="I45"/>
  <c r="I49"/>
  <c r="I47"/>
  <c r="I50"/>
  <c r="I91" s="1"/>
  <c r="I48"/>
  <c r="I46"/>
  <c r="I52"/>
  <c r="I51"/>
  <c r="I27"/>
  <c r="I31"/>
  <c r="I34"/>
  <c r="I28"/>
  <c r="I33"/>
  <c r="I21"/>
  <c r="I20"/>
  <c r="I16"/>
  <c r="H80"/>
  <c r="F84"/>
  <c r="I18"/>
  <c r="H84" l="1"/>
  <c r="H85" s="1"/>
  <c r="I84"/>
</calcChain>
</file>

<file path=xl/sharedStrings.xml><?xml version="1.0" encoding="utf-8"?>
<sst xmlns="http://schemas.openxmlformats.org/spreadsheetml/2006/main" count="2690" uniqueCount="238">
  <si>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</si>
  <si>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</si>
  <si>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</si>
  <si>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</si>
  <si>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</si>
  <si>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</si>
  <si>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</si>
  <si>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</si>
  <si>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</si>
  <si>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</si>
  <si>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</si>
  <si>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</si>
  <si>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</si>
  <si>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</si>
  <si>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</si>
  <si>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</si>
  <si>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</si>
  <si>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</si>
  <si>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</si>
  <si>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</si>
  <si>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</si>
  <si>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</si>
  <si>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</si>
  <si>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</si>
  <si>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</si>
  <si>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</si>
  <si>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</si>
  <si>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</si>
  <si>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</si>
  <si>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</si>
  <si>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</si>
  <si>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</si>
  <si>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</si>
  <si>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</si>
  <si>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</si>
  <si>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</si>
  <si>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</si>
  <si>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</si>
  <si>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</si>
  <si>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</si>
  <si>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</si>
  <si>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</si>
  <si>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</si>
  <si>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</si>
  <si>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</si>
  <si>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</si>
  <si>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</si>
  <si>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</si>
  <si>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</si>
  <si>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</si>
  <si>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</si>
  <si>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</si>
  <si>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</si>
  <si>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</si>
  <si>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</si>
  <si>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</si>
  <si>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</si>
  <si>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</si>
  <si>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</si>
  <si>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</si>
  <si>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</si>
  <si>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</si>
  <si>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</si>
  <si>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</si>
  <si>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</si>
  <si>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</si>
  <si>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</si>
  <si>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</si>
  <si>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</si>
  <si>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</si>
  <si>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</si>
  <si>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</si>
  <si>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</si>
  <si>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</si>
  <si>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</si>
  <si>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</si>
  <si>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</si>
  <si>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</si>
  <si>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</si>
  <si>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</si>
  <si>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</si>
  <si>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</si>
  <si>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</si>
  <si>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место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</si>
  <si>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</si>
  <si>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</si>
  <si>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</si>
  <si>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</si>
  <si>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</si>
  <si>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</si>
  <si>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</si>
  <si>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</si>
  <si>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</si>
  <si>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</si>
  <si>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</si>
  <si>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</si>
  <si>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</si>
  <si>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</si>
  <si>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</si>
  <si>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</si>
  <si>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</si>
  <si>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</si>
  <si>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</si>
  <si>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</si>
  <si>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</si>
  <si>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</si>
  <si>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</si>
  <si>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</si>
  <si>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</si>
  <si>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</si>
  <si>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</si>
  <si>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</si>
  <si>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</si>
  <si>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</si>
  <si>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</si>
  <si>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</si>
  <si>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</si>
  <si>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</si>
  <si>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</si>
  <si>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</si>
  <si>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</si>
  <si>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</si>
  <si>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</si>
  <si>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</si>
  <si>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</si>
  <si>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24 раз за сезон</t>
  </si>
  <si>
    <t>Пескопосыпка территории: крыльца и вход.площади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</si>
  <si>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</si>
  <si>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</si>
  <si>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</si>
  <si>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</si>
  <si>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12 раз в год</t>
  </si>
  <si>
    <t>Смена светодиодных светильников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</si>
  <si>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</si>
  <si>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</si>
  <si>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</si>
  <si>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</t>
  </si>
  <si>
    <t>Прочистка каналов</t>
  </si>
  <si>
    <t>Дератизация</t>
  </si>
  <si>
    <t>Снятие показаний эл.счетчика коммунального назначения</t>
  </si>
  <si>
    <t xml:space="preserve">Смена сгонов у трубопроводов диаметром до 20 мм </t>
  </si>
  <si>
    <t>1 сгон</t>
  </si>
  <si>
    <t xml:space="preserve">приемки оказанных услуг и выполненных работ по содержанию и текущему ремонту
общего имущества в многоквартирном доме №49 по ул.Октябрьская пгт.Ярега
</t>
  </si>
  <si>
    <t>156 раз в год</t>
  </si>
  <si>
    <t>104 раза в год</t>
  </si>
  <si>
    <t xml:space="preserve">24 раза в год </t>
  </si>
  <si>
    <t>Смена арматуры - вентилей и клапанов обратных муфтовых диаметром до 20 мм</t>
  </si>
  <si>
    <t>1 шт</t>
  </si>
  <si>
    <t>генеральный директор Куканов Ю.Л.</t>
  </si>
  <si>
    <t>5 раз в год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</si>
  <si>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15.08.2016г.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</si>
  <si>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49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</si>
  <si>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</si>
  <si>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</si>
  <si>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</si>
  <si>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</si>
  <si>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</si>
  <si>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</si>
  <si>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маш/час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</si>
  <si>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</si>
  <si>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</si>
  <si>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</si>
  <si>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</si>
  <si>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</si>
  <si>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</si>
  <si>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</si>
  <si>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</si>
  <si>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№9</t>
  </si>
  <si>
    <t>Наладка тепловычислителя</t>
  </si>
  <si>
    <t>АКТ №10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</si>
  <si>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</si>
  <si>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</si>
  <si>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</si>
  <si>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 xml:space="preserve">ежедневно </t>
  </si>
  <si>
    <t>II. Уборка земельного участка</t>
  </si>
  <si>
    <t>52 раза в сезон</t>
  </si>
  <si>
    <t>78 раз за сезон</t>
  </si>
  <si>
    <t>Итого затраты за месяц</t>
  </si>
  <si>
    <t>за период с 01.02.2017 г. по 28.02.2017 г.</t>
  </si>
  <si>
    <t>Элемент питания для СПТ TL-2300</t>
  </si>
  <si>
    <t>за период с 01.03.2017 г. по 31.03.2017 г.</t>
  </si>
  <si>
    <t>Осмотр элекгросетей, арматуры и электрооборудования на чердаках и подвалах</t>
  </si>
  <si>
    <t>Поверка средств измерений: Счетчики горячей воды ВСТ</t>
  </si>
  <si>
    <t>2. Всего за период с 01.03.2017 по 31.03.2017 выполнено работ (оказано услуг) на общую сумму: 32595,51 руб.</t>
  </si>
  <si>
    <t>(тридцать две тысячи пятьсот девяносто пять рублей 51 копейка)</t>
  </si>
  <si>
    <t>за период с 01.04.2017 г. по 30.04.2017 г.</t>
  </si>
  <si>
    <t>2. Всего за период с 01.04.2017 по 30.04.2017 выполнено работ (оказано услуг) на общую сумму: 35211,50 руб.</t>
  </si>
  <si>
    <t>(тридцать дпять тысяч двести одиннадцать рублей 50 копеек)</t>
  </si>
  <si>
    <t>за период с 01.05.2017 г. по 31.05.2017 г.</t>
  </si>
  <si>
    <t>Установка хомута диаметром до 50 мм</t>
  </si>
  <si>
    <t>Засыпка обочины дороги щебнем</t>
  </si>
  <si>
    <t>1 мЗ</t>
  </si>
  <si>
    <t>Работа гона</t>
  </si>
  <si>
    <t>2. Всего за период с 01.05.2017 по 31.05.2017 выполнено работ (оказано услуг) на общую сумму: 94020,61 руб.</t>
  </si>
  <si>
    <t>(девяносто четыре тысячи двадцать рублей 61 копейка)</t>
  </si>
  <si>
    <t>за период с 01.06.2017 г. по 30.06.2017 г.</t>
  </si>
  <si>
    <t>Смена подводки (муфт) у трубопроводов диаметром до 32 мм</t>
  </si>
  <si>
    <t>Ремонт отдельных мест покрытия из асбоцементных листов обыкновенного профиля</t>
  </si>
  <si>
    <t>10 м2</t>
  </si>
  <si>
    <t>за период с 01.07.2017 г. по 31.07.2017 г.</t>
  </si>
  <si>
    <t>Смена обделок из листовой стали, коньков, сандриков, отливов, карнизов, шириной до 0,4 м</t>
  </si>
  <si>
    <t>10 м</t>
  </si>
  <si>
    <t>2. Всего за период с 01.07.2017 по 31.07.2017 выполнено работ (оказано услуг) на общую сумму: 32538,40 руб.</t>
  </si>
  <si>
    <t>(тридцать две тысячи пятьсот тридцать восемь рублей 40 копеек)</t>
  </si>
  <si>
    <t>АКТ №8</t>
  </si>
  <si>
    <t>за период с 01.08.2017 г. по 31.08.2017 г.</t>
  </si>
  <si>
    <t>2. Всего за период с 01.08.2017 по 31.08.2017 выполнено работ (оказано услуг) на общую сумму: 29016,72 руб.</t>
  </si>
  <si>
    <t>(двадцать девять тысяч шестнадцать рублей 72 копейки)</t>
  </si>
  <si>
    <t>за период с 01.09.2017 г. по 30.09.2017 г.</t>
  </si>
  <si>
    <t>Дезинфекция подвала</t>
  </si>
  <si>
    <t>2. Всего за период с 01.09.2017 по 30.09.2017 выполнено работ (оказано услуг) на общую сумму: 40471,08 руб.</t>
  </si>
  <si>
    <t>(сорок тысяч четыреста семьдесят один рубль 08 копеек)</t>
  </si>
  <si>
    <t>за период с 01.10.2017 г. по 31.10.2017 г.</t>
  </si>
  <si>
    <t>Прочистка засоров канализации</t>
  </si>
  <si>
    <t>3м</t>
  </si>
  <si>
    <t>м</t>
  </si>
  <si>
    <t>Смена отдельных участков наружной проводки (кабель АВВГ 2×2,5 мм²)</t>
  </si>
  <si>
    <t>2. Всего за период с 01.10.2017 по 31.10.2017 выполнено работ (оказано услуг) на общую сумму: 62248,78 руб.</t>
  </si>
  <si>
    <t>АКТ №11</t>
  </si>
  <si>
    <t>за период с 01.11.2017 г. по 30.11.2017 г.</t>
  </si>
  <si>
    <t>(шестьдесят две тысячи двести сорок восемь рублей 78 копеек)</t>
  </si>
  <si>
    <t>АКТ №12</t>
  </si>
  <si>
    <t>за период с 01.12.2017 г. по 31.12.2017 г.</t>
  </si>
  <si>
    <t>Смена внутренних трубопроводов из стальных труб диаметром до 25 мм (без стоимости материалов)</t>
  </si>
  <si>
    <t>1 м</t>
  </si>
  <si>
    <t>2. Всего за период с 01.01.2017 по 31.01.2017 выполнено работ (оказано услуг) на общую сумму: 37986,93 руб.</t>
  </si>
  <si>
    <t>(тридцать семь тысяч девятьсот восемьдесят шесть рублей 93 копейки)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</si>
  <si>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</si>
  <si>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</si>
  <si>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33211,63 руб.</t>
  </si>
  <si>
    <t>(тридцать три тысячи двести одиннадцать рублей 63 копейки)</t>
  </si>
  <si>
    <t>2. Всего за период с 01.11.2017 по 30.11.2017 выполнено работ (оказано услуг) на общую сумму: 42209,01 руб.</t>
  </si>
  <si>
    <t>(сорок две тысячи двести девять рублей 01 копейка)</t>
  </si>
  <si>
    <t>Сверхнормативы по ОДП за 2 полугодие</t>
  </si>
  <si>
    <t>2. Всего за период с 01.12.2017 по 31.12.2017 выполнено работ (оказано услуг) на общую сумму: 40620,10 руб.</t>
  </si>
  <si>
    <t>(сорок тысяч шестьсот двадцать рублей 10 копеек)</t>
  </si>
  <si>
    <t>2. Всего за период с 01.02.2017 по 28.02.2017 выполнено работ (оказано услуг) на общую сумму: 36366,60 руб.</t>
  </si>
  <si>
    <t>(тридцать шесть тысяч триста шестьдесят шесть рублей 60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</si>
</sst>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0" xfId="0" applyFont="1"/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155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170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42766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8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9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10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customHeight="1">
      <c r="A43" s="31">
        <v>10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customHeight="1">
      <c r="A50" s="31">
        <v>11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/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hidden="1" customHeight="1">
      <c r="A52" s="31"/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hidden="1" customHeight="1">
      <c r="A53" s="31"/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customHeight="1">
      <c r="A54" s="31">
        <v>12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5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13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14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1">
        <v>15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7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7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7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7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7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7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7"/>
        <v>0.18621000000000001</v>
      </c>
      <c r="I70" s="13">
        <f>F70*G70</f>
        <v>186.21</v>
      </c>
    </row>
    <row r="71" spans="1:9" ht="15.75" customHeight="1">
      <c r="A71" s="31">
        <v>16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7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8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8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7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17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7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18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19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I16+I17+I18+I27+I28+I38+I39+I40+I41+I43+I50+I54+I57+I61+I63+I71+I77+I83+I84</f>
        <v>36598.008601499998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1">
        <v>20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" si="9">G87*F87/1000</f>
        <v>12.50028</v>
      </c>
      <c r="I87" s="13">
        <f>G87*26</f>
        <v>1388.92</v>
      </c>
    </row>
    <row r="88" spans="1:9" ht="15.75" hidden="1" customHeight="1">
      <c r="A88" s="31"/>
      <c r="B88" s="48" t="s">
        <v>168</v>
      </c>
      <c r="C88" s="49" t="s">
        <v>109</v>
      </c>
      <c r="D88" s="45"/>
      <c r="E88" s="13"/>
      <c r="F88" s="13">
        <v>1</v>
      </c>
      <c r="G88" s="13">
        <v>379.22</v>
      </c>
      <c r="H88" s="13">
        <f t="shared" ref="H88" si="10">G88*F88/1000</f>
        <v>0.37922</v>
      </c>
      <c r="I88" s="13">
        <v>0</v>
      </c>
    </row>
    <row r="89" spans="1:9" ht="15.75" customHeight="1">
      <c r="A89" s="31"/>
      <c r="B89" s="43" t="s">
        <v>52</v>
      </c>
      <c r="C89" s="39"/>
      <c r="D89" s="46"/>
      <c r="E89" s="39">
        <v>1</v>
      </c>
      <c r="F89" s="39"/>
      <c r="G89" s="39"/>
      <c r="H89" s="39"/>
      <c r="I89" s="33">
        <f>SUM(I87:I88)</f>
        <v>1388.92</v>
      </c>
    </row>
    <row r="90" spans="1:9" ht="15.75" customHeight="1">
      <c r="A90" s="31"/>
      <c r="B90" s="45" t="s">
        <v>79</v>
      </c>
      <c r="C90" s="15"/>
      <c r="D90" s="15"/>
      <c r="E90" s="40"/>
      <c r="F90" s="40"/>
      <c r="G90" s="41"/>
      <c r="H90" s="41"/>
      <c r="I90" s="18">
        <v>0</v>
      </c>
    </row>
    <row r="91" spans="1:9">
      <c r="A91" s="47"/>
      <c r="B91" s="44" t="s">
        <v>177</v>
      </c>
      <c r="C91" s="34"/>
      <c r="D91" s="34"/>
      <c r="E91" s="34"/>
      <c r="F91" s="34"/>
      <c r="G91" s="34"/>
      <c r="H91" s="34"/>
      <c r="I91" s="42">
        <f>I85+I89</f>
        <v>37986.928601499996</v>
      </c>
    </row>
    <row r="92" spans="1:9" ht="15.75">
      <c r="A92" s="137" t="s">
        <v>225</v>
      </c>
      <c r="B92" s="137"/>
      <c r="C92" s="137"/>
      <c r="D92" s="137"/>
      <c r="E92" s="137"/>
      <c r="F92" s="137"/>
      <c r="G92" s="137"/>
      <c r="H92" s="137"/>
      <c r="I92" s="137"/>
    </row>
    <row r="93" spans="1:9" ht="15.75" customHeight="1">
      <c r="A93" s="57"/>
      <c r="B93" s="138" t="s">
        <v>226</v>
      </c>
      <c r="C93" s="138"/>
      <c r="D93" s="138"/>
      <c r="E93" s="138"/>
      <c r="F93" s="138"/>
      <c r="G93" s="138"/>
      <c r="H93" s="63"/>
      <c r="I93" s="3"/>
    </row>
    <row r="94" spans="1:9">
      <c r="A94" s="94"/>
      <c r="B94" s="133" t="s">
        <v>6</v>
      </c>
      <c r="C94" s="133"/>
      <c r="D94" s="133"/>
      <c r="E94" s="133"/>
      <c r="F94" s="133"/>
      <c r="G94" s="133"/>
      <c r="H94" s="26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9" t="s">
        <v>7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39" t="s">
        <v>8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>
      <c r="A98" s="140" t="s">
        <v>62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>
      <c r="A99" s="11"/>
    </row>
    <row r="100" spans="1:9" ht="15.75">
      <c r="A100" s="131" t="s">
        <v>9</v>
      </c>
      <c r="B100" s="131"/>
      <c r="C100" s="131"/>
      <c r="D100" s="131"/>
      <c r="E100" s="131"/>
      <c r="F100" s="131"/>
      <c r="G100" s="131"/>
      <c r="H100" s="131"/>
      <c r="I100" s="131"/>
    </row>
    <row r="101" spans="1:9" ht="15.75">
      <c r="A101" s="4"/>
    </row>
    <row r="102" spans="1:9" ht="15.75">
      <c r="B102" s="91" t="s">
        <v>10</v>
      </c>
      <c r="C102" s="132" t="s">
        <v>148</v>
      </c>
      <c r="D102" s="132"/>
      <c r="E102" s="132"/>
      <c r="F102" s="61"/>
      <c r="I102" s="93"/>
    </row>
    <row r="103" spans="1:9">
      <c r="A103" s="94"/>
      <c r="C103" s="133" t="s">
        <v>11</v>
      </c>
      <c r="D103" s="133"/>
      <c r="E103" s="133"/>
      <c r="F103" s="26"/>
      <c r="I103" s="92" t="s">
        <v>12</v>
      </c>
    </row>
    <row r="104" spans="1:9" ht="15.75">
      <c r="A104" s="27"/>
      <c r="C104" s="12"/>
      <c r="D104" s="12"/>
      <c r="G104" s="12"/>
      <c r="H104" s="12"/>
    </row>
    <row r="105" spans="1:9" ht="15.75" customHeight="1">
      <c r="B105" s="91" t="s">
        <v>13</v>
      </c>
      <c r="C105" s="134"/>
      <c r="D105" s="134"/>
      <c r="E105" s="134"/>
      <c r="F105" s="62"/>
      <c r="I105" s="93"/>
    </row>
    <row r="106" spans="1:9" ht="15.75" customHeight="1">
      <c r="A106" s="94"/>
      <c r="C106" s="135" t="s">
        <v>11</v>
      </c>
      <c r="D106" s="135"/>
      <c r="E106" s="135"/>
      <c r="F106" s="94"/>
      <c r="I106" s="92" t="s">
        <v>12</v>
      </c>
    </row>
    <row r="107" spans="1:9" ht="15.75" customHeight="1">
      <c r="A107" s="4" t="s">
        <v>14</v>
      </c>
    </row>
    <row r="108" spans="1:9">
      <c r="A108" s="136" t="s">
        <v>15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ht="45" customHeight="1">
      <c r="A109" s="127" t="s">
        <v>16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30" customHeight="1">
      <c r="A110" s="127" t="s">
        <v>17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21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15" customHeight="1">
      <c r="A112" s="127" t="s">
        <v>20</v>
      </c>
      <c r="B112" s="127"/>
      <c r="C112" s="127"/>
      <c r="D112" s="127"/>
      <c r="E112" s="127"/>
      <c r="F112" s="127"/>
      <c r="G112" s="127"/>
      <c r="H112" s="127"/>
      <c r="I112" s="127"/>
    </row>
  </sheetData>
  <autoFilter ref="I12:I56"/>
  <mergeCells count="29">
    <mergeCell ref="R61:U61"/>
    <mergeCell ref="A82:I82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4:I44"/>
    <mergeCell ref="A55:I55"/>
    <mergeCell ref="A109:I109"/>
    <mergeCell ref="A110:I110"/>
    <mergeCell ref="A111:I111"/>
    <mergeCell ref="A112:I112"/>
    <mergeCell ref="A86:I86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159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178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42794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8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9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10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customHeight="1">
      <c r="A43" s="31">
        <v>10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customHeight="1">
      <c r="A50" s="31">
        <v>11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/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hidden="1" customHeight="1">
      <c r="A52" s="31"/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hidden="1" customHeight="1">
      <c r="A53" s="31"/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hidden="1" customHeight="1">
      <c r="A54" s="31">
        <v>13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5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12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13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16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7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7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7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7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7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7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7"/>
        <v>0.18621000000000001</v>
      </c>
      <c r="I70" s="13">
        <f>F70*G70</f>
        <v>186.21</v>
      </c>
    </row>
    <row r="71" spans="1:9" ht="15.75" customHeight="1">
      <c r="A71" s="31">
        <v>14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7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8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8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7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15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7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16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17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I16+I17+I18+I27+I28+I38+I39+I40+I41+I43+I50+I57+I61+I71+I77+I83+I84</f>
        <v>31989.578601499998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18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90" si="9">G87*F87/1000</f>
        <v>12.50028</v>
      </c>
      <c r="I87" s="13">
        <f>G87*26</f>
        <v>1388.92</v>
      </c>
    </row>
    <row r="88" spans="1:9" s="103" customFormat="1" ht="31.5" customHeight="1">
      <c r="A88" s="31">
        <v>19</v>
      </c>
      <c r="B88" s="48" t="s">
        <v>156</v>
      </c>
      <c r="C88" s="49" t="s">
        <v>157</v>
      </c>
      <c r="D88" s="104"/>
      <c r="E88" s="35"/>
      <c r="F88" s="35">
        <v>2</v>
      </c>
      <c r="G88" s="35">
        <v>54.17</v>
      </c>
      <c r="H88" s="35">
        <f t="shared" si="9"/>
        <v>0.10834000000000001</v>
      </c>
      <c r="I88" s="13">
        <f>G88*2</f>
        <v>108.34</v>
      </c>
    </row>
    <row r="89" spans="1:9" s="103" customFormat="1" ht="15.75" customHeight="1">
      <c r="A89" s="31">
        <v>20</v>
      </c>
      <c r="B89" s="48" t="s">
        <v>82</v>
      </c>
      <c r="C89" s="50" t="s">
        <v>109</v>
      </c>
      <c r="D89" s="104"/>
      <c r="E89" s="35"/>
      <c r="F89" s="35">
        <v>4</v>
      </c>
      <c r="G89" s="35">
        <v>189.88</v>
      </c>
      <c r="H89" s="105">
        <f t="shared" si="9"/>
        <v>0.75951999999999997</v>
      </c>
      <c r="I89" s="13">
        <f t="shared" ref="I89" si="10">G89*2</f>
        <v>379.76</v>
      </c>
    </row>
    <row r="90" spans="1:9" s="103" customFormat="1" ht="15.75" customHeight="1">
      <c r="A90" s="31">
        <v>21</v>
      </c>
      <c r="B90" s="48" t="s">
        <v>179</v>
      </c>
      <c r="C90" s="50" t="s">
        <v>109</v>
      </c>
      <c r="D90" s="104"/>
      <c r="E90" s="35"/>
      <c r="F90" s="35">
        <v>1</v>
      </c>
      <c r="G90" s="35">
        <v>2500</v>
      </c>
      <c r="H90" s="105">
        <f t="shared" si="9"/>
        <v>2.5</v>
      </c>
      <c r="I90" s="13">
        <f>G90</f>
        <v>2500</v>
      </c>
    </row>
    <row r="91" spans="1:9" ht="15.75" customHeight="1">
      <c r="A91" s="31"/>
      <c r="B91" s="43" t="s">
        <v>52</v>
      </c>
      <c r="C91" s="39"/>
      <c r="D91" s="46"/>
      <c r="E91" s="39">
        <v>1</v>
      </c>
      <c r="F91" s="39"/>
      <c r="G91" s="39"/>
      <c r="H91" s="39"/>
      <c r="I91" s="33">
        <f>SUM(I87:I90)</f>
        <v>4377.0200000000004</v>
      </c>
    </row>
    <row r="92" spans="1:9" ht="15.75" customHeight="1">
      <c r="A92" s="31"/>
      <c r="B92" s="45" t="s">
        <v>79</v>
      </c>
      <c r="C92" s="15"/>
      <c r="D92" s="15"/>
      <c r="E92" s="40"/>
      <c r="F92" s="40"/>
      <c r="G92" s="41"/>
      <c r="H92" s="41"/>
      <c r="I92" s="18">
        <v>0</v>
      </c>
    </row>
    <row r="93" spans="1:9">
      <c r="A93" s="47"/>
      <c r="B93" s="44" t="s">
        <v>177</v>
      </c>
      <c r="C93" s="34"/>
      <c r="D93" s="34"/>
      <c r="E93" s="34"/>
      <c r="F93" s="34"/>
      <c r="G93" s="34"/>
      <c r="H93" s="34"/>
      <c r="I93" s="42">
        <f>I85+I91</f>
        <v>36366.598601499994</v>
      </c>
    </row>
    <row r="94" spans="1:9" ht="15.75">
      <c r="A94" s="137" t="s">
        <v>236</v>
      </c>
      <c r="B94" s="137"/>
      <c r="C94" s="137"/>
      <c r="D94" s="137"/>
      <c r="E94" s="137"/>
      <c r="F94" s="137"/>
      <c r="G94" s="137"/>
      <c r="H94" s="137"/>
      <c r="I94" s="137"/>
    </row>
    <row r="95" spans="1:9" ht="15.75" customHeight="1">
      <c r="A95" s="57"/>
      <c r="B95" s="138" t="s">
        <v>237</v>
      </c>
      <c r="C95" s="138"/>
      <c r="D95" s="138"/>
      <c r="E95" s="138"/>
      <c r="F95" s="138"/>
      <c r="G95" s="138"/>
      <c r="H95" s="63"/>
      <c r="I95" s="3"/>
    </row>
    <row r="96" spans="1:9">
      <c r="A96" s="94"/>
      <c r="B96" s="133" t="s">
        <v>6</v>
      </c>
      <c r="C96" s="133"/>
      <c r="D96" s="133"/>
      <c r="E96" s="133"/>
      <c r="F96" s="133"/>
      <c r="G96" s="133"/>
      <c r="H96" s="26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9" t="s">
        <v>7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 customHeight="1">
      <c r="A99" s="139" t="s">
        <v>8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>
      <c r="A100" s="140" t="s">
        <v>62</v>
      </c>
      <c r="B100" s="140"/>
      <c r="C100" s="140"/>
      <c r="D100" s="140"/>
      <c r="E100" s="140"/>
      <c r="F100" s="140"/>
      <c r="G100" s="140"/>
      <c r="H100" s="140"/>
      <c r="I100" s="140"/>
    </row>
    <row r="101" spans="1:9" ht="15.75">
      <c r="A101" s="11"/>
    </row>
    <row r="102" spans="1:9" ht="15.75">
      <c r="A102" s="131" t="s">
        <v>9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>
      <c r="A103" s="4"/>
    </row>
    <row r="104" spans="1:9" ht="15.75">
      <c r="B104" s="91" t="s">
        <v>10</v>
      </c>
      <c r="C104" s="132" t="s">
        <v>148</v>
      </c>
      <c r="D104" s="132"/>
      <c r="E104" s="132"/>
      <c r="F104" s="61"/>
      <c r="I104" s="93"/>
    </row>
    <row r="105" spans="1:9">
      <c r="A105" s="94"/>
      <c r="C105" s="133" t="s">
        <v>11</v>
      </c>
      <c r="D105" s="133"/>
      <c r="E105" s="133"/>
      <c r="F105" s="26"/>
      <c r="I105" s="92" t="s">
        <v>12</v>
      </c>
    </row>
    <row r="106" spans="1:9" ht="15.75">
      <c r="A106" s="27"/>
      <c r="C106" s="12"/>
      <c r="D106" s="12"/>
      <c r="G106" s="12"/>
      <c r="H106" s="12"/>
    </row>
    <row r="107" spans="1:9" ht="15.75" customHeight="1">
      <c r="B107" s="91" t="s">
        <v>13</v>
      </c>
      <c r="C107" s="134"/>
      <c r="D107" s="134"/>
      <c r="E107" s="134"/>
      <c r="F107" s="62"/>
      <c r="I107" s="93"/>
    </row>
    <row r="108" spans="1:9" ht="15.75" customHeight="1">
      <c r="A108" s="94"/>
      <c r="C108" s="135" t="s">
        <v>11</v>
      </c>
      <c r="D108" s="135"/>
      <c r="E108" s="135"/>
      <c r="F108" s="94"/>
      <c r="I108" s="92" t="s">
        <v>12</v>
      </c>
    </row>
    <row r="109" spans="1:9" ht="15.75" customHeight="1">
      <c r="A109" s="4" t="s">
        <v>14</v>
      </c>
    </row>
    <row r="110" spans="1:9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27" t="s">
        <v>16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17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21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15" customHeight="1">
      <c r="A114" s="127" t="s">
        <v>20</v>
      </c>
      <c r="B114" s="127"/>
      <c r="C114" s="127"/>
      <c r="D114" s="127"/>
      <c r="E114" s="127"/>
      <c r="F114" s="127"/>
      <c r="G114" s="127"/>
      <c r="H114" s="127"/>
      <c r="I114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160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180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42825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8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9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10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customHeight="1">
      <c r="A42" s="31">
        <v>10</v>
      </c>
      <c r="B42" s="65" t="s">
        <v>126</v>
      </c>
      <c r="C42" s="66" t="s">
        <v>90</v>
      </c>
      <c r="D42" s="121" t="s">
        <v>227</v>
      </c>
      <c r="E42" s="122">
        <v>35.299999999999997</v>
      </c>
      <c r="F42" s="123">
        <f>SUM(E42*15/1000)</f>
        <v>0.52949999999999997</v>
      </c>
      <c r="G42" s="124">
        <v>533.45000000000005</v>
      </c>
      <c r="H42" s="125">
        <f t="shared" ref="H42" si="5">SUM(F42*G42/1000)</f>
        <v>0.28246177499999997</v>
      </c>
      <c r="I42" s="13">
        <f>F42/2*G42</f>
        <v>141.23088749999999</v>
      </c>
      <c r="J42" s="25"/>
      <c r="L42" s="20"/>
      <c r="M42" s="21"/>
      <c r="N42" s="22"/>
    </row>
    <row r="43" spans="1:14" ht="15.75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hidden="1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hidden="1" customHeight="1">
      <c r="A50" s="31">
        <v>12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/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hidden="1" customHeight="1">
      <c r="A52" s="31"/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hidden="1" customHeight="1">
      <c r="A53" s="31"/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hidden="1" customHeight="1">
      <c r="A54" s="31">
        <v>13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161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12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13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16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14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9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9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15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162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16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17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I16+I17+I18+I27+I28+I38+I39+I40+I41+I42+I43+I57+I61+I71+I77+I83+I84</f>
        <v>29501.598897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18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91" si="10">G87*F87/1000</f>
        <v>12.50028</v>
      </c>
      <c r="I87" s="13">
        <f>G87*26</f>
        <v>1388.92</v>
      </c>
    </row>
    <row r="88" spans="1:9" s="103" customFormat="1" ht="15.75" customHeight="1">
      <c r="A88" s="31">
        <v>19</v>
      </c>
      <c r="B88" s="48" t="s">
        <v>82</v>
      </c>
      <c r="C88" s="50" t="s">
        <v>109</v>
      </c>
      <c r="D88" s="104"/>
      <c r="E88" s="35"/>
      <c r="F88" s="35">
        <v>4</v>
      </c>
      <c r="G88" s="35">
        <v>189.88</v>
      </c>
      <c r="H88" s="105">
        <f t="shared" si="10"/>
        <v>0.75951999999999997</v>
      </c>
      <c r="I88" s="13">
        <f>G88</f>
        <v>189.88</v>
      </c>
    </row>
    <row r="89" spans="1:9" s="103" customFormat="1" ht="31.5" customHeight="1">
      <c r="A89" s="31">
        <v>20</v>
      </c>
      <c r="B89" s="48" t="s">
        <v>80</v>
      </c>
      <c r="C89" s="49" t="s">
        <v>109</v>
      </c>
      <c r="D89" s="45"/>
      <c r="E89" s="13"/>
      <c r="F89" s="13">
        <v>1</v>
      </c>
      <c r="G89" s="13">
        <v>83.36</v>
      </c>
      <c r="H89" s="64">
        <f t="shared" si="10"/>
        <v>8.3360000000000004E-2</v>
      </c>
      <c r="I89" s="13">
        <f>G89</f>
        <v>83.36</v>
      </c>
    </row>
    <row r="90" spans="1:9" s="103" customFormat="1" ht="31.5" customHeight="1">
      <c r="A90" s="31">
        <v>21</v>
      </c>
      <c r="B90" s="48" t="s">
        <v>181</v>
      </c>
      <c r="C90" s="49" t="s">
        <v>29</v>
      </c>
      <c r="D90" s="45"/>
      <c r="E90" s="13"/>
      <c r="F90" s="17">
        <f>0.006</f>
        <v>6.0000000000000001E-3</v>
      </c>
      <c r="G90" s="13">
        <v>1591.6</v>
      </c>
      <c r="H90" s="64">
        <f t="shared" si="10"/>
        <v>9.5496000000000001E-3</v>
      </c>
      <c r="I90" s="13">
        <f>G90*0.001</f>
        <v>1.5915999999999999</v>
      </c>
    </row>
    <row r="91" spans="1:9" s="103" customFormat="1" ht="15.75" customHeight="1">
      <c r="A91" s="31">
        <v>22</v>
      </c>
      <c r="B91" s="48" t="s">
        <v>182</v>
      </c>
      <c r="C91" s="49" t="s">
        <v>109</v>
      </c>
      <c r="D91" s="45"/>
      <c r="E91" s="13"/>
      <c r="F91" s="13">
        <v>2</v>
      </c>
      <c r="G91" s="13">
        <v>715.08</v>
      </c>
      <c r="H91" s="64">
        <f t="shared" si="10"/>
        <v>1.4301600000000001</v>
      </c>
      <c r="I91" s="13">
        <f>G91*2</f>
        <v>1430.16</v>
      </c>
    </row>
    <row r="92" spans="1:9" ht="15.75" customHeight="1">
      <c r="A92" s="31"/>
      <c r="B92" s="43" t="s">
        <v>52</v>
      </c>
      <c r="C92" s="39"/>
      <c r="D92" s="46"/>
      <c r="E92" s="39">
        <v>1</v>
      </c>
      <c r="F92" s="39"/>
      <c r="G92" s="39"/>
      <c r="H92" s="39"/>
      <c r="I92" s="33">
        <f>SUM(I87:I91)</f>
        <v>3093.9116000000004</v>
      </c>
    </row>
    <row r="93" spans="1:9" ht="15.75" customHeight="1">
      <c r="A93" s="31"/>
      <c r="B93" s="45" t="s">
        <v>79</v>
      </c>
      <c r="C93" s="15"/>
      <c r="D93" s="15"/>
      <c r="E93" s="40"/>
      <c r="F93" s="40"/>
      <c r="G93" s="41"/>
      <c r="H93" s="41"/>
      <c r="I93" s="18">
        <v>0</v>
      </c>
    </row>
    <row r="94" spans="1:9">
      <c r="A94" s="47"/>
      <c r="B94" s="44" t="s">
        <v>177</v>
      </c>
      <c r="C94" s="34"/>
      <c r="D94" s="34"/>
      <c r="E94" s="34"/>
      <c r="F94" s="34"/>
      <c r="G94" s="34"/>
      <c r="H94" s="34"/>
      <c r="I94" s="42">
        <f>I85+I92</f>
        <v>32595.510496999999</v>
      </c>
    </row>
    <row r="95" spans="1:9" ht="15.75">
      <c r="A95" s="137" t="s">
        <v>183</v>
      </c>
      <c r="B95" s="137"/>
      <c r="C95" s="137"/>
      <c r="D95" s="137"/>
      <c r="E95" s="137"/>
      <c r="F95" s="137"/>
      <c r="G95" s="137"/>
      <c r="H95" s="137"/>
      <c r="I95" s="137"/>
    </row>
    <row r="96" spans="1:9" ht="15.75" customHeight="1">
      <c r="A96" s="57"/>
      <c r="B96" s="138" t="s">
        <v>184</v>
      </c>
      <c r="C96" s="138"/>
      <c r="D96" s="138"/>
      <c r="E96" s="138"/>
      <c r="F96" s="138"/>
      <c r="G96" s="138"/>
      <c r="H96" s="63"/>
      <c r="I96" s="3"/>
    </row>
    <row r="97" spans="1:9">
      <c r="A97" s="94"/>
      <c r="B97" s="133" t="s">
        <v>6</v>
      </c>
      <c r="C97" s="133"/>
      <c r="D97" s="133"/>
      <c r="E97" s="133"/>
      <c r="F97" s="133"/>
      <c r="G97" s="133"/>
      <c r="H97" s="26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9" t="s">
        <v>7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>
      <c r="A100" s="139" t="s">
        <v>8</v>
      </c>
      <c r="B100" s="139"/>
      <c r="C100" s="139"/>
      <c r="D100" s="139"/>
      <c r="E100" s="139"/>
      <c r="F100" s="139"/>
      <c r="G100" s="139"/>
      <c r="H100" s="139"/>
      <c r="I100" s="139"/>
    </row>
    <row r="101" spans="1:9" ht="15.75">
      <c r="A101" s="140" t="s">
        <v>62</v>
      </c>
      <c r="B101" s="140"/>
      <c r="C101" s="140"/>
      <c r="D101" s="140"/>
      <c r="E101" s="140"/>
      <c r="F101" s="140"/>
      <c r="G101" s="140"/>
      <c r="H101" s="140"/>
      <c r="I101" s="140"/>
    </row>
    <row r="102" spans="1:9" ht="15.75">
      <c r="A102" s="11"/>
    </row>
    <row r="103" spans="1:9" ht="15.75">
      <c r="A103" s="131" t="s">
        <v>9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4"/>
    </row>
    <row r="105" spans="1:9" ht="15.75">
      <c r="B105" s="91" t="s">
        <v>10</v>
      </c>
      <c r="C105" s="132" t="s">
        <v>148</v>
      </c>
      <c r="D105" s="132"/>
      <c r="E105" s="132"/>
      <c r="F105" s="61"/>
      <c r="I105" s="93"/>
    </row>
    <row r="106" spans="1:9">
      <c r="A106" s="94"/>
      <c r="C106" s="133" t="s">
        <v>11</v>
      </c>
      <c r="D106" s="133"/>
      <c r="E106" s="133"/>
      <c r="F106" s="26"/>
      <c r="I106" s="92" t="s">
        <v>12</v>
      </c>
    </row>
    <row r="107" spans="1:9" ht="15.75">
      <c r="A107" s="27"/>
      <c r="C107" s="12"/>
      <c r="D107" s="12"/>
      <c r="G107" s="12"/>
      <c r="H107" s="12"/>
    </row>
    <row r="108" spans="1:9" ht="15.75" customHeight="1">
      <c r="B108" s="91" t="s">
        <v>13</v>
      </c>
      <c r="C108" s="134"/>
      <c r="D108" s="134"/>
      <c r="E108" s="134"/>
      <c r="F108" s="62"/>
      <c r="I108" s="93"/>
    </row>
    <row r="109" spans="1:9" ht="15.75" customHeight="1">
      <c r="A109" s="94"/>
      <c r="C109" s="135" t="s">
        <v>11</v>
      </c>
      <c r="D109" s="135"/>
      <c r="E109" s="135"/>
      <c r="F109" s="94"/>
      <c r="I109" s="92" t="s">
        <v>12</v>
      </c>
    </row>
    <row r="110" spans="1:9" ht="15.75" customHeight="1">
      <c r="A110" s="4" t="s">
        <v>14</v>
      </c>
    </row>
    <row r="111" spans="1:9">
      <c r="A111" s="136" t="s">
        <v>15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45" customHeight="1">
      <c r="A112" s="127" t="s">
        <v>16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17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30" customHeight="1">
      <c r="A114" s="127" t="s">
        <v>21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15" customHeight="1">
      <c r="A115" s="127" t="s">
        <v>20</v>
      </c>
      <c r="B115" s="127"/>
      <c r="C115" s="127"/>
      <c r="D115" s="127"/>
      <c r="E115" s="127"/>
      <c r="F115" s="127"/>
      <c r="G115" s="127"/>
      <c r="H115" s="127"/>
      <c r="I115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111:I111"/>
    <mergeCell ref="A112:I112"/>
    <mergeCell ref="A113:I113"/>
    <mergeCell ref="A114:I114"/>
    <mergeCell ref="A115:I11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163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185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42855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8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9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10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customHeight="1">
      <c r="A42" s="31">
        <v>10</v>
      </c>
      <c r="B42" s="65" t="s">
        <v>126</v>
      </c>
      <c r="C42" s="66" t="s">
        <v>90</v>
      </c>
      <c r="D42" s="121" t="s">
        <v>227</v>
      </c>
      <c r="E42" s="122">
        <v>35.299999999999997</v>
      </c>
      <c r="F42" s="123">
        <f>SUM(E42*15/1000)</f>
        <v>0.52949999999999997</v>
      </c>
      <c r="G42" s="124">
        <v>533.45000000000005</v>
      </c>
      <c r="H42" s="125">
        <f t="shared" ref="H42" si="5">SUM(F42*G42/1000)</f>
        <v>0.28246177499999997</v>
      </c>
      <c r="I42" s="13">
        <f>F42/2*G42</f>
        <v>141.23088749999999</v>
      </c>
      <c r="J42" s="25"/>
      <c r="L42" s="20"/>
      <c r="M42" s="21"/>
      <c r="N42" s="22"/>
    </row>
    <row r="43" spans="1:14" ht="15.75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hidden="1" customHeight="1">
      <c r="A50" s="31">
        <v>12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hidden="1" customHeight="1">
      <c r="A54" s="31">
        <v>13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15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16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16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17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9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9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18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19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20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I16+I17+I18+I27+I28+I38+I39+I40+I41+I42+I43+I51+I52+I53+I57+I61+I71+I77+I83+I84</f>
        <v>32238.522380999999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21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88" si="10">G87*F87/1000</f>
        <v>12.50028</v>
      </c>
      <c r="I87" s="13">
        <f>G87*26</f>
        <v>1388.92</v>
      </c>
    </row>
    <row r="88" spans="1:9" s="103" customFormat="1" ht="15.75" customHeight="1">
      <c r="A88" s="31">
        <v>22</v>
      </c>
      <c r="B88" s="48" t="s">
        <v>82</v>
      </c>
      <c r="C88" s="50" t="s">
        <v>109</v>
      </c>
      <c r="D88" s="104"/>
      <c r="E88" s="35"/>
      <c r="F88" s="35">
        <v>4</v>
      </c>
      <c r="G88" s="35">
        <v>189.88</v>
      </c>
      <c r="H88" s="105">
        <f t="shared" si="10"/>
        <v>0.75951999999999997</v>
      </c>
      <c r="I88" s="13">
        <f>G88</f>
        <v>189.88</v>
      </c>
    </row>
    <row r="89" spans="1:9" s="103" customFormat="1" ht="31.5" customHeight="1">
      <c r="A89" s="31">
        <v>20</v>
      </c>
      <c r="B89" s="48" t="s">
        <v>181</v>
      </c>
      <c r="C89" s="49" t="s">
        <v>29</v>
      </c>
      <c r="D89" s="45"/>
      <c r="E89" s="13"/>
      <c r="F89" s="17">
        <f>0.006</f>
        <v>6.0000000000000001E-3</v>
      </c>
      <c r="G89" s="13">
        <v>1591.6</v>
      </c>
      <c r="H89" s="64">
        <f>G89*F89/1000</f>
        <v>9.5496000000000001E-3</v>
      </c>
      <c r="I89" s="13">
        <f>G89*0.005</f>
        <v>7.9579999999999993</v>
      </c>
    </row>
    <row r="90" spans="1:9" s="103" customFormat="1" ht="31.5" customHeight="1">
      <c r="A90" s="31">
        <v>21</v>
      </c>
      <c r="B90" s="48" t="s">
        <v>146</v>
      </c>
      <c r="C90" s="49" t="s">
        <v>147</v>
      </c>
      <c r="D90" s="45"/>
      <c r="E90" s="35"/>
      <c r="F90" s="35">
        <v>4</v>
      </c>
      <c r="G90" s="36">
        <v>589.84</v>
      </c>
      <c r="H90" s="105">
        <f t="shared" ref="H90:H91" si="11">G90*F90/1000</f>
        <v>2.3593600000000001</v>
      </c>
      <c r="I90" s="106">
        <f>G90*2</f>
        <v>1179.68</v>
      </c>
    </row>
    <row r="91" spans="1:9" s="103" customFormat="1" ht="15.75" customHeight="1">
      <c r="A91" s="31">
        <v>22</v>
      </c>
      <c r="B91" s="48" t="s">
        <v>140</v>
      </c>
      <c r="C91" s="49" t="s">
        <v>141</v>
      </c>
      <c r="D91" s="104"/>
      <c r="E91" s="35"/>
      <c r="F91" s="35">
        <v>1</v>
      </c>
      <c r="G91" s="35">
        <v>206.54</v>
      </c>
      <c r="H91" s="105">
        <f t="shared" si="11"/>
        <v>0.20654</v>
      </c>
      <c r="I91" s="13">
        <f>G91</f>
        <v>206.54</v>
      </c>
    </row>
    <row r="92" spans="1:9" ht="15.75" customHeight="1">
      <c r="A92" s="31"/>
      <c r="B92" s="43" t="s">
        <v>52</v>
      </c>
      <c r="C92" s="39"/>
      <c r="D92" s="46"/>
      <c r="E92" s="39">
        <v>1</v>
      </c>
      <c r="F92" s="39"/>
      <c r="G92" s="39"/>
      <c r="H92" s="39"/>
      <c r="I92" s="33">
        <f>SUM(I87:I91)</f>
        <v>2972.9780000000001</v>
      </c>
    </row>
    <row r="93" spans="1:9" ht="15.75" customHeight="1">
      <c r="A93" s="31"/>
      <c r="B93" s="45" t="s">
        <v>79</v>
      </c>
      <c r="C93" s="15"/>
      <c r="D93" s="15"/>
      <c r="E93" s="40"/>
      <c r="F93" s="40"/>
      <c r="G93" s="41"/>
      <c r="H93" s="41"/>
      <c r="I93" s="18">
        <v>0</v>
      </c>
    </row>
    <row r="94" spans="1:9">
      <c r="A94" s="47"/>
      <c r="B94" s="44" t="s">
        <v>177</v>
      </c>
      <c r="C94" s="34"/>
      <c r="D94" s="34"/>
      <c r="E94" s="34"/>
      <c r="F94" s="34"/>
      <c r="G94" s="34"/>
      <c r="H94" s="34"/>
      <c r="I94" s="42">
        <f>I85+I92</f>
        <v>35211.500380999998</v>
      </c>
    </row>
    <row r="95" spans="1:9" ht="15.75">
      <c r="A95" s="137" t="s">
        <v>186</v>
      </c>
      <c r="B95" s="137"/>
      <c r="C95" s="137"/>
      <c r="D95" s="137"/>
      <c r="E95" s="137"/>
      <c r="F95" s="137"/>
      <c r="G95" s="137"/>
      <c r="H95" s="137"/>
      <c r="I95" s="137"/>
    </row>
    <row r="96" spans="1:9" ht="15.75" customHeight="1">
      <c r="A96" s="57"/>
      <c r="B96" s="138" t="s">
        <v>187</v>
      </c>
      <c r="C96" s="138"/>
      <c r="D96" s="138"/>
      <c r="E96" s="138"/>
      <c r="F96" s="138"/>
      <c r="G96" s="138"/>
      <c r="H96" s="63"/>
      <c r="I96" s="3"/>
    </row>
    <row r="97" spans="1:9">
      <c r="A97" s="94"/>
      <c r="B97" s="133" t="s">
        <v>6</v>
      </c>
      <c r="C97" s="133"/>
      <c r="D97" s="133"/>
      <c r="E97" s="133"/>
      <c r="F97" s="133"/>
      <c r="G97" s="133"/>
      <c r="H97" s="26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9" t="s">
        <v>7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>
      <c r="A100" s="139" t="s">
        <v>8</v>
      </c>
      <c r="B100" s="139"/>
      <c r="C100" s="139"/>
      <c r="D100" s="139"/>
      <c r="E100" s="139"/>
      <c r="F100" s="139"/>
      <c r="G100" s="139"/>
      <c r="H100" s="139"/>
      <c r="I100" s="139"/>
    </row>
    <row r="101" spans="1:9" ht="15.75">
      <c r="A101" s="140" t="s">
        <v>62</v>
      </c>
      <c r="B101" s="140"/>
      <c r="C101" s="140"/>
      <c r="D101" s="140"/>
      <c r="E101" s="140"/>
      <c r="F101" s="140"/>
      <c r="G101" s="140"/>
      <c r="H101" s="140"/>
      <c r="I101" s="140"/>
    </row>
    <row r="102" spans="1:9" ht="15.75">
      <c r="A102" s="11"/>
    </row>
    <row r="103" spans="1:9" ht="15.75">
      <c r="A103" s="131" t="s">
        <v>9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4"/>
    </row>
    <row r="105" spans="1:9" ht="15.75">
      <c r="B105" s="91" t="s">
        <v>10</v>
      </c>
      <c r="C105" s="132" t="s">
        <v>148</v>
      </c>
      <c r="D105" s="132"/>
      <c r="E105" s="132"/>
      <c r="F105" s="61"/>
      <c r="I105" s="93"/>
    </row>
    <row r="106" spans="1:9">
      <c r="A106" s="94"/>
      <c r="C106" s="133" t="s">
        <v>11</v>
      </c>
      <c r="D106" s="133"/>
      <c r="E106" s="133"/>
      <c r="F106" s="26"/>
      <c r="I106" s="92" t="s">
        <v>12</v>
      </c>
    </row>
    <row r="107" spans="1:9" ht="15.75">
      <c r="A107" s="27"/>
      <c r="C107" s="12"/>
      <c r="D107" s="12"/>
      <c r="G107" s="12"/>
      <c r="H107" s="12"/>
    </row>
    <row r="108" spans="1:9" ht="15.75" customHeight="1">
      <c r="B108" s="91" t="s">
        <v>13</v>
      </c>
      <c r="C108" s="134"/>
      <c r="D108" s="134"/>
      <c r="E108" s="134"/>
      <c r="F108" s="62"/>
      <c r="I108" s="93"/>
    </row>
    <row r="109" spans="1:9" ht="15.75" customHeight="1">
      <c r="A109" s="94"/>
      <c r="C109" s="135" t="s">
        <v>11</v>
      </c>
      <c r="D109" s="135"/>
      <c r="E109" s="135"/>
      <c r="F109" s="94"/>
      <c r="I109" s="92" t="s">
        <v>12</v>
      </c>
    </row>
    <row r="110" spans="1:9" ht="15.75" customHeight="1">
      <c r="A110" s="4" t="s">
        <v>14</v>
      </c>
    </row>
    <row r="111" spans="1:9">
      <c r="A111" s="136" t="s">
        <v>15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45" customHeight="1">
      <c r="A112" s="127" t="s">
        <v>16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17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30" customHeight="1">
      <c r="A114" s="127" t="s">
        <v>21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15" customHeight="1">
      <c r="A115" s="127" t="s">
        <v>20</v>
      </c>
      <c r="B115" s="127"/>
      <c r="C115" s="127"/>
      <c r="D115" s="127"/>
      <c r="E115" s="127"/>
      <c r="F115" s="127"/>
      <c r="G115" s="127"/>
      <c r="H115" s="127"/>
      <c r="I115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111:I111"/>
    <mergeCell ref="A112:I112"/>
    <mergeCell ref="A113:I113"/>
    <mergeCell ref="A114:I114"/>
    <mergeCell ref="A115:I11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164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188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42886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customHeight="1">
      <c r="A19" s="31">
        <v>4</v>
      </c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f>F19/2*G19</f>
        <v>228.67920000000004</v>
      </c>
      <c r="J19" s="24"/>
      <c r="K19" s="8"/>
      <c r="L19" s="8"/>
      <c r="M19" s="8"/>
    </row>
    <row r="20" spans="1:13" ht="15.75" customHeight="1">
      <c r="A20" s="31">
        <v>5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customHeight="1">
      <c r="A21" s="31">
        <v>6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customHeight="1">
      <c r="A22" s="31">
        <v>7</v>
      </c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f>F22*G22</f>
        <v>738.18215999999995</v>
      </c>
      <c r="J22" s="24"/>
      <c r="K22" s="8"/>
      <c r="L22" s="8"/>
      <c r="M22" s="8"/>
    </row>
    <row r="23" spans="1:13" ht="15.75" customHeight="1">
      <c r="A23" s="31">
        <v>8</v>
      </c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f t="shared" ref="I23:I26" si="1">F23*G23</f>
        <v>9.7196400000000001</v>
      </c>
      <c r="J23" s="24"/>
      <c r="K23" s="8"/>
      <c r="L23" s="8"/>
      <c r="M23" s="8"/>
    </row>
    <row r="24" spans="1:13" ht="15.75" customHeight="1">
      <c r="A24" s="31">
        <v>9</v>
      </c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f t="shared" si="1"/>
        <v>34.915680000000002</v>
      </c>
      <c r="J24" s="24"/>
      <c r="K24" s="8"/>
      <c r="L24" s="8"/>
      <c r="M24" s="8"/>
    </row>
    <row r="25" spans="1:13" ht="15.75" customHeight="1">
      <c r="A25" s="31">
        <v>10</v>
      </c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f t="shared" si="1"/>
        <v>25.412939999999999</v>
      </c>
      <c r="J25" s="24"/>
      <c r="K25" s="8"/>
      <c r="L25" s="8"/>
      <c r="M25" s="8"/>
    </row>
    <row r="26" spans="1:13" ht="15.75" customHeight="1">
      <c r="A26" s="31">
        <v>11</v>
      </c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f t="shared" si="1"/>
        <v>73.877400000000009</v>
      </c>
      <c r="J26" s="24"/>
      <c r="K26" s="8"/>
      <c r="L26" s="8"/>
      <c r="M26" s="8"/>
    </row>
    <row r="27" spans="1:13" ht="15.75" customHeight="1">
      <c r="A27" s="31">
        <v>12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13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14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2">SUM(F31*G31/1000)</f>
        <v>0.62031605999999995</v>
      </c>
      <c r="I31" s="13">
        <f t="shared" ref="I31:I32" si="3">F31/6*G31</f>
        <v>103.38601</v>
      </c>
      <c r="J31" s="24"/>
      <c r="K31" s="8"/>
      <c r="L31" s="8"/>
      <c r="M31" s="8"/>
    </row>
    <row r="32" spans="1:13" ht="31.5" customHeight="1">
      <c r="A32" s="31">
        <v>15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2"/>
        <v>0.88609918799999987</v>
      </c>
      <c r="I32" s="13">
        <f t="shared" si="3"/>
        <v>147.68319799999998</v>
      </c>
      <c r="J32" s="24"/>
      <c r="K32" s="8"/>
      <c r="L32" s="8"/>
      <c r="M32" s="8"/>
    </row>
    <row r="33" spans="1:14" ht="15.75" customHeight="1">
      <c r="A33" s="31">
        <v>16</v>
      </c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2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17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2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2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2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4">SUM(F38*G38/1000)</f>
        <v>5.7011099999999999</v>
      </c>
      <c r="I38" s="13">
        <f t="shared" ref="I38:I43" si="5">F38/6*G38</f>
        <v>950.18499999999995</v>
      </c>
      <c r="J38" s="25"/>
      <c r="L38" s="20"/>
      <c r="M38" s="21"/>
      <c r="N38" s="22"/>
    </row>
    <row r="39" spans="1:14" ht="31.5" hidden="1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4"/>
        <v>2.77086291</v>
      </c>
      <c r="I39" s="13">
        <f t="shared" si="5"/>
        <v>461.81048499999991</v>
      </c>
      <c r="J39" s="25"/>
      <c r="L39" s="20"/>
      <c r="M39" s="21"/>
      <c r="N39" s="22"/>
    </row>
    <row r="40" spans="1:14" ht="15.75" hidden="1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4"/>
        <v>2.3880361749999999</v>
      </c>
      <c r="I40" s="13">
        <f t="shared" si="5"/>
        <v>398.00602916666662</v>
      </c>
      <c r="J40" s="25"/>
      <c r="L40" s="20"/>
      <c r="M40" s="21"/>
      <c r="N40" s="22"/>
    </row>
    <row r="41" spans="1:14" ht="47.25" hidden="1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4"/>
        <v>6.1178091119999998</v>
      </c>
      <c r="I41" s="13">
        <f t="shared" si="5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4"/>
        <v>0.84738532499999997</v>
      </c>
      <c r="I42" s="13">
        <f t="shared" si="5"/>
        <v>141.23088749999999</v>
      </c>
      <c r="J42" s="25"/>
      <c r="L42" s="20"/>
      <c r="M42" s="21"/>
      <c r="N42" s="22"/>
    </row>
    <row r="43" spans="1:14" ht="15.75" hidden="1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4"/>
        <v>0.29789100000000002</v>
      </c>
      <c r="I43" s="13">
        <f t="shared" si="5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customHeight="1">
      <c r="A45" s="31">
        <v>18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customHeight="1">
      <c r="A46" s="31">
        <v>19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customHeight="1">
      <c r="A47" s="31">
        <v>20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customHeight="1">
      <c r="A48" s="31">
        <v>21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customHeight="1">
      <c r="A49" s="31">
        <v>22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customHeight="1">
      <c r="A50" s="31">
        <v>23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hidden="1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hidden="1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customHeight="1">
      <c r="A54" s="31">
        <v>24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hidden="1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>
        <v>15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25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16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customHeight="1">
      <c r="A65" s="31">
        <v>26</v>
      </c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f>F65*G65</f>
        <v>16649.849300000002</v>
      </c>
    </row>
    <row r="66" spans="1:9" ht="15.75" customHeight="1">
      <c r="A66" s="31">
        <v>27</v>
      </c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f t="shared" ref="I66:I69" si="9">F66*G66</f>
        <v>1296.52999</v>
      </c>
    </row>
    <row r="67" spans="1:9" ht="15.75" customHeight="1">
      <c r="A67" s="31">
        <v>28</v>
      </c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f t="shared" si="9"/>
        <v>25892.745900000002</v>
      </c>
    </row>
    <row r="68" spans="1:9" ht="15.75" customHeight="1">
      <c r="A68" s="31">
        <v>29</v>
      </c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f t="shared" si="9"/>
        <v>315.14999999999998</v>
      </c>
    </row>
    <row r="69" spans="1:9" ht="15.75" customHeight="1">
      <c r="A69" s="31">
        <v>30</v>
      </c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f t="shared" si="9"/>
        <v>292.18200000000002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31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10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10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32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33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34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I16+I17+I18+I19+I20+I21+I22+I23+I24+I25+I26+I27+I28+I31+I32+I33+I34+I45+I46+I47+I48+I49+I50+I54+I61+I65+I66+I67+I68+I69+I71+I77+I83+I84</f>
        <v>83660.843915111123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35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90" si="11">G87*F87/1000</f>
        <v>12.50028</v>
      </c>
      <c r="I87" s="13">
        <f>G87*26</f>
        <v>1388.92</v>
      </c>
    </row>
    <row r="88" spans="1:9" s="103" customFormat="1" ht="15.75" customHeight="1">
      <c r="A88" s="31">
        <v>36</v>
      </c>
      <c r="B88" s="48" t="s">
        <v>189</v>
      </c>
      <c r="C88" s="49" t="s">
        <v>83</v>
      </c>
      <c r="D88" s="104"/>
      <c r="E88" s="35"/>
      <c r="F88" s="35">
        <v>1</v>
      </c>
      <c r="G88" s="35">
        <v>195.85</v>
      </c>
      <c r="H88" s="105">
        <f t="shared" si="11"/>
        <v>0.19585</v>
      </c>
      <c r="I88" s="13">
        <f>G88</f>
        <v>195.85</v>
      </c>
    </row>
    <row r="89" spans="1:9" s="103" customFormat="1" ht="15.75" customHeight="1">
      <c r="A89" s="31">
        <v>37</v>
      </c>
      <c r="B89" s="107" t="s">
        <v>190</v>
      </c>
      <c r="C89" s="49" t="s">
        <v>191</v>
      </c>
      <c r="D89" s="45"/>
      <c r="E89" s="13"/>
      <c r="F89" s="13">
        <v>4</v>
      </c>
      <c r="G89" s="13">
        <v>900</v>
      </c>
      <c r="H89" s="105">
        <f t="shared" si="11"/>
        <v>3.6</v>
      </c>
      <c r="I89" s="13">
        <f>G89*4</f>
        <v>3600</v>
      </c>
    </row>
    <row r="90" spans="1:9" s="103" customFormat="1" ht="15.75" customHeight="1">
      <c r="A90" s="31">
        <v>38</v>
      </c>
      <c r="B90" s="107" t="s">
        <v>192</v>
      </c>
      <c r="C90" s="49" t="s">
        <v>158</v>
      </c>
      <c r="D90" s="45"/>
      <c r="E90" s="13"/>
      <c r="F90" s="13">
        <v>3</v>
      </c>
      <c r="G90" s="13">
        <v>1725</v>
      </c>
      <c r="H90" s="105">
        <f t="shared" si="11"/>
        <v>5.1749999999999998</v>
      </c>
      <c r="I90" s="106">
        <f>G90*3</f>
        <v>5175</v>
      </c>
    </row>
    <row r="91" spans="1:9" ht="15.75" customHeight="1">
      <c r="A91" s="31"/>
      <c r="B91" s="43" t="s">
        <v>52</v>
      </c>
      <c r="C91" s="39"/>
      <c r="D91" s="46"/>
      <c r="E91" s="39">
        <v>1</v>
      </c>
      <c r="F91" s="39"/>
      <c r="G91" s="39"/>
      <c r="H91" s="39"/>
      <c r="I91" s="33">
        <f>SUM(I87:I90)</f>
        <v>10359.77</v>
      </c>
    </row>
    <row r="92" spans="1:9" ht="15.75" customHeight="1">
      <c r="A92" s="31"/>
      <c r="B92" s="45" t="s">
        <v>79</v>
      </c>
      <c r="C92" s="15"/>
      <c r="D92" s="15"/>
      <c r="E92" s="40"/>
      <c r="F92" s="40"/>
      <c r="G92" s="41"/>
      <c r="H92" s="41"/>
      <c r="I92" s="18">
        <v>0</v>
      </c>
    </row>
    <row r="93" spans="1:9">
      <c r="A93" s="47"/>
      <c r="B93" s="44" t="s">
        <v>177</v>
      </c>
      <c r="C93" s="34"/>
      <c r="D93" s="34"/>
      <c r="E93" s="34"/>
      <c r="F93" s="34"/>
      <c r="G93" s="34"/>
      <c r="H93" s="34"/>
      <c r="I93" s="42">
        <f>I85+I91</f>
        <v>94020.613915111127</v>
      </c>
    </row>
    <row r="94" spans="1:9" ht="15.75">
      <c r="A94" s="137" t="s">
        <v>193</v>
      </c>
      <c r="B94" s="137"/>
      <c r="C94" s="137"/>
      <c r="D94" s="137"/>
      <c r="E94" s="137"/>
      <c r="F94" s="137"/>
      <c r="G94" s="137"/>
      <c r="H94" s="137"/>
      <c r="I94" s="137"/>
    </row>
    <row r="95" spans="1:9" ht="15.75" customHeight="1">
      <c r="A95" s="57"/>
      <c r="B95" s="138" t="s">
        <v>194</v>
      </c>
      <c r="C95" s="138"/>
      <c r="D95" s="138"/>
      <c r="E95" s="138"/>
      <c r="F95" s="138"/>
      <c r="G95" s="138"/>
      <c r="H95" s="63"/>
      <c r="I95" s="3"/>
    </row>
    <row r="96" spans="1:9">
      <c r="A96" s="94"/>
      <c r="B96" s="133" t="s">
        <v>6</v>
      </c>
      <c r="C96" s="133"/>
      <c r="D96" s="133"/>
      <c r="E96" s="133"/>
      <c r="F96" s="133"/>
      <c r="G96" s="133"/>
      <c r="H96" s="26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9" t="s">
        <v>7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 customHeight="1">
      <c r="A99" s="139" t="s">
        <v>8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>
      <c r="A100" s="140" t="s">
        <v>62</v>
      </c>
      <c r="B100" s="140"/>
      <c r="C100" s="140"/>
      <c r="D100" s="140"/>
      <c r="E100" s="140"/>
      <c r="F100" s="140"/>
      <c r="G100" s="140"/>
      <c r="H100" s="140"/>
      <c r="I100" s="140"/>
    </row>
    <row r="101" spans="1:9" ht="15.75">
      <c r="A101" s="11"/>
    </row>
    <row r="102" spans="1:9" ht="15.75">
      <c r="A102" s="131" t="s">
        <v>9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>
      <c r="A103" s="4"/>
    </row>
    <row r="104" spans="1:9" ht="15.75">
      <c r="B104" s="91" t="s">
        <v>10</v>
      </c>
      <c r="C104" s="132" t="s">
        <v>148</v>
      </c>
      <c r="D104" s="132"/>
      <c r="E104" s="132"/>
      <c r="F104" s="61"/>
      <c r="I104" s="93"/>
    </row>
    <row r="105" spans="1:9">
      <c r="A105" s="94"/>
      <c r="C105" s="133" t="s">
        <v>11</v>
      </c>
      <c r="D105" s="133"/>
      <c r="E105" s="133"/>
      <c r="F105" s="26"/>
      <c r="I105" s="92" t="s">
        <v>12</v>
      </c>
    </row>
    <row r="106" spans="1:9" ht="15.75">
      <c r="A106" s="27"/>
      <c r="C106" s="12"/>
      <c r="D106" s="12"/>
      <c r="G106" s="12"/>
      <c r="H106" s="12"/>
    </row>
    <row r="107" spans="1:9" ht="15.75" customHeight="1">
      <c r="B107" s="91" t="s">
        <v>13</v>
      </c>
      <c r="C107" s="134"/>
      <c r="D107" s="134"/>
      <c r="E107" s="134"/>
      <c r="F107" s="62"/>
      <c r="I107" s="93"/>
    </row>
    <row r="108" spans="1:9" ht="15.75" customHeight="1">
      <c r="A108" s="94"/>
      <c r="C108" s="135" t="s">
        <v>11</v>
      </c>
      <c r="D108" s="135"/>
      <c r="E108" s="135"/>
      <c r="F108" s="94"/>
      <c r="I108" s="92" t="s">
        <v>12</v>
      </c>
    </row>
    <row r="109" spans="1:9" ht="15.75" customHeight="1">
      <c r="A109" s="4" t="s">
        <v>14</v>
      </c>
    </row>
    <row r="110" spans="1:9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27" t="s">
        <v>16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17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21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15" customHeight="1">
      <c r="A114" s="127" t="s">
        <v>20</v>
      </c>
      <c r="B114" s="127"/>
      <c r="C114" s="127"/>
      <c r="D114" s="127"/>
      <c r="E114" s="127"/>
      <c r="F114" s="127"/>
      <c r="G114" s="127"/>
      <c r="H114" s="127"/>
      <c r="I114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165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195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42916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>
        <v>4</v>
      </c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f>F19/2*G19</f>
        <v>228.67920000000004</v>
      </c>
      <c r="J19" s="24"/>
      <c r="K19" s="8"/>
      <c r="L19" s="8"/>
      <c r="M19" s="8"/>
    </row>
    <row r="20" spans="1:13" ht="15.75" hidden="1" customHeight="1">
      <c r="A20" s="31">
        <v>5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6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>
        <v>7</v>
      </c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f>F22*G22</f>
        <v>738.18215999999995</v>
      </c>
      <c r="J22" s="24"/>
      <c r="K22" s="8"/>
      <c r="L22" s="8"/>
      <c r="M22" s="8"/>
    </row>
    <row r="23" spans="1:13" ht="15.75" hidden="1" customHeight="1">
      <c r="A23" s="31">
        <v>8</v>
      </c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f t="shared" ref="I23:I26" si="1">F23*G23</f>
        <v>9.7196400000000001</v>
      </c>
      <c r="J23" s="24"/>
      <c r="K23" s="8"/>
      <c r="L23" s="8"/>
      <c r="M23" s="8"/>
    </row>
    <row r="24" spans="1:13" ht="15.75" hidden="1" customHeight="1">
      <c r="A24" s="31">
        <v>9</v>
      </c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f t="shared" si="1"/>
        <v>34.915680000000002</v>
      </c>
      <c r="J24" s="24"/>
      <c r="K24" s="8"/>
      <c r="L24" s="8"/>
      <c r="M24" s="8"/>
    </row>
    <row r="25" spans="1:13" ht="15.75" hidden="1" customHeight="1">
      <c r="A25" s="31">
        <v>10</v>
      </c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f t="shared" si="1"/>
        <v>25.412939999999999</v>
      </c>
      <c r="J25" s="24"/>
      <c r="K25" s="8"/>
      <c r="L25" s="8"/>
      <c r="M25" s="8"/>
    </row>
    <row r="26" spans="1:13" ht="15.75" hidden="1" customHeight="1">
      <c r="A26" s="31">
        <v>11</v>
      </c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f t="shared" si="1"/>
        <v>73.877400000000009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2">SUM(F31*G31/1000)</f>
        <v>0.62031605999999995</v>
      </c>
      <c r="I31" s="13">
        <f t="shared" ref="I31:I32" si="3">F31/6*G31</f>
        <v>103.38601</v>
      </c>
      <c r="J31" s="24"/>
      <c r="K31" s="8"/>
      <c r="L31" s="8"/>
      <c r="M31" s="8"/>
    </row>
    <row r="32" spans="1:13" ht="31.5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2"/>
        <v>0.88609918799999987</v>
      </c>
      <c r="I32" s="13">
        <f t="shared" si="3"/>
        <v>147.68319799999998</v>
      </c>
      <c r="J32" s="24"/>
      <c r="K32" s="8"/>
      <c r="L32" s="8"/>
      <c r="M32" s="8"/>
    </row>
    <row r="33" spans="1:14" ht="15.75" hidden="1" customHeight="1">
      <c r="A33" s="31">
        <v>16</v>
      </c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2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2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2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2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4">SUM(F38*G38/1000)</f>
        <v>5.7011099999999999</v>
      </c>
      <c r="I38" s="13">
        <f t="shared" ref="I38:I43" si="5">F38/6*G38</f>
        <v>950.18499999999995</v>
      </c>
      <c r="J38" s="25"/>
      <c r="L38" s="20"/>
      <c r="M38" s="21"/>
      <c r="N38" s="22"/>
    </row>
    <row r="39" spans="1:14" ht="31.5" hidden="1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4"/>
        <v>2.77086291</v>
      </c>
      <c r="I39" s="13">
        <f t="shared" si="5"/>
        <v>461.81048499999991</v>
      </c>
      <c r="J39" s="25"/>
      <c r="L39" s="20"/>
      <c r="M39" s="21"/>
      <c r="N39" s="22"/>
    </row>
    <row r="40" spans="1:14" ht="15.75" hidden="1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4"/>
        <v>2.3880361749999999</v>
      </c>
      <c r="I40" s="13">
        <f t="shared" si="5"/>
        <v>398.00602916666662</v>
      </c>
      <c r="J40" s="25"/>
      <c r="L40" s="20"/>
      <c r="M40" s="21"/>
      <c r="N40" s="22"/>
    </row>
    <row r="41" spans="1:14" ht="47.25" hidden="1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4"/>
        <v>6.1178091119999998</v>
      </c>
      <c r="I41" s="13">
        <f t="shared" si="5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4"/>
        <v>0.84738532499999997</v>
      </c>
      <c r="I42" s="13">
        <f t="shared" si="5"/>
        <v>141.23088749999999</v>
      </c>
      <c r="J42" s="25"/>
      <c r="L42" s="20"/>
      <c r="M42" s="21"/>
      <c r="N42" s="22"/>
    </row>
    <row r="43" spans="1:14" ht="15.75" hidden="1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4"/>
        <v>0.29789100000000002</v>
      </c>
      <c r="I43" s="13">
        <f t="shared" si="5"/>
        <v>49.648499999999999</v>
      </c>
      <c r="J43" s="25"/>
      <c r="L43" s="20"/>
      <c r="M43" s="21"/>
      <c r="N43" s="22"/>
    </row>
    <row r="44" spans="1:14" ht="15.75" hidden="1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18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19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20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hidden="1" customHeight="1">
      <c r="A48" s="31">
        <v>21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hidden="1" customHeight="1">
      <c r="A49" s="31">
        <v>22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hidden="1" customHeight="1">
      <c r="A50" s="31">
        <v>23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hidden="1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hidden="1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hidden="1" customHeight="1">
      <c r="A54" s="31">
        <v>24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161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hidden="1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>
        <v>15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9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16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>
        <v>26</v>
      </c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f>F65*G65</f>
        <v>16649.849300000002</v>
      </c>
    </row>
    <row r="66" spans="1:9" ht="15.75" hidden="1" customHeight="1">
      <c r="A66" s="31">
        <v>27</v>
      </c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f t="shared" ref="I66:I69" si="9">F66*G66</f>
        <v>1296.52999</v>
      </c>
    </row>
    <row r="67" spans="1:9" ht="15.75" hidden="1" customHeight="1">
      <c r="A67" s="31">
        <v>28</v>
      </c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f t="shared" si="9"/>
        <v>25892.745900000002</v>
      </c>
    </row>
    <row r="68" spans="1:9" ht="15.75" hidden="1" customHeight="1">
      <c r="A68" s="31">
        <v>29</v>
      </c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f t="shared" si="9"/>
        <v>315.14999999999998</v>
      </c>
    </row>
    <row r="69" spans="1:9" ht="15.75" hidden="1" customHeight="1">
      <c r="A69" s="31">
        <v>30</v>
      </c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f t="shared" si="9"/>
        <v>292.18200000000002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10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10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10"/>
        <v>0.65</v>
      </c>
      <c r="I74" s="13">
        <v>0</v>
      </c>
    </row>
    <row r="75" spans="1:9" ht="15.75" customHeight="1">
      <c r="A75" s="31">
        <v>11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f>G75*0.3</f>
        <v>187.25099999999998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12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162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13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14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I16+I17+I18+I27+I28+I31+I32+I34+I61+I71+I75+I77+I83+I84</f>
        <v>27261.569829111115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15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88" si="11">G87*F87/1000</f>
        <v>12.50028</v>
      </c>
      <c r="I87" s="13">
        <f>G87*26</f>
        <v>1388.92</v>
      </c>
    </row>
    <row r="88" spans="1:9" s="103" customFormat="1" ht="31.5" customHeight="1">
      <c r="A88" s="31">
        <v>16</v>
      </c>
      <c r="B88" s="48" t="s">
        <v>196</v>
      </c>
      <c r="C88" s="49" t="s">
        <v>147</v>
      </c>
      <c r="D88" s="45"/>
      <c r="E88" s="13"/>
      <c r="F88" s="13">
        <v>4</v>
      </c>
      <c r="G88" s="13">
        <v>255.28</v>
      </c>
      <c r="H88" s="64">
        <f t="shared" si="11"/>
        <v>1.02112</v>
      </c>
      <c r="I88" s="13">
        <f>G88*4</f>
        <v>1021.12</v>
      </c>
    </row>
    <row r="89" spans="1:9" s="103" customFormat="1" ht="31.5" customHeight="1">
      <c r="A89" s="31">
        <v>17</v>
      </c>
      <c r="B89" s="48" t="s">
        <v>197</v>
      </c>
      <c r="C89" s="49" t="s">
        <v>198</v>
      </c>
      <c r="D89" s="45"/>
      <c r="E89" s="13"/>
      <c r="F89" s="13">
        <f>1.54/10</f>
        <v>0.154</v>
      </c>
      <c r="G89" s="13">
        <v>5945.91</v>
      </c>
      <c r="H89" s="64">
        <f>G89*F89/1000</f>
        <v>0.91567013999999991</v>
      </c>
      <c r="I89" s="13">
        <f>G89*(1.54/10)</f>
        <v>915.67013999999995</v>
      </c>
    </row>
    <row r="90" spans="1:9" s="103" customFormat="1" ht="15.75" customHeight="1">
      <c r="A90" s="31">
        <v>18</v>
      </c>
      <c r="B90" s="48" t="s">
        <v>228</v>
      </c>
      <c r="C90" s="49" t="s">
        <v>33</v>
      </c>
      <c r="D90" s="126"/>
      <c r="E90" s="18"/>
      <c r="F90" s="35">
        <f>(30.83+48.19+2.31)-(3.29*6)</f>
        <v>61.589999999999996</v>
      </c>
      <c r="G90" s="35">
        <v>42.61</v>
      </c>
      <c r="H90" s="35">
        <f t="shared" ref="H90" si="12">G90*F90/1000</f>
        <v>2.6243498999999999</v>
      </c>
      <c r="I90" s="13">
        <f>G90*F90</f>
        <v>2624.3498999999997</v>
      </c>
    </row>
    <row r="91" spans="1:9" ht="15.75" customHeight="1">
      <c r="A91" s="31"/>
      <c r="B91" s="43" t="s">
        <v>52</v>
      </c>
      <c r="C91" s="39"/>
      <c r="D91" s="46"/>
      <c r="E91" s="39">
        <v>1</v>
      </c>
      <c r="F91" s="39"/>
      <c r="G91" s="39"/>
      <c r="H91" s="39"/>
      <c r="I91" s="33">
        <f>SUM(I87:I90)</f>
        <v>5950.0600400000003</v>
      </c>
    </row>
    <row r="92" spans="1:9" ht="15.75" customHeight="1">
      <c r="A92" s="31"/>
      <c r="B92" s="45" t="s">
        <v>79</v>
      </c>
      <c r="C92" s="15"/>
      <c r="D92" s="15"/>
      <c r="E92" s="40"/>
      <c r="F92" s="40"/>
      <c r="G92" s="41"/>
      <c r="H92" s="41"/>
      <c r="I92" s="18">
        <v>0</v>
      </c>
    </row>
    <row r="93" spans="1:9">
      <c r="A93" s="47"/>
      <c r="B93" s="44" t="s">
        <v>177</v>
      </c>
      <c r="C93" s="34"/>
      <c r="D93" s="34"/>
      <c r="E93" s="34"/>
      <c r="F93" s="34"/>
      <c r="G93" s="34"/>
      <c r="H93" s="34"/>
      <c r="I93" s="42">
        <f>I85+I91</f>
        <v>33211.629869111115</v>
      </c>
    </row>
    <row r="94" spans="1:9" ht="15.75">
      <c r="A94" s="137" t="s">
        <v>229</v>
      </c>
      <c r="B94" s="137"/>
      <c r="C94" s="137"/>
      <c r="D94" s="137"/>
      <c r="E94" s="137"/>
      <c r="F94" s="137"/>
      <c r="G94" s="137"/>
      <c r="H94" s="137"/>
      <c r="I94" s="137"/>
    </row>
    <row r="95" spans="1:9" ht="15.75" customHeight="1">
      <c r="A95" s="57"/>
      <c r="B95" s="138" t="s">
        <v>230</v>
      </c>
      <c r="C95" s="138"/>
      <c r="D95" s="138"/>
      <c r="E95" s="138"/>
      <c r="F95" s="138"/>
      <c r="G95" s="138"/>
      <c r="H95" s="63"/>
      <c r="I95" s="3"/>
    </row>
    <row r="96" spans="1:9">
      <c r="A96" s="94"/>
      <c r="B96" s="133" t="s">
        <v>6</v>
      </c>
      <c r="C96" s="133"/>
      <c r="D96" s="133"/>
      <c r="E96" s="133"/>
      <c r="F96" s="133"/>
      <c r="G96" s="133"/>
      <c r="H96" s="26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9" t="s">
        <v>7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 customHeight="1">
      <c r="A99" s="139" t="s">
        <v>8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>
      <c r="A100" s="140" t="s">
        <v>62</v>
      </c>
      <c r="B100" s="140"/>
      <c r="C100" s="140"/>
      <c r="D100" s="140"/>
      <c r="E100" s="140"/>
      <c r="F100" s="140"/>
      <c r="G100" s="140"/>
      <c r="H100" s="140"/>
      <c r="I100" s="140"/>
    </row>
    <row r="101" spans="1:9" ht="15.75">
      <c r="A101" s="11"/>
    </row>
    <row r="102" spans="1:9" ht="15.75">
      <c r="A102" s="131" t="s">
        <v>9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>
      <c r="A103" s="4"/>
    </row>
    <row r="104" spans="1:9" ht="15.75">
      <c r="B104" s="91" t="s">
        <v>10</v>
      </c>
      <c r="C104" s="132" t="s">
        <v>148</v>
      </c>
      <c r="D104" s="132"/>
      <c r="E104" s="132"/>
      <c r="F104" s="61"/>
      <c r="I104" s="93"/>
    </row>
    <row r="105" spans="1:9">
      <c r="A105" s="94"/>
      <c r="C105" s="133" t="s">
        <v>11</v>
      </c>
      <c r="D105" s="133"/>
      <c r="E105" s="133"/>
      <c r="F105" s="26"/>
      <c r="I105" s="92" t="s">
        <v>12</v>
      </c>
    </row>
    <row r="106" spans="1:9" ht="15.75">
      <c r="A106" s="27"/>
      <c r="C106" s="12"/>
      <c r="D106" s="12"/>
      <c r="G106" s="12"/>
      <c r="H106" s="12"/>
    </row>
    <row r="107" spans="1:9" ht="15.75" customHeight="1">
      <c r="B107" s="91" t="s">
        <v>13</v>
      </c>
      <c r="C107" s="134"/>
      <c r="D107" s="134"/>
      <c r="E107" s="134"/>
      <c r="F107" s="62"/>
      <c r="I107" s="93"/>
    </row>
    <row r="108" spans="1:9" ht="15.75" customHeight="1">
      <c r="A108" s="94"/>
      <c r="C108" s="135" t="s">
        <v>11</v>
      </c>
      <c r="D108" s="135"/>
      <c r="E108" s="135"/>
      <c r="F108" s="94"/>
      <c r="I108" s="92" t="s">
        <v>12</v>
      </c>
    </row>
    <row r="109" spans="1:9" ht="15.75" customHeight="1">
      <c r="A109" s="4" t="s">
        <v>14</v>
      </c>
    </row>
    <row r="110" spans="1:9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27" t="s">
        <v>16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17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30" customHeight="1">
      <c r="A113" s="127" t="s">
        <v>21</v>
      </c>
      <c r="B113" s="127"/>
      <c r="C113" s="127"/>
      <c r="D113" s="127"/>
      <c r="E113" s="127"/>
      <c r="F113" s="127"/>
      <c r="G113" s="127"/>
      <c r="H113" s="127"/>
      <c r="I113" s="127"/>
    </row>
    <row r="114" spans="1:9" ht="15" customHeight="1">
      <c r="A114" s="127" t="s">
        <v>20</v>
      </c>
      <c r="B114" s="127"/>
      <c r="C114" s="127"/>
      <c r="D114" s="127"/>
      <c r="E114" s="127"/>
      <c r="F114" s="127"/>
      <c r="G114" s="127"/>
      <c r="H114" s="127"/>
      <c r="I114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166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199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7">
        <v>42947</v>
      </c>
      <c r="J6" s="2"/>
      <c r="K6" s="2"/>
      <c r="L6" s="2"/>
      <c r="M6" s="2"/>
    </row>
    <row r="7" spans="1:13" ht="15.75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>
        <v>4</v>
      </c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f>F19/2*G19</f>
        <v>228.67920000000004</v>
      </c>
      <c r="J19" s="24"/>
      <c r="K19" s="8"/>
      <c r="L19" s="8"/>
      <c r="M19" s="8"/>
    </row>
    <row r="20" spans="1:13" ht="15.75" hidden="1" customHeight="1">
      <c r="A20" s="31">
        <v>5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6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>
        <v>7</v>
      </c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f>F22*G22</f>
        <v>738.18215999999995</v>
      </c>
      <c r="J22" s="24"/>
      <c r="K22" s="8"/>
      <c r="L22" s="8"/>
      <c r="M22" s="8"/>
    </row>
    <row r="23" spans="1:13" ht="15.75" hidden="1" customHeight="1">
      <c r="A23" s="31">
        <v>8</v>
      </c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f t="shared" ref="I23:I26" si="1">F23*G23</f>
        <v>9.7196400000000001</v>
      </c>
      <c r="J23" s="24"/>
      <c r="K23" s="8"/>
      <c r="L23" s="8"/>
      <c r="M23" s="8"/>
    </row>
    <row r="24" spans="1:13" ht="15.75" hidden="1" customHeight="1">
      <c r="A24" s="31">
        <v>9</v>
      </c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f t="shared" si="1"/>
        <v>34.915680000000002</v>
      </c>
      <c r="J24" s="24"/>
      <c r="K24" s="8"/>
      <c r="L24" s="8"/>
      <c r="M24" s="8"/>
    </row>
    <row r="25" spans="1:13" ht="15.75" hidden="1" customHeight="1">
      <c r="A25" s="31">
        <v>10</v>
      </c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f t="shared" si="1"/>
        <v>25.412939999999999</v>
      </c>
      <c r="J25" s="24"/>
      <c r="K25" s="8"/>
      <c r="L25" s="8"/>
      <c r="M25" s="8"/>
    </row>
    <row r="26" spans="1:13" ht="15.75" hidden="1" customHeight="1">
      <c r="A26" s="31">
        <v>11</v>
      </c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f t="shared" si="1"/>
        <v>73.877400000000009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2">SUM(F31*G31/1000)</f>
        <v>0.62031605999999995</v>
      </c>
      <c r="I31" s="13">
        <f t="shared" ref="I31:I32" si="3">F31/6*G31</f>
        <v>103.38601</v>
      </c>
      <c r="J31" s="24"/>
      <c r="K31" s="8"/>
      <c r="L31" s="8"/>
      <c r="M31" s="8"/>
    </row>
    <row r="32" spans="1:13" ht="31.5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2"/>
        <v>0.88609918799999987</v>
      </c>
      <c r="I32" s="13">
        <f t="shared" si="3"/>
        <v>147.68319799999998</v>
      </c>
      <c r="J32" s="24"/>
      <c r="K32" s="8"/>
      <c r="L32" s="8"/>
      <c r="M32" s="8"/>
    </row>
    <row r="33" spans="1:14" ht="15.75" hidden="1" customHeight="1">
      <c r="A33" s="31">
        <v>16</v>
      </c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2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2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2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2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4">SUM(F38*G38/1000)</f>
        <v>5.7011099999999999</v>
      </c>
      <c r="I38" s="13">
        <f t="shared" ref="I38:I43" si="5">F38/6*G38</f>
        <v>950.18499999999995</v>
      </c>
      <c r="J38" s="25"/>
      <c r="L38" s="20"/>
      <c r="M38" s="21"/>
      <c r="N38" s="22"/>
    </row>
    <row r="39" spans="1:14" ht="31.5" hidden="1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4"/>
        <v>2.77086291</v>
      </c>
      <c r="I39" s="13">
        <f t="shared" si="5"/>
        <v>461.81048499999991</v>
      </c>
      <c r="J39" s="25"/>
      <c r="L39" s="20"/>
      <c r="M39" s="21"/>
      <c r="N39" s="22"/>
    </row>
    <row r="40" spans="1:14" ht="15.75" hidden="1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4"/>
        <v>2.3880361749999999</v>
      </c>
      <c r="I40" s="13">
        <f t="shared" si="5"/>
        <v>398.00602916666662</v>
      </c>
      <c r="J40" s="25"/>
      <c r="L40" s="20"/>
      <c r="M40" s="21"/>
      <c r="N40" s="22"/>
    </row>
    <row r="41" spans="1:14" ht="47.25" hidden="1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4"/>
        <v>6.1178091119999998</v>
      </c>
      <c r="I41" s="13">
        <f t="shared" si="5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4"/>
        <v>0.84738532499999997</v>
      </c>
      <c r="I42" s="13">
        <f t="shared" si="5"/>
        <v>141.23088749999999</v>
      </c>
      <c r="J42" s="25"/>
      <c r="L42" s="20"/>
      <c r="M42" s="21"/>
      <c r="N42" s="22"/>
    </row>
    <row r="43" spans="1:14" ht="15.75" hidden="1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4"/>
        <v>0.29789100000000002</v>
      </c>
      <c r="I43" s="13">
        <f t="shared" si="5"/>
        <v>49.648499999999999</v>
      </c>
      <c r="J43" s="25"/>
      <c r="L43" s="20"/>
      <c r="M43" s="21"/>
      <c r="N43" s="22"/>
    </row>
    <row r="44" spans="1:14" ht="15.75" hidden="1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18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19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20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hidden="1" customHeight="1">
      <c r="A48" s="31">
        <v>21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hidden="1" customHeight="1">
      <c r="A49" s="31">
        <v>22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hidden="1" customHeight="1">
      <c r="A50" s="31">
        <v>23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hidden="1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hidden="1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hidden="1" customHeight="1">
      <c r="A54" s="31">
        <v>24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161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hidden="1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>
        <v>15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9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1">
        <v>10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G63*4</f>
        <v>1106.96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>
        <v>26</v>
      </c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f>F65*G65</f>
        <v>16649.849300000002</v>
      </c>
    </row>
    <row r="66" spans="1:9" ht="15.75" hidden="1" customHeight="1">
      <c r="A66" s="31">
        <v>27</v>
      </c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f t="shared" ref="I66:I69" si="9">F66*G66</f>
        <v>1296.52999</v>
      </c>
    </row>
    <row r="67" spans="1:9" ht="15.75" hidden="1" customHeight="1">
      <c r="A67" s="31">
        <v>28</v>
      </c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f t="shared" si="9"/>
        <v>25892.745900000002</v>
      </c>
    </row>
    <row r="68" spans="1:9" ht="15.75" hidden="1" customHeight="1">
      <c r="A68" s="31">
        <v>29</v>
      </c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f t="shared" si="9"/>
        <v>315.14999999999998</v>
      </c>
    </row>
    <row r="69" spans="1:9" ht="15.75" hidden="1" customHeight="1">
      <c r="A69" s="31">
        <v>30</v>
      </c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f t="shared" si="9"/>
        <v>292.18200000000002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11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6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10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10"/>
        <v>0.65</v>
      </c>
      <c r="I74" s="13">
        <v>0</v>
      </c>
    </row>
    <row r="75" spans="1:9" ht="15.75" hidden="1" customHeight="1">
      <c r="A75" s="31">
        <v>11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f>G75*0.3</f>
        <v>187.25099999999998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12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162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13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14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I16+I17+I18+I27+I28+I31+I32+I34+I61+I63+I71+I77+I83+I84</f>
        <v>28181.278829111114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15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:H88" si="11">G87*F87/1000</f>
        <v>12.50028</v>
      </c>
      <c r="I87" s="13">
        <f>G87*26</f>
        <v>1388.92</v>
      </c>
    </row>
    <row r="88" spans="1:9" s="103" customFormat="1" ht="31.5" customHeight="1">
      <c r="A88" s="31">
        <v>16</v>
      </c>
      <c r="B88" s="48" t="s">
        <v>146</v>
      </c>
      <c r="C88" s="49" t="s">
        <v>147</v>
      </c>
      <c r="D88" s="45"/>
      <c r="E88" s="35"/>
      <c r="F88" s="35">
        <v>4</v>
      </c>
      <c r="G88" s="36">
        <v>589.84</v>
      </c>
      <c r="H88" s="105">
        <f t="shared" si="11"/>
        <v>2.3593600000000001</v>
      </c>
      <c r="I88" s="13">
        <f>G88*2</f>
        <v>1179.68</v>
      </c>
    </row>
    <row r="89" spans="1:9" s="103" customFormat="1" ht="31.5" customHeight="1">
      <c r="A89" s="31">
        <v>17</v>
      </c>
      <c r="B89" s="48" t="s">
        <v>200</v>
      </c>
      <c r="C89" s="114" t="s">
        <v>201</v>
      </c>
      <c r="D89" s="104"/>
      <c r="E89" s="35"/>
      <c r="F89" s="35">
        <f>5/10</f>
        <v>0.5</v>
      </c>
      <c r="G89" s="35">
        <v>3577.04</v>
      </c>
      <c r="H89" s="105">
        <f>G89*F89/1000</f>
        <v>1.7885199999999999</v>
      </c>
      <c r="I89" s="13">
        <f>G89*(5/10)</f>
        <v>1788.52</v>
      </c>
    </row>
    <row r="90" spans="1:9" ht="15.75" customHeight="1">
      <c r="A90" s="31"/>
      <c r="B90" s="43" t="s">
        <v>52</v>
      </c>
      <c r="C90" s="39"/>
      <c r="D90" s="46"/>
      <c r="E90" s="39">
        <v>1</v>
      </c>
      <c r="F90" s="39"/>
      <c r="G90" s="39"/>
      <c r="H90" s="39"/>
      <c r="I90" s="33">
        <f>SUM(I87:I89)</f>
        <v>4357.1200000000008</v>
      </c>
    </row>
    <row r="91" spans="1:9" ht="15.75" customHeight="1">
      <c r="A91" s="31"/>
      <c r="B91" s="45" t="s">
        <v>79</v>
      </c>
      <c r="C91" s="15"/>
      <c r="D91" s="15"/>
      <c r="E91" s="40"/>
      <c r="F91" s="40"/>
      <c r="G91" s="41"/>
      <c r="H91" s="41"/>
      <c r="I91" s="18">
        <v>0</v>
      </c>
    </row>
    <row r="92" spans="1:9">
      <c r="A92" s="47"/>
      <c r="B92" s="44" t="s">
        <v>177</v>
      </c>
      <c r="C92" s="34"/>
      <c r="D92" s="34"/>
      <c r="E92" s="34"/>
      <c r="F92" s="34"/>
      <c r="G92" s="34"/>
      <c r="H92" s="34"/>
      <c r="I92" s="42">
        <f>I85+I90</f>
        <v>32538.398829111116</v>
      </c>
    </row>
    <row r="93" spans="1:9" ht="15.75">
      <c r="A93" s="137" t="s">
        <v>202</v>
      </c>
      <c r="B93" s="137"/>
      <c r="C93" s="137"/>
      <c r="D93" s="137"/>
      <c r="E93" s="137"/>
      <c r="F93" s="137"/>
      <c r="G93" s="137"/>
      <c r="H93" s="137"/>
      <c r="I93" s="137"/>
    </row>
    <row r="94" spans="1:9" ht="15.75" customHeight="1">
      <c r="A94" s="57"/>
      <c r="B94" s="138" t="s">
        <v>203</v>
      </c>
      <c r="C94" s="138"/>
      <c r="D94" s="138"/>
      <c r="E94" s="138"/>
      <c r="F94" s="138"/>
      <c r="G94" s="138"/>
      <c r="H94" s="63"/>
      <c r="I94" s="3"/>
    </row>
    <row r="95" spans="1:9">
      <c r="A95" s="94"/>
      <c r="B95" s="133" t="s">
        <v>6</v>
      </c>
      <c r="C95" s="133"/>
      <c r="D95" s="133"/>
      <c r="E95" s="133"/>
      <c r="F95" s="133"/>
      <c r="G95" s="133"/>
      <c r="H95" s="26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9" t="s">
        <v>7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 customHeight="1">
      <c r="A98" s="139" t="s">
        <v>8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>
      <c r="A99" s="140" t="s">
        <v>62</v>
      </c>
      <c r="B99" s="140"/>
      <c r="C99" s="140"/>
      <c r="D99" s="140"/>
      <c r="E99" s="140"/>
      <c r="F99" s="140"/>
      <c r="G99" s="140"/>
      <c r="H99" s="140"/>
      <c r="I99" s="140"/>
    </row>
    <row r="100" spans="1:9" ht="15.75">
      <c r="A100" s="11"/>
    </row>
    <row r="101" spans="1:9" ht="15.75">
      <c r="A101" s="131" t="s">
        <v>9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>
      <c r="A102" s="4"/>
    </row>
    <row r="103" spans="1:9" ht="15.75">
      <c r="B103" s="91" t="s">
        <v>10</v>
      </c>
      <c r="C103" s="132" t="s">
        <v>148</v>
      </c>
      <c r="D103" s="132"/>
      <c r="E103" s="132"/>
      <c r="F103" s="61"/>
      <c r="I103" s="93"/>
    </row>
    <row r="104" spans="1:9">
      <c r="A104" s="94"/>
      <c r="C104" s="133" t="s">
        <v>11</v>
      </c>
      <c r="D104" s="133"/>
      <c r="E104" s="133"/>
      <c r="F104" s="26"/>
      <c r="I104" s="92" t="s">
        <v>12</v>
      </c>
    </row>
    <row r="105" spans="1:9" ht="15.75">
      <c r="A105" s="27"/>
      <c r="C105" s="12"/>
      <c r="D105" s="12"/>
      <c r="G105" s="12"/>
      <c r="H105" s="12"/>
    </row>
    <row r="106" spans="1:9" ht="15.75" customHeight="1">
      <c r="B106" s="91" t="s">
        <v>13</v>
      </c>
      <c r="C106" s="134"/>
      <c r="D106" s="134"/>
      <c r="E106" s="134"/>
      <c r="F106" s="62"/>
      <c r="I106" s="93"/>
    </row>
    <row r="107" spans="1:9" ht="15.75" customHeight="1">
      <c r="A107" s="94"/>
      <c r="C107" s="135" t="s">
        <v>11</v>
      </c>
      <c r="D107" s="135"/>
      <c r="E107" s="135"/>
      <c r="F107" s="94"/>
      <c r="I107" s="92" t="s">
        <v>12</v>
      </c>
    </row>
    <row r="108" spans="1:9" ht="15.75" customHeight="1">
      <c r="A108" s="4" t="s">
        <v>14</v>
      </c>
    </row>
    <row r="109" spans="1:9">
      <c r="A109" s="136" t="s">
        <v>15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4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109:I109"/>
    <mergeCell ref="A110:I110"/>
    <mergeCell ref="A111:I111"/>
    <mergeCell ref="A112:I112"/>
    <mergeCell ref="A113:I113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204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205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87">
        <v>42978</v>
      </c>
      <c r="J6" s="2"/>
      <c r="K6" s="2"/>
      <c r="L6" s="2"/>
      <c r="M6" s="2"/>
    </row>
    <row r="7" spans="1:13" ht="15.75">
      <c r="B7" s="100"/>
      <c r="C7" s="100"/>
      <c r="D7" s="10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171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172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>
        <v>4</v>
      </c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f>F19/2*G19</f>
        <v>228.67920000000004</v>
      </c>
      <c r="J19" s="24"/>
      <c r="K19" s="8"/>
      <c r="L19" s="8"/>
      <c r="M19" s="8"/>
    </row>
    <row r="20" spans="1:13" ht="15.75" hidden="1" customHeight="1">
      <c r="A20" s="31">
        <v>5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6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>
        <v>7</v>
      </c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f>F22*G22</f>
        <v>738.18215999999995</v>
      </c>
      <c r="J22" s="24"/>
      <c r="K22" s="8"/>
      <c r="L22" s="8"/>
      <c r="M22" s="8"/>
    </row>
    <row r="23" spans="1:13" ht="15.75" hidden="1" customHeight="1">
      <c r="A23" s="31">
        <v>8</v>
      </c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f t="shared" ref="I23:I26" si="1">F23*G23</f>
        <v>9.7196400000000001</v>
      </c>
      <c r="J23" s="24"/>
      <c r="K23" s="8"/>
      <c r="L23" s="8"/>
      <c r="M23" s="8"/>
    </row>
    <row r="24" spans="1:13" ht="15.75" hidden="1" customHeight="1">
      <c r="A24" s="31">
        <v>9</v>
      </c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f t="shared" si="1"/>
        <v>34.915680000000002</v>
      </c>
      <c r="J24" s="24"/>
      <c r="K24" s="8"/>
      <c r="L24" s="8"/>
      <c r="M24" s="8"/>
    </row>
    <row r="25" spans="1:13" ht="15.75" hidden="1" customHeight="1">
      <c r="A25" s="31">
        <v>10</v>
      </c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f t="shared" si="1"/>
        <v>25.412939999999999</v>
      </c>
      <c r="J25" s="24"/>
      <c r="K25" s="8"/>
      <c r="L25" s="8"/>
      <c r="M25" s="8"/>
    </row>
    <row r="26" spans="1:13" ht="15.75" hidden="1" customHeight="1">
      <c r="A26" s="31">
        <v>11</v>
      </c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f t="shared" si="1"/>
        <v>73.877400000000009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2">SUM(F31*G31/1000)</f>
        <v>0.62031605999999995</v>
      </c>
      <c r="I31" s="13">
        <f t="shared" ref="I31:I32" si="3">F31/6*G31</f>
        <v>103.38601</v>
      </c>
      <c r="J31" s="24"/>
      <c r="K31" s="8"/>
      <c r="L31" s="8"/>
      <c r="M31" s="8"/>
    </row>
    <row r="32" spans="1:13" ht="31.5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2"/>
        <v>0.88609918799999987</v>
      </c>
      <c r="I32" s="13">
        <f t="shared" si="3"/>
        <v>147.68319799999998</v>
      </c>
      <c r="J32" s="24"/>
      <c r="K32" s="8"/>
      <c r="L32" s="8"/>
      <c r="M32" s="8"/>
    </row>
    <row r="33" spans="1:14" ht="15.75" hidden="1" customHeight="1">
      <c r="A33" s="31">
        <v>16</v>
      </c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2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2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2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2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4">SUM(F38*G38/1000)</f>
        <v>5.7011099999999999</v>
      </c>
      <c r="I38" s="13">
        <f t="shared" ref="I38:I43" si="5">F38/6*G38</f>
        <v>950.18499999999995</v>
      </c>
      <c r="J38" s="25"/>
      <c r="L38" s="20"/>
      <c r="M38" s="21"/>
      <c r="N38" s="22"/>
    </row>
    <row r="39" spans="1:14" ht="31.5" hidden="1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4"/>
        <v>2.77086291</v>
      </c>
      <c r="I39" s="13">
        <f t="shared" si="5"/>
        <v>461.81048499999991</v>
      </c>
      <c r="J39" s="25"/>
      <c r="L39" s="20"/>
      <c r="M39" s="21"/>
      <c r="N39" s="22"/>
    </row>
    <row r="40" spans="1:14" ht="15.75" hidden="1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4"/>
        <v>2.3880361749999999</v>
      </c>
      <c r="I40" s="13">
        <f t="shared" si="5"/>
        <v>398.00602916666662</v>
      </c>
      <c r="J40" s="25"/>
      <c r="L40" s="20"/>
      <c r="M40" s="21"/>
      <c r="N40" s="22"/>
    </row>
    <row r="41" spans="1:14" ht="47.25" hidden="1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4"/>
        <v>6.1178091119999998</v>
      </c>
      <c r="I41" s="13">
        <f t="shared" si="5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4"/>
        <v>0.84738532499999997</v>
      </c>
      <c r="I42" s="13">
        <f t="shared" si="5"/>
        <v>141.23088749999999</v>
      </c>
      <c r="J42" s="25"/>
      <c r="L42" s="20"/>
      <c r="M42" s="21"/>
      <c r="N42" s="22"/>
    </row>
    <row r="43" spans="1:14" ht="15.75" hidden="1" customHeight="1">
      <c r="A43" s="31">
        <v>11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4"/>
        <v>0.29789100000000002</v>
      </c>
      <c r="I43" s="13">
        <f t="shared" si="5"/>
        <v>49.648499999999999</v>
      </c>
      <c r="J43" s="25"/>
      <c r="L43" s="20"/>
      <c r="M43" s="21"/>
      <c r="N43" s="22"/>
    </row>
    <row r="44" spans="1:14" ht="15.75" hidden="1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18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6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19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6"/>
        <v>0.22640256000000003</v>
      </c>
      <c r="I46" s="13">
        <f t="shared" ref="I46:I53" si="7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20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6"/>
        <v>2.6422163200000002</v>
      </c>
      <c r="I47" s="13">
        <f t="shared" si="7"/>
        <v>1321.10816</v>
      </c>
      <c r="J47" s="25"/>
      <c r="L47" s="20"/>
      <c r="M47" s="21"/>
      <c r="N47" s="22"/>
    </row>
    <row r="48" spans="1:14" ht="15.75" hidden="1" customHeight="1">
      <c r="A48" s="31">
        <v>21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6"/>
        <v>2.2636659240000001</v>
      </c>
      <c r="I48" s="13">
        <f t="shared" si="7"/>
        <v>1131.832962</v>
      </c>
      <c r="J48" s="25"/>
      <c r="L48" s="20"/>
      <c r="M48" s="21"/>
      <c r="N48" s="22"/>
    </row>
    <row r="49" spans="1:22" ht="15.75" hidden="1" customHeight="1">
      <c r="A49" s="31">
        <v>22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6"/>
        <v>0.11964144400000001</v>
      </c>
      <c r="I49" s="13">
        <f t="shared" si="7"/>
        <v>59.820722000000004</v>
      </c>
      <c r="J49" s="25"/>
      <c r="L49" s="20"/>
      <c r="M49" s="21"/>
      <c r="N49" s="22"/>
    </row>
    <row r="50" spans="1:22" ht="15.75" hidden="1" customHeight="1">
      <c r="A50" s="31">
        <v>23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6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6"/>
        <v>4.6401123680000005</v>
      </c>
      <c r="I51" s="13">
        <f t="shared" si="7"/>
        <v>2320.056184</v>
      </c>
      <c r="J51" s="25"/>
      <c r="L51" s="20"/>
      <c r="M51" s="21"/>
      <c r="N51" s="22"/>
    </row>
    <row r="52" spans="1:22" ht="32.25" hidden="1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6"/>
        <v>0.69307200000000002</v>
      </c>
      <c r="I52" s="13">
        <f t="shared" si="7"/>
        <v>346.536</v>
      </c>
      <c r="J52" s="25"/>
      <c r="L52" s="20"/>
      <c r="M52" s="21"/>
      <c r="N52" s="22"/>
    </row>
    <row r="53" spans="1:22" ht="15.75" hidden="1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6"/>
        <v>0.1406626</v>
      </c>
      <c r="I53" s="13">
        <f t="shared" si="7"/>
        <v>70.331299999999999</v>
      </c>
      <c r="J53" s="25"/>
      <c r="L53" s="20"/>
      <c r="M53" s="21"/>
      <c r="N53" s="22"/>
    </row>
    <row r="54" spans="1:22" ht="15.75" hidden="1" customHeight="1">
      <c r="A54" s="31">
        <v>24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6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161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hidden="1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>
        <v>15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>F57/6*G57</f>
        <v>265.26129999999995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9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1">
        <v>10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G63*2</f>
        <v>553.48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>
        <v>26</v>
      </c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f>F65*G65</f>
        <v>16649.849300000002</v>
      </c>
    </row>
    <row r="66" spans="1:9" ht="15.75" hidden="1" customHeight="1">
      <c r="A66" s="31">
        <v>27</v>
      </c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f t="shared" ref="I66:I69" si="9">F66*G66</f>
        <v>1296.52999</v>
      </c>
    </row>
    <row r="67" spans="1:9" ht="15.75" hidden="1" customHeight="1">
      <c r="A67" s="31">
        <v>28</v>
      </c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f t="shared" si="9"/>
        <v>25892.745900000002</v>
      </c>
    </row>
    <row r="68" spans="1:9" ht="15.75" hidden="1" customHeight="1">
      <c r="A68" s="31">
        <v>29</v>
      </c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f t="shared" si="9"/>
        <v>315.14999999999998</v>
      </c>
    </row>
    <row r="69" spans="1:9" ht="15.75" hidden="1" customHeight="1">
      <c r="A69" s="31">
        <v>30</v>
      </c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f t="shared" si="9"/>
        <v>292.18200000000002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11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99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10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10"/>
        <v>0.65</v>
      </c>
      <c r="I74" s="13">
        <v>0</v>
      </c>
    </row>
    <row r="75" spans="1:9" ht="15.75" hidden="1" customHeight="1">
      <c r="A75" s="31">
        <v>11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f>G75*0.3</f>
        <v>187.25099999999998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12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37">
        <v>6105.8</v>
      </c>
      <c r="H81" s="64">
        <f>G81*F81/1000</f>
        <v>6.1058000000000003</v>
      </c>
      <c r="I81" s="13">
        <v>0</v>
      </c>
    </row>
    <row r="82" spans="1:9" ht="15.75" customHeight="1">
      <c r="A82" s="142" t="s">
        <v>162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13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14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I16+I17+I18+I27+I28+I31+I32+I34+I61+I63+I71+I77+I83+I84</f>
        <v>27627.798829111114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s="103" customFormat="1" ht="15.75" customHeight="1">
      <c r="A87" s="31">
        <v>15</v>
      </c>
      <c r="B87" s="48" t="s">
        <v>139</v>
      </c>
      <c r="C87" s="49" t="s">
        <v>109</v>
      </c>
      <c r="D87" s="45"/>
      <c r="E87" s="13"/>
      <c r="F87" s="13">
        <v>234</v>
      </c>
      <c r="G87" s="13">
        <v>53.42</v>
      </c>
      <c r="H87" s="13">
        <f t="shared" ref="H87" si="11">G87*F87/1000</f>
        <v>12.50028</v>
      </c>
      <c r="I87" s="13">
        <f>G87*26</f>
        <v>1388.92</v>
      </c>
    </row>
    <row r="88" spans="1:9" ht="15.75" customHeight="1">
      <c r="A88" s="31"/>
      <c r="B88" s="43" t="s">
        <v>52</v>
      </c>
      <c r="C88" s="39"/>
      <c r="D88" s="46"/>
      <c r="E88" s="39">
        <v>1</v>
      </c>
      <c r="F88" s="39"/>
      <c r="G88" s="39"/>
      <c r="H88" s="39"/>
      <c r="I88" s="33">
        <f>SUM(I87:I87)</f>
        <v>1388.92</v>
      </c>
    </row>
    <row r="89" spans="1:9" ht="15.75" customHeight="1">
      <c r="A89" s="31"/>
      <c r="B89" s="45" t="s">
        <v>79</v>
      </c>
      <c r="C89" s="15"/>
      <c r="D89" s="15"/>
      <c r="E89" s="40"/>
      <c r="F89" s="40"/>
      <c r="G89" s="41"/>
      <c r="H89" s="41"/>
      <c r="I89" s="18">
        <v>0</v>
      </c>
    </row>
    <row r="90" spans="1:9">
      <c r="A90" s="47"/>
      <c r="B90" s="44" t="s">
        <v>177</v>
      </c>
      <c r="C90" s="34"/>
      <c r="D90" s="34"/>
      <c r="E90" s="34"/>
      <c r="F90" s="34"/>
      <c r="G90" s="34"/>
      <c r="H90" s="34"/>
      <c r="I90" s="42">
        <f>I85+I88</f>
        <v>29016.718829111116</v>
      </c>
    </row>
    <row r="91" spans="1:9" ht="15.75">
      <c r="A91" s="137" t="s">
        <v>206</v>
      </c>
      <c r="B91" s="137"/>
      <c r="C91" s="137"/>
      <c r="D91" s="137"/>
      <c r="E91" s="137"/>
      <c r="F91" s="137"/>
      <c r="G91" s="137"/>
      <c r="H91" s="137"/>
      <c r="I91" s="137"/>
    </row>
    <row r="92" spans="1:9" ht="15.75" customHeight="1">
      <c r="A92" s="57"/>
      <c r="B92" s="138" t="s">
        <v>207</v>
      </c>
      <c r="C92" s="138"/>
      <c r="D92" s="138"/>
      <c r="E92" s="138"/>
      <c r="F92" s="138"/>
      <c r="G92" s="138"/>
      <c r="H92" s="63"/>
      <c r="I92" s="3"/>
    </row>
    <row r="93" spans="1:9">
      <c r="A93" s="97"/>
      <c r="B93" s="133" t="s">
        <v>6</v>
      </c>
      <c r="C93" s="133"/>
      <c r="D93" s="133"/>
      <c r="E93" s="133"/>
      <c r="F93" s="133"/>
      <c r="G93" s="133"/>
      <c r="H93" s="26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39" t="s">
        <v>7</v>
      </c>
      <c r="B95" s="139"/>
      <c r="C95" s="139"/>
      <c r="D95" s="139"/>
      <c r="E95" s="139"/>
      <c r="F95" s="139"/>
      <c r="G95" s="139"/>
      <c r="H95" s="139"/>
      <c r="I95" s="139"/>
    </row>
    <row r="96" spans="1:9" ht="15.75" customHeight="1">
      <c r="A96" s="139" t="s">
        <v>8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>
      <c r="A97" s="140" t="s">
        <v>62</v>
      </c>
      <c r="B97" s="140"/>
      <c r="C97" s="140"/>
      <c r="D97" s="140"/>
      <c r="E97" s="140"/>
      <c r="F97" s="140"/>
      <c r="G97" s="140"/>
      <c r="H97" s="140"/>
      <c r="I97" s="140"/>
    </row>
    <row r="98" spans="1:9" ht="15.75">
      <c r="A98" s="11"/>
    </row>
    <row r="99" spans="1:9" ht="15.75">
      <c r="A99" s="131" t="s">
        <v>9</v>
      </c>
      <c r="B99" s="131"/>
      <c r="C99" s="131"/>
      <c r="D99" s="131"/>
      <c r="E99" s="131"/>
      <c r="F99" s="131"/>
      <c r="G99" s="131"/>
      <c r="H99" s="131"/>
      <c r="I99" s="131"/>
    </row>
    <row r="100" spans="1:9" ht="15.75">
      <c r="A100" s="4"/>
    </row>
    <row r="101" spans="1:9" ht="15.75">
      <c r="B101" s="100" t="s">
        <v>10</v>
      </c>
      <c r="C101" s="132" t="s">
        <v>148</v>
      </c>
      <c r="D101" s="132"/>
      <c r="E101" s="132"/>
      <c r="F101" s="61"/>
      <c r="I101" s="102"/>
    </row>
    <row r="102" spans="1:9">
      <c r="A102" s="97"/>
      <c r="C102" s="133" t="s">
        <v>11</v>
      </c>
      <c r="D102" s="133"/>
      <c r="E102" s="133"/>
      <c r="F102" s="26"/>
      <c r="I102" s="101" t="s">
        <v>12</v>
      </c>
    </row>
    <row r="103" spans="1:9" ht="15.75">
      <c r="A103" s="27"/>
      <c r="C103" s="12"/>
      <c r="D103" s="12"/>
      <c r="G103" s="12"/>
      <c r="H103" s="12"/>
    </row>
    <row r="104" spans="1:9" ht="15.75" customHeight="1">
      <c r="B104" s="100" t="s">
        <v>13</v>
      </c>
      <c r="C104" s="134"/>
      <c r="D104" s="134"/>
      <c r="E104" s="134"/>
      <c r="F104" s="62"/>
      <c r="I104" s="102"/>
    </row>
    <row r="105" spans="1:9" ht="15.75" customHeight="1">
      <c r="A105" s="97"/>
      <c r="C105" s="135" t="s">
        <v>11</v>
      </c>
      <c r="D105" s="135"/>
      <c r="E105" s="135"/>
      <c r="F105" s="97"/>
      <c r="I105" s="101" t="s">
        <v>12</v>
      </c>
    </row>
    <row r="106" spans="1:9" ht="15.75" customHeight="1">
      <c r="A106" s="4" t="s">
        <v>14</v>
      </c>
    </row>
    <row r="107" spans="1:9">
      <c r="A107" s="136" t="s">
        <v>15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45" customHeight="1">
      <c r="A108" s="127" t="s">
        <v>16</v>
      </c>
      <c r="B108" s="127"/>
      <c r="C108" s="127"/>
      <c r="D108" s="127"/>
      <c r="E108" s="127"/>
      <c r="F108" s="127"/>
      <c r="G108" s="127"/>
      <c r="H108" s="127"/>
      <c r="I108" s="127"/>
    </row>
    <row r="109" spans="1:9" ht="30" customHeight="1">
      <c r="A109" s="127" t="s">
        <v>17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30" customHeight="1">
      <c r="A110" s="127" t="s">
        <v>21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5" customHeight="1">
      <c r="A111" s="127" t="s">
        <v>20</v>
      </c>
      <c r="B111" s="127"/>
      <c r="C111" s="127"/>
      <c r="D111" s="127"/>
      <c r="E111" s="127"/>
      <c r="F111" s="127"/>
      <c r="G111" s="127"/>
      <c r="H111" s="127"/>
      <c r="I111" s="127"/>
    </row>
  </sheetData>
  <autoFilter ref="I12:I56"/>
  <mergeCells count="29">
    <mergeCell ref="A107:I107"/>
    <mergeCell ref="A108:I108"/>
    <mergeCell ref="A109:I109"/>
    <mergeCell ref="A110:I110"/>
    <mergeCell ref="A111:I111"/>
    <mergeCell ref="R61:U61"/>
    <mergeCell ref="C105:E105"/>
    <mergeCell ref="A86:I86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2:I82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167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208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87">
        <v>43008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150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151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6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7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84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8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customHeight="1">
      <c r="A32" s="31">
        <v>9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10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/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hidden="1" customHeight="1">
      <c r="A39" s="31"/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hidden="1" customHeight="1">
      <c r="A40" s="31"/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hidden="1" customHeight="1">
      <c r="A41" s="31"/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/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hidden="1" customHeight="1">
      <c r="A43" s="31"/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customHeight="1">
      <c r="A50" s="31">
        <v>16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/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hidden="1" customHeight="1">
      <c r="A52" s="31"/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hidden="1" customHeight="1">
      <c r="A53" s="31"/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customHeight="1">
      <c r="A54" s="31">
        <v>17</v>
      </c>
      <c r="B54" s="65" t="s">
        <v>42</v>
      </c>
      <c r="C54" s="66" t="s">
        <v>109</v>
      </c>
      <c r="D54" s="65" t="s">
        <v>71</v>
      </c>
      <c r="E54" s="67">
        <v>53</v>
      </c>
      <c r="F54" s="68">
        <f>53*3</f>
        <v>159</v>
      </c>
      <c r="G54" s="13">
        <v>81.73</v>
      </c>
      <c r="H54" s="69">
        <f t="shared" si="5"/>
        <v>12.995070000000002</v>
      </c>
      <c r="I54" s="13">
        <f>F54/3*G54</f>
        <v>4331.6900000000005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hidden="1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/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v>0</v>
      </c>
    </row>
    <row r="58" spans="1:22" ht="15.75" hidden="1" customHeight="1">
      <c r="A58" s="31"/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18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1">
        <v>19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7">SUM(F63*G63/1000)</f>
        <v>0.55347999999999997</v>
      </c>
      <c r="I63" s="13">
        <f>G63*2</f>
        <v>553.48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7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7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7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7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7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7"/>
        <v>0.292182</v>
      </c>
      <c r="I69" s="13">
        <v>0</v>
      </c>
    </row>
    <row r="70" spans="1:9" ht="15.75" customHeight="1">
      <c r="A70" s="31">
        <v>20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7"/>
        <v>0.18621000000000001</v>
      </c>
      <c r="I70" s="13">
        <f>F70*G70</f>
        <v>186.21</v>
      </c>
    </row>
    <row r="71" spans="1:9" ht="15.75" customHeight="1">
      <c r="A71" s="31">
        <v>21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7"/>
        <v>39.823488000000012</v>
      </c>
      <c r="I71" s="13">
        <f>F71/12*G71</f>
        <v>3318.6240000000007</v>
      </c>
    </row>
    <row r="72" spans="1:9" ht="15.75" customHeight="1">
      <c r="A72" s="31"/>
      <c r="B72" s="51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8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8"/>
        <v>0.65</v>
      </c>
      <c r="I74" s="13">
        <v>0</v>
      </c>
    </row>
    <row r="75" spans="1:9" ht="15.75" hidden="1" customHeight="1">
      <c r="A75" s="31"/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7"/>
        <v>0.18725099999999997</v>
      </c>
      <c r="I75" s="13">
        <v>0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22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7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/>
      <c r="B81" s="65" t="s">
        <v>117</v>
      </c>
      <c r="C81" s="16"/>
      <c r="D81" s="14"/>
      <c r="E81" s="60"/>
      <c r="F81" s="13">
        <v>1</v>
      </c>
      <c r="G81" s="13">
        <v>5637.8</v>
      </c>
      <c r="H81" s="64">
        <f>G81*F81/1000</f>
        <v>5.6378000000000004</v>
      </c>
      <c r="I81" s="13">
        <v>0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23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24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I16+I17+I18+I20+I21+I27+I28+I31+I32+I34+I45+I46+I47+I48+I49+I50+I54+I61+I63+I70+I71+I77+I83+I84</f>
        <v>38612.155485111114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1">
        <v>25</v>
      </c>
      <c r="B87" s="48" t="s">
        <v>139</v>
      </c>
      <c r="C87" s="49" t="s">
        <v>109</v>
      </c>
      <c r="D87" s="45"/>
      <c r="E87" s="13"/>
      <c r="F87" s="13">
        <v>104</v>
      </c>
      <c r="G87" s="13">
        <v>53.42</v>
      </c>
      <c r="H87" s="13">
        <f t="shared" ref="H87:H88" si="9">G87*F87/1000</f>
        <v>5.5556800000000006</v>
      </c>
      <c r="I87" s="13">
        <f>G87*26</f>
        <v>1388.92</v>
      </c>
    </row>
    <row r="88" spans="1:9" ht="15.75" customHeight="1">
      <c r="A88" s="31">
        <v>26</v>
      </c>
      <c r="B88" s="115" t="s">
        <v>209</v>
      </c>
      <c r="C88" s="31" t="s">
        <v>109</v>
      </c>
      <c r="D88" s="45"/>
      <c r="E88" s="13"/>
      <c r="F88" s="13">
        <v>1</v>
      </c>
      <c r="G88" s="13">
        <v>470</v>
      </c>
      <c r="H88" s="105">
        <f t="shared" si="9"/>
        <v>0.47</v>
      </c>
      <c r="I88" s="13">
        <f>G88</f>
        <v>470</v>
      </c>
    </row>
    <row r="89" spans="1:9" ht="15.75" customHeight="1">
      <c r="A89" s="31"/>
      <c r="B89" s="43" t="s">
        <v>52</v>
      </c>
      <c r="C89" s="39"/>
      <c r="D89" s="46"/>
      <c r="E89" s="39">
        <v>1</v>
      </c>
      <c r="F89" s="39"/>
      <c r="G89" s="39"/>
      <c r="H89" s="39"/>
      <c r="I89" s="33">
        <f>SUM(I87:I88)</f>
        <v>1858.92</v>
      </c>
    </row>
    <row r="90" spans="1:9" ht="15.75" customHeight="1">
      <c r="A90" s="31"/>
      <c r="B90" s="45" t="s">
        <v>79</v>
      </c>
      <c r="C90" s="15"/>
      <c r="D90" s="15"/>
      <c r="E90" s="40"/>
      <c r="F90" s="40"/>
      <c r="G90" s="41"/>
      <c r="H90" s="41"/>
      <c r="I90" s="18">
        <v>0</v>
      </c>
    </row>
    <row r="91" spans="1:9">
      <c r="A91" s="47"/>
      <c r="B91" s="44" t="s">
        <v>177</v>
      </c>
      <c r="C91" s="34"/>
      <c r="D91" s="34"/>
      <c r="E91" s="34"/>
      <c r="F91" s="34"/>
      <c r="G91" s="34"/>
      <c r="H91" s="34"/>
      <c r="I91" s="42">
        <f>I85+I89</f>
        <v>40471.075485111112</v>
      </c>
    </row>
    <row r="92" spans="1:9" ht="15.75">
      <c r="A92" s="137" t="s">
        <v>210</v>
      </c>
      <c r="B92" s="137"/>
      <c r="C92" s="137"/>
      <c r="D92" s="137"/>
      <c r="E92" s="137"/>
      <c r="F92" s="137"/>
      <c r="G92" s="137"/>
      <c r="H92" s="137"/>
      <c r="I92" s="137"/>
    </row>
    <row r="93" spans="1:9" ht="15.75" customHeight="1">
      <c r="A93" s="57"/>
      <c r="B93" s="138" t="s">
        <v>211</v>
      </c>
      <c r="C93" s="138"/>
      <c r="D93" s="138"/>
      <c r="E93" s="138"/>
      <c r="F93" s="138"/>
      <c r="G93" s="138"/>
      <c r="H93" s="63"/>
      <c r="I93" s="3"/>
    </row>
    <row r="94" spans="1:9">
      <c r="A94" s="56"/>
      <c r="B94" s="133" t="s">
        <v>6</v>
      </c>
      <c r="C94" s="133"/>
      <c r="D94" s="133"/>
      <c r="E94" s="133"/>
      <c r="F94" s="133"/>
      <c r="G94" s="133"/>
      <c r="H94" s="26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9" t="s">
        <v>7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39" t="s">
        <v>8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>
      <c r="A98" s="140" t="s">
        <v>62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>
      <c r="A99" s="11"/>
    </row>
    <row r="100" spans="1:9" ht="15.75">
      <c r="A100" s="131" t="s">
        <v>9</v>
      </c>
      <c r="B100" s="131"/>
      <c r="C100" s="131"/>
      <c r="D100" s="131"/>
      <c r="E100" s="131"/>
      <c r="F100" s="131"/>
      <c r="G100" s="131"/>
      <c r="H100" s="131"/>
      <c r="I100" s="131"/>
    </row>
    <row r="101" spans="1:9" ht="15.75">
      <c r="A101" s="4"/>
    </row>
    <row r="102" spans="1:9" ht="15.75">
      <c r="B102" s="53" t="s">
        <v>10</v>
      </c>
      <c r="C102" s="132" t="s">
        <v>148</v>
      </c>
      <c r="D102" s="132"/>
      <c r="E102" s="132"/>
      <c r="F102" s="61"/>
      <c r="I102" s="55"/>
    </row>
    <row r="103" spans="1:9">
      <c r="A103" s="56"/>
      <c r="C103" s="133" t="s">
        <v>11</v>
      </c>
      <c r="D103" s="133"/>
      <c r="E103" s="133"/>
      <c r="F103" s="26"/>
      <c r="I103" s="54" t="s">
        <v>12</v>
      </c>
    </row>
    <row r="104" spans="1:9" ht="15.75">
      <c r="A104" s="27"/>
      <c r="C104" s="12"/>
      <c r="D104" s="12"/>
      <c r="G104" s="12"/>
      <c r="H104" s="12"/>
    </row>
    <row r="105" spans="1:9" ht="15.75" customHeight="1">
      <c r="B105" s="53" t="s">
        <v>13</v>
      </c>
      <c r="C105" s="134"/>
      <c r="D105" s="134"/>
      <c r="E105" s="134"/>
      <c r="F105" s="62"/>
      <c r="I105" s="55"/>
    </row>
    <row r="106" spans="1:9" ht="15.75" customHeight="1">
      <c r="A106" s="56"/>
      <c r="C106" s="135" t="s">
        <v>11</v>
      </c>
      <c r="D106" s="135"/>
      <c r="E106" s="135"/>
      <c r="F106" s="56"/>
      <c r="I106" s="54" t="s">
        <v>12</v>
      </c>
    </row>
    <row r="107" spans="1:9" ht="15.75" customHeight="1">
      <c r="A107" s="4" t="s">
        <v>14</v>
      </c>
    </row>
    <row r="108" spans="1:9">
      <c r="A108" s="136" t="s">
        <v>15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ht="45" customHeight="1">
      <c r="A109" s="127" t="s">
        <v>16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30" customHeight="1">
      <c r="A110" s="127" t="s">
        <v>17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21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15" customHeight="1">
      <c r="A112" s="127" t="s">
        <v>20</v>
      </c>
      <c r="B112" s="127"/>
      <c r="C112" s="127"/>
      <c r="D112" s="127"/>
      <c r="E112" s="127"/>
      <c r="F112" s="127"/>
      <c r="G112" s="127"/>
      <c r="H112" s="127"/>
      <c r="I112" s="127"/>
    </row>
  </sheetData>
  <autoFilter ref="I12:I56"/>
  <mergeCells count="29">
    <mergeCell ref="R61:U61"/>
    <mergeCell ref="A3:I3"/>
    <mergeCell ref="A4:I4"/>
    <mergeCell ref="A5:I5"/>
    <mergeCell ref="A8:I8"/>
    <mergeCell ref="A10:I10"/>
    <mergeCell ref="A14:I14"/>
    <mergeCell ref="A97:I97"/>
    <mergeCell ref="A98:I98"/>
    <mergeCell ref="A15:I15"/>
    <mergeCell ref="A29:I29"/>
    <mergeCell ref="A44:I44"/>
    <mergeCell ref="A86:I86"/>
    <mergeCell ref="A109:I109"/>
    <mergeCell ref="A110:I110"/>
    <mergeCell ref="A111:I111"/>
    <mergeCell ref="A112:I112"/>
    <mergeCell ref="A55:I55"/>
    <mergeCell ref="A82:I82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169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212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52"/>
      <c r="C6" s="52"/>
      <c r="D6" s="52"/>
      <c r="E6" s="52"/>
      <c r="F6" s="52"/>
      <c r="G6" s="52"/>
      <c r="H6" s="52"/>
      <c r="I6" s="87">
        <v>43039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150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151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hidden="1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hidden="1" customHeight="1">
      <c r="A38" s="31"/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hidden="1" customHeight="1">
      <c r="A39" s="31"/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hidden="1" customHeight="1">
      <c r="A40" s="31"/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hidden="1" customHeight="1">
      <c r="A41" s="31"/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/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hidden="1" customHeight="1">
      <c r="A43" s="31"/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hidden="1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hidden="1" customHeight="1">
      <c r="A50" s="31">
        <v>16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/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hidden="1" customHeight="1">
      <c r="A52" s="31"/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hidden="1" customHeight="1">
      <c r="A53" s="31"/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hidden="1" customHeight="1">
      <c r="A54" s="31"/>
      <c r="B54" s="65" t="s">
        <v>42</v>
      </c>
      <c r="C54" s="66" t="s">
        <v>109</v>
      </c>
      <c r="D54" s="65" t="s">
        <v>54</v>
      </c>
      <c r="E54" s="67">
        <v>53</v>
      </c>
      <c r="F54" s="68">
        <v>53</v>
      </c>
      <c r="G54" s="13">
        <v>81.73</v>
      </c>
      <c r="H54" s="69">
        <f t="shared" si="5"/>
        <v>4.3316900000000009</v>
      </c>
      <c r="I54" s="13">
        <f>F54/3*G54</f>
        <v>1443.8966666666668</v>
      </c>
      <c r="J54" s="25"/>
      <c r="L54" s="20"/>
    </row>
    <row r="55" spans="1:22" ht="15.75" customHeight="1">
      <c r="A55" s="142" t="s">
        <v>161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hidden="1" customHeight="1">
      <c r="A57" s="31"/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v>0</v>
      </c>
    </row>
    <row r="58" spans="1:22" ht="15.75" customHeight="1">
      <c r="A58" s="31">
        <v>9</v>
      </c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10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1">
        <v>11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7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7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7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7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7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7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7"/>
        <v>0.18621000000000001</v>
      </c>
      <c r="I70" s="13">
        <f>F70*G70</f>
        <v>186.21</v>
      </c>
    </row>
    <row r="71" spans="1:9" ht="15.75" customHeight="1">
      <c r="A71" s="31">
        <v>12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7"/>
        <v>39.823488000000012</v>
      </c>
      <c r="I71" s="13">
        <f>F71/12*G71</f>
        <v>3318.6240000000007</v>
      </c>
    </row>
    <row r="72" spans="1:9" ht="15.75" customHeight="1">
      <c r="A72" s="31"/>
      <c r="B72" s="51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8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8"/>
        <v>0.65</v>
      </c>
      <c r="I74" s="13">
        <v>0</v>
      </c>
    </row>
    <row r="75" spans="1:9" ht="15.75" customHeight="1">
      <c r="A75" s="31">
        <v>13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7"/>
        <v>0.18725099999999997</v>
      </c>
      <c r="I75" s="13">
        <f>G75*0.1</f>
        <v>62.417000000000002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14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7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>
        <v>13</v>
      </c>
      <c r="B81" s="65" t="s">
        <v>117</v>
      </c>
      <c r="C81" s="16"/>
      <c r="D81" s="14"/>
      <c r="E81" s="60"/>
      <c r="F81" s="13">
        <v>1</v>
      </c>
      <c r="G81" s="13">
        <v>5637.8</v>
      </c>
      <c r="H81" s="64">
        <f>G81*F81/1000</f>
        <v>5.6378000000000004</v>
      </c>
      <c r="I81" s="13">
        <f>G81</f>
        <v>5637.8</v>
      </c>
    </row>
    <row r="82" spans="1:9" ht="15.75" customHeight="1">
      <c r="A82" s="142" t="s">
        <v>162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15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16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I16+I17+I18+I27+I28+I31+I32+I34+I58+I61+I63+I71+I75+I77+I83+I84</f>
        <v>34918.475829111114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1">
        <v>17</v>
      </c>
      <c r="B87" s="48" t="s">
        <v>139</v>
      </c>
      <c r="C87" s="49" t="s">
        <v>109</v>
      </c>
      <c r="D87" s="45"/>
      <c r="E87" s="13"/>
      <c r="F87" s="13">
        <v>104</v>
      </c>
      <c r="G87" s="13">
        <v>53.42</v>
      </c>
      <c r="H87" s="13">
        <f t="shared" ref="H87:H89" si="9">G87*F87/1000</f>
        <v>5.5556800000000006</v>
      </c>
      <c r="I87" s="13">
        <f>G87*26</f>
        <v>1388.92</v>
      </c>
    </row>
    <row r="88" spans="1:9" ht="15.75" customHeight="1">
      <c r="A88" s="31">
        <v>18</v>
      </c>
      <c r="B88" s="48" t="s">
        <v>82</v>
      </c>
      <c r="C88" s="50" t="s">
        <v>109</v>
      </c>
      <c r="D88" s="104"/>
      <c r="E88" s="35"/>
      <c r="F88" s="35">
        <v>5</v>
      </c>
      <c r="G88" s="35">
        <v>189.88</v>
      </c>
      <c r="H88" s="105">
        <f t="shared" si="9"/>
        <v>0.94940000000000002</v>
      </c>
      <c r="I88" s="13">
        <f>G88</f>
        <v>189.88</v>
      </c>
    </row>
    <row r="89" spans="1:9" ht="31.5" customHeight="1">
      <c r="A89" s="31">
        <v>19</v>
      </c>
      <c r="B89" s="48" t="s">
        <v>146</v>
      </c>
      <c r="C89" s="49" t="s">
        <v>147</v>
      </c>
      <c r="D89" s="45"/>
      <c r="E89" s="35"/>
      <c r="F89" s="35">
        <v>6</v>
      </c>
      <c r="G89" s="36">
        <v>589.84</v>
      </c>
      <c r="H89" s="105">
        <f t="shared" si="9"/>
        <v>3.53904</v>
      </c>
      <c r="I89" s="13">
        <f>G89*2</f>
        <v>1179.68</v>
      </c>
    </row>
    <row r="90" spans="1:9" ht="31.5" customHeight="1">
      <c r="A90" s="31">
        <v>20</v>
      </c>
      <c r="B90" s="48" t="s">
        <v>197</v>
      </c>
      <c r="C90" s="49" t="s">
        <v>198</v>
      </c>
      <c r="D90" s="104"/>
      <c r="E90" s="35"/>
      <c r="F90" s="35">
        <f>10.54/10</f>
        <v>1.0539999999999998</v>
      </c>
      <c r="G90" s="35">
        <v>5945.91</v>
      </c>
      <c r="H90" s="105">
        <f>G90*F90/1000</f>
        <v>6.2669891399999988</v>
      </c>
      <c r="I90" s="13">
        <f>G90*(9/10)</f>
        <v>5351.3190000000004</v>
      </c>
    </row>
    <row r="91" spans="1:9" ht="15.75" customHeight="1">
      <c r="A91" s="31">
        <v>21</v>
      </c>
      <c r="B91" s="115" t="s">
        <v>209</v>
      </c>
      <c r="C91" s="31" t="s">
        <v>109</v>
      </c>
      <c r="D91" s="45"/>
      <c r="E91" s="13"/>
      <c r="F91" s="13">
        <v>3</v>
      </c>
      <c r="G91" s="13">
        <v>470</v>
      </c>
      <c r="H91" s="105">
        <f t="shared" ref="H91:H93" si="10">G91*F91/1000</f>
        <v>1.41</v>
      </c>
      <c r="I91" s="13">
        <f>G91*2</f>
        <v>940</v>
      </c>
    </row>
    <row r="92" spans="1:9" ht="15.75" customHeight="1">
      <c r="A92" s="31">
        <v>22</v>
      </c>
      <c r="B92" s="116" t="s">
        <v>213</v>
      </c>
      <c r="C92" s="117" t="s">
        <v>214</v>
      </c>
      <c r="D92" s="45"/>
      <c r="E92" s="35"/>
      <c r="F92" s="35">
        <f>54/3</f>
        <v>18</v>
      </c>
      <c r="G92" s="35">
        <v>1120.8900000000001</v>
      </c>
      <c r="H92" s="105">
        <f t="shared" si="10"/>
        <v>20.176020000000001</v>
      </c>
      <c r="I92" s="13">
        <f>G92*((10+7+30)/3)</f>
        <v>17560.61</v>
      </c>
    </row>
    <row r="93" spans="1:9" ht="31.5" customHeight="1">
      <c r="A93" s="31">
        <v>23</v>
      </c>
      <c r="B93" s="118" t="s">
        <v>216</v>
      </c>
      <c r="C93" s="119" t="s">
        <v>215</v>
      </c>
      <c r="D93" s="45"/>
      <c r="E93" s="35"/>
      <c r="F93" s="35">
        <v>5</v>
      </c>
      <c r="G93" s="35">
        <v>143.97999999999999</v>
      </c>
      <c r="H93" s="105">
        <f t="shared" si="10"/>
        <v>0.71989999999999998</v>
      </c>
      <c r="I93" s="13">
        <f>G93*5</f>
        <v>719.9</v>
      </c>
    </row>
    <row r="94" spans="1:9" ht="15.75" customHeight="1">
      <c r="A94" s="31"/>
      <c r="B94" s="43" t="s">
        <v>52</v>
      </c>
      <c r="C94" s="39"/>
      <c r="D94" s="46"/>
      <c r="E94" s="39">
        <v>1</v>
      </c>
      <c r="F94" s="39"/>
      <c r="G94" s="39"/>
      <c r="H94" s="39"/>
      <c r="I94" s="33">
        <f>SUM(I87:I93)</f>
        <v>27330.309000000001</v>
      </c>
    </row>
    <row r="95" spans="1:9" ht="15.75" customHeight="1">
      <c r="A95" s="31"/>
      <c r="B95" s="45" t="s">
        <v>79</v>
      </c>
      <c r="C95" s="15"/>
      <c r="D95" s="15"/>
      <c r="E95" s="40"/>
      <c r="F95" s="40"/>
      <c r="G95" s="41"/>
      <c r="H95" s="41"/>
      <c r="I95" s="18">
        <v>0</v>
      </c>
    </row>
    <row r="96" spans="1:9">
      <c r="A96" s="47"/>
      <c r="B96" s="44" t="s">
        <v>177</v>
      </c>
      <c r="C96" s="34"/>
      <c r="D96" s="34"/>
      <c r="E96" s="34"/>
      <c r="F96" s="34"/>
      <c r="G96" s="34"/>
      <c r="H96" s="34"/>
      <c r="I96" s="42">
        <f>I85+I94</f>
        <v>62248.784829111115</v>
      </c>
    </row>
    <row r="97" spans="1:9" ht="15.75">
      <c r="A97" s="137" t="s">
        <v>217</v>
      </c>
      <c r="B97" s="137"/>
      <c r="C97" s="137"/>
      <c r="D97" s="137"/>
      <c r="E97" s="137"/>
      <c r="F97" s="137"/>
      <c r="G97" s="137"/>
      <c r="H97" s="137"/>
      <c r="I97" s="137"/>
    </row>
    <row r="98" spans="1:9" ht="15.75" customHeight="1">
      <c r="A98" s="57"/>
      <c r="B98" s="138" t="s">
        <v>220</v>
      </c>
      <c r="C98" s="138"/>
      <c r="D98" s="138"/>
      <c r="E98" s="138"/>
      <c r="F98" s="138"/>
      <c r="G98" s="138"/>
      <c r="H98" s="63"/>
      <c r="I98" s="3"/>
    </row>
    <row r="99" spans="1:9">
      <c r="A99" s="56"/>
      <c r="B99" s="133" t="s">
        <v>6</v>
      </c>
      <c r="C99" s="133"/>
      <c r="D99" s="133"/>
      <c r="E99" s="133"/>
      <c r="F99" s="133"/>
      <c r="G99" s="133"/>
      <c r="H99" s="26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9" t="s">
        <v>7</v>
      </c>
      <c r="B101" s="139"/>
      <c r="C101" s="139"/>
      <c r="D101" s="139"/>
      <c r="E101" s="139"/>
      <c r="F101" s="139"/>
      <c r="G101" s="139"/>
      <c r="H101" s="139"/>
      <c r="I101" s="139"/>
    </row>
    <row r="102" spans="1:9" ht="15.75" customHeight="1">
      <c r="A102" s="139" t="s">
        <v>8</v>
      </c>
      <c r="B102" s="139"/>
      <c r="C102" s="139"/>
      <c r="D102" s="139"/>
      <c r="E102" s="139"/>
      <c r="F102" s="139"/>
      <c r="G102" s="139"/>
      <c r="H102" s="139"/>
      <c r="I102" s="139"/>
    </row>
    <row r="103" spans="1:9" ht="15.75">
      <c r="A103" s="140" t="s">
        <v>62</v>
      </c>
      <c r="B103" s="140"/>
      <c r="C103" s="140"/>
      <c r="D103" s="140"/>
      <c r="E103" s="140"/>
      <c r="F103" s="140"/>
      <c r="G103" s="140"/>
      <c r="H103" s="140"/>
      <c r="I103" s="140"/>
    </row>
    <row r="104" spans="1:9" ht="15.75">
      <c r="A104" s="11"/>
    </row>
    <row r="105" spans="1:9" ht="15.75">
      <c r="A105" s="131" t="s">
        <v>9</v>
      </c>
      <c r="B105" s="131"/>
      <c r="C105" s="131"/>
      <c r="D105" s="131"/>
      <c r="E105" s="131"/>
      <c r="F105" s="131"/>
      <c r="G105" s="131"/>
      <c r="H105" s="131"/>
      <c r="I105" s="131"/>
    </row>
    <row r="106" spans="1:9" ht="15.75">
      <c r="A106" s="4"/>
    </row>
    <row r="107" spans="1:9" ht="15.75">
      <c r="B107" s="53" t="s">
        <v>10</v>
      </c>
      <c r="C107" s="132" t="s">
        <v>148</v>
      </c>
      <c r="D107" s="132"/>
      <c r="E107" s="132"/>
      <c r="F107" s="61"/>
      <c r="I107" s="55"/>
    </row>
    <row r="108" spans="1:9">
      <c r="A108" s="56"/>
      <c r="C108" s="133" t="s">
        <v>11</v>
      </c>
      <c r="D108" s="133"/>
      <c r="E108" s="133"/>
      <c r="F108" s="26"/>
      <c r="I108" s="54" t="s">
        <v>12</v>
      </c>
    </row>
    <row r="109" spans="1:9" ht="15.75">
      <c r="A109" s="27"/>
      <c r="C109" s="12"/>
      <c r="D109" s="12"/>
      <c r="G109" s="12"/>
      <c r="H109" s="12"/>
    </row>
    <row r="110" spans="1:9" ht="15.75" customHeight="1">
      <c r="B110" s="53" t="s">
        <v>13</v>
      </c>
      <c r="C110" s="134"/>
      <c r="D110" s="134"/>
      <c r="E110" s="134"/>
      <c r="F110" s="62"/>
      <c r="I110" s="55"/>
    </row>
    <row r="111" spans="1:9" ht="15.75" customHeight="1">
      <c r="A111" s="56"/>
      <c r="C111" s="135" t="s">
        <v>11</v>
      </c>
      <c r="D111" s="135"/>
      <c r="E111" s="135"/>
      <c r="F111" s="56"/>
      <c r="I111" s="54" t="s">
        <v>12</v>
      </c>
    </row>
    <row r="112" spans="1:9" ht="15.75" customHeight="1">
      <c r="A112" s="4" t="s">
        <v>14</v>
      </c>
    </row>
    <row r="113" spans="1:9">
      <c r="A113" s="136" t="s">
        <v>15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45" customHeight="1">
      <c r="A114" s="127" t="s">
        <v>16</v>
      </c>
      <c r="B114" s="127"/>
      <c r="C114" s="127"/>
      <c r="D114" s="127"/>
      <c r="E114" s="127"/>
      <c r="F114" s="127"/>
      <c r="G114" s="127"/>
      <c r="H114" s="127"/>
      <c r="I114" s="127"/>
    </row>
    <row r="115" spans="1:9" ht="30" customHeight="1">
      <c r="A115" s="127" t="s">
        <v>17</v>
      </c>
      <c r="B115" s="127"/>
      <c r="C115" s="127"/>
      <c r="D115" s="127"/>
      <c r="E115" s="127"/>
      <c r="F115" s="127"/>
      <c r="G115" s="127"/>
      <c r="H115" s="127"/>
      <c r="I115" s="127"/>
    </row>
    <row r="116" spans="1:9" ht="30" customHeight="1">
      <c r="A116" s="127" t="s">
        <v>21</v>
      </c>
      <c r="B116" s="127"/>
      <c r="C116" s="127"/>
      <c r="D116" s="127"/>
      <c r="E116" s="127"/>
      <c r="F116" s="127"/>
      <c r="G116" s="127"/>
      <c r="H116" s="127"/>
      <c r="I116" s="127"/>
    </row>
    <row r="117" spans="1:9" ht="15" customHeight="1">
      <c r="A117" s="127" t="s">
        <v>20</v>
      </c>
      <c r="B117" s="127"/>
      <c r="C117" s="127"/>
      <c r="D117" s="127"/>
      <c r="E117" s="127"/>
      <c r="F117" s="127"/>
      <c r="G117" s="127"/>
      <c r="H117" s="127"/>
      <c r="I117" s="127"/>
    </row>
  </sheetData>
  <autoFilter ref="I12:I56"/>
  <mergeCells count="29">
    <mergeCell ref="R61:U61"/>
    <mergeCell ref="A82:I82"/>
    <mergeCell ref="A3:I3"/>
    <mergeCell ref="A4:I4"/>
    <mergeCell ref="A5:I5"/>
    <mergeCell ref="A8:I8"/>
    <mergeCell ref="A10:I10"/>
    <mergeCell ref="A14:I14"/>
    <mergeCell ref="A103:I103"/>
    <mergeCell ref="A15:I15"/>
    <mergeCell ref="A29:I29"/>
    <mergeCell ref="A44:I44"/>
    <mergeCell ref="A55:I55"/>
    <mergeCell ref="A97:I97"/>
    <mergeCell ref="B98:G98"/>
    <mergeCell ref="B99:G99"/>
    <mergeCell ref="A101:I101"/>
    <mergeCell ref="A102:I102"/>
    <mergeCell ref="A86:I86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218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219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112"/>
      <c r="C6" s="112"/>
      <c r="D6" s="112"/>
      <c r="E6" s="112"/>
      <c r="F6" s="112"/>
      <c r="G6" s="112"/>
      <c r="H6" s="112"/>
      <c r="I6" s="87">
        <v>43069</v>
      </c>
      <c r="J6" s="2"/>
      <c r="K6" s="2"/>
      <c r="L6" s="2"/>
      <c r="M6" s="2"/>
    </row>
    <row r="7" spans="1:13" ht="15.75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150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151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customHeight="1">
      <c r="A43" s="31">
        <v>10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hidden="1" customHeight="1">
      <c r="A50" s="31">
        <v>16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customHeight="1">
      <c r="A51" s="31">
        <v>11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customHeight="1">
      <c r="A52" s="31">
        <v>12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customHeight="1">
      <c r="A53" s="31">
        <v>13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hidden="1" customHeight="1">
      <c r="A54" s="31"/>
      <c r="B54" s="65" t="s">
        <v>42</v>
      </c>
      <c r="C54" s="66" t="s">
        <v>109</v>
      </c>
      <c r="D54" s="65" t="s">
        <v>54</v>
      </c>
      <c r="E54" s="67">
        <v>53</v>
      </c>
      <c r="F54" s="68">
        <v>53</v>
      </c>
      <c r="G54" s="13">
        <v>81.73</v>
      </c>
      <c r="H54" s="69">
        <f t="shared" si="5"/>
        <v>4.3316900000000009</v>
      </c>
      <c r="I54" s="13">
        <f>F54/3*G54</f>
        <v>1443.8966666666668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14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 t="shared" ref="I57" si="7">F57/6*G57</f>
        <v>265.26129999999995</v>
      </c>
    </row>
    <row r="58" spans="1:22" ht="15.75" hidden="1" customHeight="1">
      <c r="A58" s="31">
        <v>16</v>
      </c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15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11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16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113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9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9"/>
        <v>0.65</v>
      </c>
      <c r="I74" s="13">
        <v>0</v>
      </c>
    </row>
    <row r="75" spans="1:9" ht="15.75" hidden="1" customHeight="1">
      <c r="A75" s="31">
        <v>13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f>G75*0.1</f>
        <v>62.417000000000002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17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customHeight="1">
      <c r="A81" s="31">
        <v>18</v>
      </c>
      <c r="B81" s="65" t="s">
        <v>117</v>
      </c>
      <c r="C81" s="16"/>
      <c r="D81" s="14"/>
      <c r="E81" s="60"/>
      <c r="F81" s="13">
        <v>1</v>
      </c>
      <c r="G81" s="13">
        <v>6105.8</v>
      </c>
      <c r="H81" s="64">
        <f>G81*F81/1000</f>
        <v>6.1058000000000003</v>
      </c>
      <c r="I81" s="13">
        <f>G81</f>
        <v>6105.8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19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20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I16+I17+I18+I27+I28+I38+I39+I40+I41+I43+I51+I52+I53+I57+I61+I71+I77+I81+I83+I84</f>
        <v>38203.091493500004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1">
        <v>21</v>
      </c>
      <c r="B87" s="48" t="s">
        <v>139</v>
      </c>
      <c r="C87" s="49" t="s">
        <v>109</v>
      </c>
      <c r="D87" s="45"/>
      <c r="E87" s="13"/>
      <c r="F87" s="13">
        <v>104</v>
      </c>
      <c r="G87" s="13">
        <v>53.42</v>
      </c>
      <c r="H87" s="13">
        <f t="shared" ref="H87:H88" si="10">G87*F87/1000</f>
        <v>5.5556800000000006</v>
      </c>
      <c r="I87" s="13">
        <f>G87*26</f>
        <v>1388.92</v>
      </c>
    </row>
    <row r="88" spans="1:9" ht="31.5" customHeight="1">
      <c r="A88" s="31">
        <v>22</v>
      </c>
      <c r="B88" s="48" t="s">
        <v>181</v>
      </c>
      <c r="C88" s="49" t="s">
        <v>29</v>
      </c>
      <c r="D88" s="104"/>
      <c r="E88" s="35"/>
      <c r="F88" s="120">
        <v>7.0000000000000001E-3</v>
      </c>
      <c r="G88" s="35">
        <v>1591.6</v>
      </c>
      <c r="H88" s="105">
        <f t="shared" si="10"/>
        <v>1.11412E-2</v>
      </c>
      <c r="I88" s="13">
        <f>G88*0.001</f>
        <v>1.5915999999999999</v>
      </c>
    </row>
    <row r="89" spans="1:9" ht="15.75" customHeight="1">
      <c r="A89" s="31">
        <v>23</v>
      </c>
      <c r="B89" s="116" t="s">
        <v>213</v>
      </c>
      <c r="C89" s="117" t="s">
        <v>214</v>
      </c>
      <c r="D89" s="45"/>
      <c r="E89" s="35"/>
      <c r="F89" s="35">
        <f>54/3</f>
        <v>18</v>
      </c>
      <c r="G89" s="35">
        <v>1120.8900000000001</v>
      </c>
      <c r="H89" s="105">
        <f t="shared" ref="H89" si="11">G89*F89/1000</f>
        <v>20.176020000000001</v>
      </c>
      <c r="I89" s="13">
        <f>G89*(7/3)</f>
        <v>2615.4100000000003</v>
      </c>
    </row>
    <row r="90" spans="1:9" ht="15.75" customHeight="1">
      <c r="A90" s="31"/>
      <c r="B90" s="43" t="s">
        <v>52</v>
      </c>
      <c r="C90" s="39"/>
      <c r="D90" s="46"/>
      <c r="E90" s="39">
        <v>1</v>
      </c>
      <c r="F90" s="39"/>
      <c r="G90" s="39"/>
      <c r="H90" s="39"/>
      <c r="I90" s="33">
        <f>SUM(I87:I89)</f>
        <v>4005.9216000000006</v>
      </c>
    </row>
    <row r="91" spans="1:9" ht="15.75" customHeight="1">
      <c r="A91" s="31"/>
      <c r="B91" s="45" t="s">
        <v>79</v>
      </c>
      <c r="C91" s="15"/>
      <c r="D91" s="15"/>
      <c r="E91" s="40"/>
      <c r="F91" s="40"/>
      <c r="G91" s="41"/>
      <c r="H91" s="41"/>
      <c r="I91" s="18">
        <v>0</v>
      </c>
    </row>
    <row r="92" spans="1:9">
      <c r="A92" s="47"/>
      <c r="B92" s="44" t="s">
        <v>177</v>
      </c>
      <c r="C92" s="34"/>
      <c r="D92" s="34"/>
      <c r="E92" s="34"/>
      <c r="F92" s="34"/>
      <c r="G92" s="34"/>
      <c r="H92" s="34"/>
      <c r="I92" s="42">
        <f>I85+I90</f>
        <v>42209.013093500005</v>
      </c>
    </row>
    <row r="93" spans="1:9" ht="15.75">
      <c r="A93" s="137" t="s">
        <v>231</v>
      </c>
      <c r="B93" s="137"/>
      <c r="C93" s="137"/>
      <c r="D93" s="137"/>
      <c r="E93" s="137"/>
      <c r="F93" s="137"/>
      <c r="G93" s="137"/>
      <c r="H93" s="137"/>
      <c r="I93" s="137"/>
    </row>
    <row r="94" spans="1:9" ht="15.75" customHeight="1">
      <c r="A94" s="57"/>
      <c r="B94" s="138" t="s">
        <v>232</v>
      </c>
      <c r="C94" s="138"/>
      <c r="D94" s="138"/>
      <c r="E94" s="138"/>
      <c r="F94" s="138"/>
      <c r="G94" s="138"/>
      <c r="H94" s="63"/>
      <c r="I94" s="3"/>
    </row>
    <row r="95" spans="1:9">
      <c r="A95" s="110"/>
      <c r="B95" s="133" t="s">
        <v>6</v>
      </c>
      <c r="C95" s="133"/>
      <c r="D95" s="133"/>
      <c r="E95" s="133"/>
      <c r="F95" s="133"/>
      <c r="G95" s="133"/>
      <c r="H95" s="26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9" t="s">
        <v>7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 customHeight="1">
      <c r="A98" s="139" t="s">
        <v>8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>
      <c r="A99" s="140" t="s">
        <v>62</v>
      </c>
      <c r="B99" s="140"/>
      <c r="C99" s="140"/>
      <c r="D99" s="140"/>
      <c r="E99" s="140"/>
      <c r="F99" s="140"/>
      <c r="G99" s="140"/>
      <c r="H99" s="140"/>
      <c r="I99" s="140"/>
    </row>
    <row r="100" spans="1:9" ht="15.75">
      <c r="A100" s="11"/>
    </row>
    <row r="101" spans="1:9" ht="15.75">
      <c r="A101" s="131" t="s">
        <v>9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>
      <c r="A102" s="4"/>
    </row>
    <row r="103" spans="1:9" ht="15.75">
      <c r="B103" s="111" t="s">
        <v>10</v>
      </c>
      <c r="C103" s="132" t="s">
        <v>148</v>
      </c>
      <c r="D103" s="132"/>
      <c r="E103" s="132"/>
      <c r="F103" s="61"/>
      <c r="I103" s="109"/>
    </row>
    <row r="104" spans="1:9">
      <c r="A104" s="110"/>
      <c r="C104" s="133" t="s">
        <v>11</v>
      </c>
      <c r="D104" s="133"/>
      <c r="E104" s="133"/>
      <c r="F104" s="26"/>
      <c r="I104" s="108" t="s">
        <v>12</v>
      </c>
    </row>
    <row r="105" spans="1:9" ht="15.75">
      <c r="A105" s="27"/>
      <c r="C105" s="12"/>
      <c r="D105" s="12"/>
      <c r="G105" s="12"/>
      <c r="H105" s="12"/>
    </row>
    <row r="106" spans="1:9" ht="15.75" customHeight="1">
      <c r="B106" s="111" t="s">
        <v>13</v>
      </c>
      <c r="C106" s="134"/>
      <c r="D106" s="134"/>
      <c r="E106" s="134"/>
      <c r="F106" s="62"/>
      <c r="I106" s="109"/>
    </row>
    <row r="107" spans="1:9" ht="15.75" customHeight="1">
      <c r="A107" s="110"/>
      <c r="C107" s="135" t="s">
        <v>11</v>
      </c>
      <c r="D107" s="135"/>
      <c r="E107" s="135"/>
      <c r="F107" s="110"/>
      <c r="I107" s="108" t="s">
        <v>12</v>
      </c>
    </row>
    <row r="108" spans="1:9" ht="15.75" customHeight="1">
      <c r="A108" s="4" t="s">
        <v>14</v>
      </c>
    </row>
    <row r="109" spans="1:9">
      <c r="A109" s="136" t="s">
        <v>15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4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3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85</v>
      </c>
      <c r="I1" s="28"/>
      <c r="J1" s="1"/>
      <c r="K1" s="1"/>
      <c r="L1" s="1"/>
      <c r="M1" s="1"/>
    </row>
    <row r="2" spans="1:13" ht="15.75">
      <c r="A2" s="30" t="s">
        <v>63</v>
      </c>
      <c r="J2" s="2"/>
      <c r="K2" s="2"/>
      <c r="L2" s="2"/>
      <c r="M2" s="2"/>
    </row>
    <row r="3" spans="1:13" ht="15.75" customHeight="1">
      <c r="A3" s="145" t="s">
        <v>221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</row>
    <row r="4" spans="1:13" ht="31.5" customHeight="1">
      <c r="A4" s="146" t="s">
        <v>142</v>
      </c>
      <c r="B4" s="146"/>
      <c r="C4" s="146"/>
      <c r="D4" s="146"/>
      <c r="E4" s="146"/>
      <c r="F4" s="146"/>
      <c r="G4" s="146"/>
      <c r="H4" s="146"/>
      <c r="I4" s="146"/>
    </row>
    <row r="5" spans="1:13" ht="15.75">
      <c r="A5" s="145" t="s">
        <v>222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>
      <c r="A6" s="2"/>
      <c r="B6" s="112"/>
      <c r="C6" s="112"/>
      <c r="D6" s="112"/>
      <c r="E6" s="112"/>
      <c r="F6" s="112"/>
      <c r="G6" s="112"/>
      <c r="H6" s="112"/>
      <c r="I6" s="87">
        <v>43100</v>
      </c>
      <c r="J6" s="2"/>
      <c r="K6" s="2"/>
      <c r="L6" s="2"/>
      <c r="M6" s="2"/>
    </row>
    <row r="7" spans="1:13" ht="15.75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48" t="s">
        <v>150</v>
      </c>
      <c r="B8" s="148"/>
      <c r="C8" s="148"/>
      <c r="D8" s="148"/>
      <c r="E8" s="148"/>
      <c r="F8" s="148"/>
      <c r="G8" s="148"/>
      <c r="H8" s="148"/>
      <c r="I8" s="14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49" t="s">
        <v>151</v>
      </c>
      <c r="B10" s="149"/>
      <c r="C10" s="149"/>
      <c r="D10" s="149"/>
      <c r="E10" s="149"/>
      <c r="F10" s="149"/>
      <c r="G10" s="149"/>
      <c r="H10" s="149"/>
      <c r="I10" s="149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60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" customHeight="1">
      <c r="A15" s="141" t="s">
        <v>4</v>
      </c>
      <c r="B15" s="141"/>
      <c r="C15" s="141"/>
      <c r="D15" s="141"/>
      <c r="E15" s="141"/>
      <c r="F15" s="141"/>
      <c r="G15" s="141"/>
      <c r="H15" s="141"/>
      <c r="I15" s="141"/>
      <c r="J15" s="8"/>
      <c r="K15" s="8"/>
      <c r="L15" s="8"/>
      <c r="M15" s="8"/>
    </row>
    <row r="16" spans="1:13" ht="15.75" customHeight="1">
      <c r="A16" s="31">
        <v>1</v>
      </c>
      <c r="B16" s="65" t="s">
        <v>86</v>
      </c>
      <c r="C16" s="66" t="s">
        <v>87</v>
      </c>
      <c r="D16" s="65" t="s">
        <v>143</v>
      </c>
      <c r="E16" s="67">
        <v>54.9</v>
      </c>
      <c r="F16" s="68">
        <f>SUM(E16*156/100)</f>
        <v>85.643999999999991</v>
      </c>
      <c r="G16" s="68">
        <v>218.21</v>
      </c>
      <c r="H16" s="69">
        <f t="shared" ref="H16:H26" si="0">SUM(F16*G16/1000)</f>
        <v>18.688377239999998</v>
      </c>
      <c r="I16" s="13">
        <f>F16/12*G16</f>
        <v>1557.3647699999999</v>
      </c>
      <c r="J16" s="23"/>
      <c r="K16" s="8"/>
      <c r="L16" s="8"/>
      <c r="M16" s="8"/>
    </row>
    <row r="17" spans="1:13" ht="15.75" customHeight="1">
      <c r="A17" s="31">
        <v>2</v>
      </c>
      <c r="B17" s="65" t="s">
        <v>119</v>
      </c>
      <c r="C17" s="66" t="s">
        <v>87</v>
      </c>
      <c r="D17" s="65" t="s">
        <v>144</v>
      </c>
      <c r="E17" s="67">
        <v>109.8</v>
      </c>
      <c r="F17" s="68">
        <f>SUM(E17*104/100)</f>
        <v>114.19199999999999</v>
      </c>
      <c r="G17" s="68">
        <v>218.21</v>
      </c>
      <c r="H17" s="69">
        <f t="shared" si="0"/>
        <v>24.917836319999999</v>
      </c>
      <c r="I17" s="13">
        <f>F17/12*G17</f>
        <v>2076.4863599999999</v>
      </c>
      <c r="J17" s="24"/>
      <c r="K17" s="8"/>
      <c r="L17" s="8"/>
      <c r="M17" s="8"/>
    </row>
    <row r="18" spans="1:13" ht="15.75" customHeight="1">
      <c r="A18" s="31">
        <v>3</v>
      </c>
      <c r="B18" s="65" t="s">
        <v>120</v>
      </c>
      <c r="C18" s="66" t="s">
        <v>87</v>
      </c>
      <c r="D18" s="65" t="s">
        <v>145</v>
      </c>
      <c r="E18" s="67">
        <f>SUM(E16+E17)</f>
        <v>164.7</v>
      </c>
      <c r="F18" s="68">
        <f>SUM(E18*24/100)</f>
        <v>39.527999999999999</v>
      </c>
      <c r="G18" s="68">
        <v>627.77</v>
      </c>
      <c r="H18" s="69">
        <f t="shared" si="0"/>
        <v>24.814492559999998</v>
      </c>
      <c r="I18" s="13">
        <f>F18/12*G18</f>
        <v>2067.8743799999997</v>
      </c>
      <c r="J18" s="24"/>
      <c r="K18" s="8"/>
      <c r="L18" s="8"/>
      <c r="M18" s="8"/>
    </row>
    <row r="19" spans="1:13" ht="15.75" hidden="1" customHeight="1">
      <c r="A19" s="31"/>
      <c r="B19" s="65" t="s">
        <v>94</v>
      </c>
      <c r="C19" s="66" t="s">
        <v>95</v>
      </c>
      <c r="D19" s="65" t="s">
        <v>96</v>
      </c>
      <c r="E19" s="67">
        <v>21.6</v>
      </c>
      <c r="F19" s="68">
        <f>SUM(E19/10)</f>
        <v>2.16</v>
      </c>
      <c r="G19" s="68">
        <v>211.74</v>
      </c>
      <c r="H19" s="69">
        <f t="shared" si="0"/>
        <v>0.45735840000000005</v>
      </c>
      <c r="I19" s="13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65" t="s">
        <v>97</v>
      </c>
      <c r="C20" s="66" t="s">
        <v>87</v>
      </c>
      <c r="D20" s="65" t="s">
        <v>43</v>
      </c>
      <c r="E20" s="67">
        <v>9.18</v>
      </c>
      <c r="F20" s="68">
        <f>SUM(E20*2/100)</f>
        <v>0.18359999999999999</v>
      </c>
      <c r="G20" s="68">
        <v>271.12</v>
      </c>
      <c r="H20" s="69">
        <f t="shared" si="0"/>
        <v>4.9777631999999995E-2</v>
      </c>
      <c r="I20" s="13">
        <f>F20/2*G20</f>
        <v>24.888815999999998</v>
      </c>
      <c r="J20" s="24"/>
      <c r="K20" s="8"/>
      <c r="L20" s="8"/>
      <c r="M20" s="8"/>
    </row>
    <row r="21" spans="1:13" ht="15.75" hidden="1" customHeight="1">
      <c r="A21" s="31">
        <v>5</v>
      </c>
      <c r="B21" s="65" t="s">
        <v>98</v>
      </c>
      <c r="C21" s="66" t="s">
        <v>87</v>
      </c>
      <c r="D21" s="65" t="s">
        <v>43</v>
      </c>
      <c r="E21" s="67">
        <v>8.1</v>
      </c>
      <c r="F21" s="68">
        <f>SUM(E21*2/100)</f>
        <v>0.16200000000000001</v>
      </c>
      <c r="G21" s="68">
        <v>268.92</v>
      </c>
      <c r="H21" s="69">
        <f t="shared" si="0"/>
        <v>4.3565040000000006E-2</v>
      </c>
      <c r="I21" s="13">
        <f>F21/2*G21</f>
        <v>21.782520000000002</v>
      </c>
      <c r="J21" s="24"/>
      <c r="K21" s="8"/>
      <c r="L21" s="8"/>
      <c r="M21" s="8"/>
    </row>
    <row r="22" spans="1:13" ht="15.75" hidden="1" customHeight="1">
      <c r="A22" s="31"/>
      <c r="B22" s="65" t="s">
        <v>99</v>
      </c>
      <c r="C22" s="66" t="s">
        <v>53</v>
      </c>
      <c r="D22" s="65" t="s">
        <v>96</v>
      </c>
      <c r="E22" s="67">
        <v>220.32</v>
      </c>
      <c r="F22" s="68">
        <f>SUM(E22/100)</f>
        <v>2.2031999999999998</v>
      </c>
      <c r="G22" s="68">
        <v>335.05</v>
      </c>
      <c r="H22" s="69">
        <f t="shared" si="0"/>
        <v>0.73818215999999992</v>
      </c>
      <c r="I22" s="13">
        <v>0</v>
      </c>
      <c r="J22" s="24"/>
      <c r="K22" s="8"/>
      <c r="L22" s="8"/>
      <c r="M22" s="8"/>
    </row>
    <row r="23" spans="1:13" ht="15.75" hidden="1" customHeight="1">
      <c r="A23" s="31"/>
      <c r="B23" s="65" t="s">
        <v>100</v>
      </c>
      <c r="C23" s="66" t="s">
        <v>53</v>
      </c>
      <c r="D23" s="65" t="s">
        <v>96</v>
      </c>
      <c r="E23" s="70">
        <v>17.64</v>
      </c>
      <c r="F23" s="68">
        <f>SUM(E23/100)</f>
        <v>0.1764</v>
      </c>
      <c r="G23" s="68">
        <v>55.1</v>
      </c>
      <c r="H23" s="69">
        <f t="shared" si="0"/>
        <v>9.7196399999999999E-3</v>
      </c>
      <c r="I23" s="13">
        <v>0</v>
      </c>
      <c r="J23" s="24"/>
      <c r="K23" s="8"/>
      <c r="L23" s="8"/>
      <c r="M23" s="8"/>
    </row>
    <row r="24" spans="1:13" ht="15.75" hidden="1" customHeight="1">
      <c r="A24" s="31"/>
      <c r="B24" s="65" t="s">
        <v>101</v>
      </c>
      <c r="C24" s="66" t="s">
        <v>53</v>
      </c>
      <c r="D24" s="65" t="s">
        <v>102</v>
      </c>
      <c r="E24" s="67">
        <v>7.2</v>
      </c>
      <c r="F24" s="68">
        <f>E24/100</f>
        <v>7.2000000000000008E-2</v>
      </c>
      <c r="G24" s="68">
        <v>484.94</v>
      </c>
      <c r="H24" s="69">
        <f t="shared" si="0"/>
        <v>3.4915680000000004E-2</v>
      </c>
      <c r="I24" s="13">
        <v>0</v>
      </c>
      <c r="J24" s="24"/>
      <c r="K24" s="8"/>
      <c r="L24" s="8"/>
      <c r="M24" s="8"/>
    </row>
    <row r="25" spans="1:13" ht="15.75" hidden="1" customHeight="1">
      <c r="A25" s="31"/>
      <c r="B25" s="65" t="s">
        <v>103</v>
      </c>
      <c r="C25" s="66" t="s">
        <v>53</v>
      </c>
      <c r="D25" s="65" t="s">
        <v>54</v>
      </c>
      <c r="E25" s="67">
        <v>9.4499999999999993</v>
      </c>
      <c r="F25" s="68">
        <f>E25/100</f>
        <v>9.4499999999999987E-2</v>
      </c>
      <c r="G25" s="68">
        <v>268.92</v>
      </c>
      <c r="H25" s="69">
        <f t="shared" si="0"/>
        <v>2.5412939999999998E-2</v>
      </c>
      <c r="I25" s="13">
        <v>0</v>
      </c>
      <c r="J25" s="24"/>
      <c r="K25" s="8"/>
      <c r="L25" s="8"/>
      <c r="M25" s="8"/>
    </row>
    <row r="26" spans="1:13" ht="15.75" hidden="1" customHeight="1">
      <c r="A26" s="31"/>
      <c r="B26" s="65" t="s">
        <v>104</v>
      </c>
      <c r="C26" s="66" t="s">
        <v>53</v>
      </c>
      <c r="D26" s="65" t="s">
        <v>96</v>
      </c>
      <c r="E26" s="67">
        <v>10.8</v>
      </c>
      <c r="F26" s="68">
        <f>SUM(E26/100)</f>
        <v>0.10800000000000001</v>
      </c>
      <c r="G26" s="68">
        <v>684.05</v>
      </c>
      <c r="H26" s="69">
        <f t="shared" si="0"/>
        <v>7.387740000000001E-2</v>
      </c>
      <c r="I26" s="13">
        <v>0</v>
      </c>
      <c r="J26" s="24"/>
      <c r="K26" s="8"/>
      <c r="L26" s="8"/>
      <c r="M26" s="8"/>
    </row>
    <row r="27" spans="1:13" ht="15.75" customHeight="1">
      <c r="A27" s="31">
        <v>4</v>
      </c>
      <c r="B27" s="65" t="s">
        <v>65</v>
      </c>
      <c r="C27" s="66" t="s">
        <v>33</v>
      </c>
      <c r="D27" s="65" t="s">
        <v>173</v>
      </c>
      <c r="E27" s="67">
        <v>0.1</v>
      </c>
      <c r="F27" s="68">
        <f>SUM(E27*365)</f>
        <v>36.5</v>
      </c>
      <c r="G27" s="68">
        <v>182.96</v>
      </c>
      <c r="H27" s="69">
        <f>SUM(F27*G27/1000)</f>
        <v>6.6780400000000002</v>
      </c>
      <c r="I27" s="13">
        <f>F27/12*G27</f>
        <v>556.50333333333333</v>
      </c>
      <c r="J27" s="24"/>
      <c r="K27" s="8"/>
    </row>
    <row r="28" spans="1:13" ht="15.75" customHeight="1">
      <c r="A28" s="31">
        <v>5</v>
      </c>
      <c r="B28" s="73" t="s">
        <v>23</v>
      </c>
      <c r="C28" s="66" t="s">
        <v>24</v>
      </c>
      <c r="D28" s="65" t="s">
        <v>173</v>
      </c>
      <c r="E28" s="67">
        <v>1536.4</v>
      </c>
      <c r="F28" s="68">
        <f>SUM(E28*12)</f>
        <v>18436.800000000003</v>
      </c>
      <c r="G28" s="68">
        <v>4.5599999999999996</v>
      </c>
      <c r="H28" s="69">
        <f>SUM(F28*G28/1000)</f>
        <v>84.071808000000004</v>
      </c>
      <c r="I28" s="13">
        <f>F28/12*G28</f>
        <v>7005.9840000000013</v>
      </c>
      <c r="J28" s="25"/>
    </row>
    <row r="29" spans="1:13" ht="15.75" customHeight="1">
      <c r="A29" s="142" t="s">
        <v>174</v>
      </c>
      <c r="B29" s="143"/>
      <c r="C29" s="143"/>
      <c r="D29" s="143"/>
      <c r="E29" s="143"/>
      <c r="F29" s="143"/>
      <c r="G29" s="143"/>
      <c r="H29" s="143"/>
      <c r="I29" s="144"/>
      <c r="J29" s="25"/>
    </row>
    <row r="30" spans="1:13" ht="15.75" hidden="1" customHeight="1">
      <c r="A30" s="31"/>
      <c r="B30" s="85" t="s">
        <v>28</v>
      </c>
      <c r="C30" s="66"/>
      <c r="D30" s="65"/>
      <c r="E30" s="67"/>
      <c r="F30" s="68"/>
      <c r="G30" s="68"/>
      <c r="H30" s="69"/>
      <c r="I30" s="13"/>
      <c r="J30" s="25"/>
    </row>
    <row r="31" spans="1:13" ht="15.75" hidden="1" customHeight="1">
      <c r="A31" s="31">
        <v>6</v>
      </c>
      <c r="B31" s="65" t="s">
        <v>107</v>
      </c>
      <c r="C31" s="66" t="s">
        <v>90</v>
      </c>
      <c r="D31" s="65" t="s">
        <v>175</v>
      </c>
      <c r="E31" s="68">
        <v>61.5</v>
      </c>
      <c r="F31" s="68">
        <f>SUM(E31*52/1000)</f>
        <v>3.198</v>
      </c>
      <c r="G31" s="68">
        <v>193.97</v>
      </c>
      <c r="H31" s="69">
        <f t="shared" ref="H31:H36" si="1">SUM(F31*G31/1000)</f>
        <v>0.62031605999999995</v>
      </c>
      <c r="I31" s="13">
        <f t="shared" ref="I31:I32" si="2">F31/6*G31</f>
        <v>103.38601</v>
      </c>
      <c r="J31" s="24"/>
      <c r="K31" s="8"/>
      <c r="L31" s="8"/>
      <c r="M31" s="8"/>
    </row>
    <row r="32" spans="1:13" ht="31.5" hidden="1" customHeight="1">
      <c r="A32" s="31">
        <v>7</v>
      </c>
      <c r="B32" s="65" t="s">
        <v>106</v>
      </c>
      <c r="C32" s="66" t="s">
        <v>90</v>
      </c>
      <c r="D32" s="65" t="s">
        <v>176</v>
      </c>
      <c r="E32" s="68">
        <v>35.299999999999997</v>
      </c>
      <c r="F32" s="68">
        <f>SUM(E32*78/1000)</f>
        <v>2.7533999999999996</v>
      </c>
      <c r="G32" s="68">
        <v>321.82</v>
      </c>
      <c r="H32" s="69">
        <f t="shared" si="1"/>
        <v>0.88609918799999987</v>
      </c>
      <c r="I32" s="13">
        <f t="shared" si="2"/>
        <v>147.68319799999998</v>
      </c>
      <c r="J32" s="24"/>
      <c r="K32" s="8"/>
      <c r="L32" s="8"/>
      <c r="M32" s="8"/>
    </row>
    <row r="33" spans="1:14" ht="15.75" hidden="1" customHeight="1">
      <c r="A33" s="31"/>
      <c r="B33" s="65" t="s">
        <v>27</v>
      </c>
      <c r="C33" s="66" t="s">
        <v>90</v>
      </c>
      <c r="D33" s="65" t="s">
        <v>54</v>
      </c>
      <c r="E33" s="68">
        <v>61.5</v>
      </c>
      <c r="F33" s="68">
        <f>SUM(E33/1000)</f>
        <v>6.1499999999999999E-2</v>
      </c>
      <c r="G33" s="68">
        <v>3758.28</v>
      </c>
      <c r="H33" s="69">
        <f t="shared" si="1"/>
        <v>0.23113422</v>
      </c>
      <c r="I33" s="13">
        <f>F33*G33</f>
        <v>231.13422</v>
      </c>
      <c r="J33" s="24"/>
      <c r="K33" s="8"/>
      <c r="L33" s="8"/>
      <c r="M33" s="8"/>
    </row>
    <row r="34" spans="1:14" ht="15.75" hidden="1" customHeight="1">
      <c r="A34" s="31">
        <v>8</v>
      </c>
      <c r="B34" s="65" t="s">
        <v>105</v>
      </c>
      <c r="C34" s="66" t="s">
        <v>31</v>
      </c>
      <c r="D34" s="65" t="s">
        <v>64</v>
      </c>
      <c r="E34" s="72">
        <f>1/3</f>
        <v>0.33333333333333331</v>
      </c>
      <c r="F34" s="68">
        <f>155/3</f>
        <v>51.666666666666664</v>
      </c>
      <c r="G34" s="68">
        <v>70.540000000000006</v>
      </c>
      <c r="H34" s="69">
        <f t="shared" si="1"/>
        <v>3.6445666666666665</v>
      </c>
      <c r="I34" s="13">
        <f>F34/6*G34</f>
        <v>607.42777777777781</v>
      </c>
      <c r="J34" s="24"/>
      <c r="K34" s="8"/>
      <c r="L34" s="8"/>
      <c r="M34" s="8"/>
    </row>
    <row r="35" spans="1:14" ht="15.75" hidden="1" customHeight="1">
      <c r="A35" s="31"/>
      <c r="B35" s="65" t="s">
        <v>66</v>
      </c>
      <c r="C35" s="66" t="s">
        <v>33</v>
      </c>
      <c r="D35" s="65" t="s">
        <v>68</v>
      </c>
      <c r="E35" s="67"/>
      <c r="F35" s="68">
        <v>1</v>
      </c>
      <c r="G35" s="68">
        <v>238.07</v>
      </c>
      <c r="H35" s="69">
        <f t="shared" si="1"/>
        <v>0.23807</v>
      </c>
      <c r="I35" s="13">
        <v>0</v>
      </c>
      <c r="J35" s="25"/>
    </row>
    <row r="36" spans="1:14" ht="15.75" hidden="1" customHeight="1">
      <c r="A36" s="31"/>
      <c r="B36" s="65" t="s">
        <v>67</v>
      </c>
      <c r="C36" s="66" t="s">
        <v>32</v>
      </c>
      <c r="D36" s="65" t="s">
        <v>68</v>
      </c>
      <c r="E36" s="67"/>
      <c r="F36" s="68">
        <v>1</v>
      </c>
      <c r="G36" s="68">
        <v>1413.96</v>
      </c>
      <c r="H36" s="69">
        <f t="shared" si="1"/>
        <v>1.4139600000000001</v>
      </c>
      <c r="I36" s="13">
        <v>0</v>
      </c>
      <c r="J36" s="25"/>
    </row>
    <row r="37" spans="1:14" ht="15.75" customHeight="1">
      <c r="A37" s="31"/>
      <c r="B37" s="85" t="s">
        <v>5</v>
      </c>
      <c r="C37" s="66"/>
      <c r="D37" s="65"/>
      <c r="E37" s="67"/>
      <c r="F37" s="68"/>
      <c r="G37" s="68"/>
      <c r="H37" s="69" t="s">
        <v>121</v>
      </c>
      <c r="I37" s="13"/>
      <c r="J37" s="25"/>
      <c r="L37" s="20"/>
      <c r="M37" s="21"/>
      <c r="N37" s="22"/>
    </row>
    <row r="38" spans="1:14" ht="15.75" customHeight="1">
      <c r="A38" s="31">
        <v>6</v>
      </c>
      <c r="B38" s="65" t="s">
        <v>26</v>
      </c>
      <c r="C38" s="66" t="s">
        <v>32</v>
      </c>
      <c r="D38" s="65"/>
      <c r="E38" s="67"/>
      <c r="F38" s="68">
        <v>3</v>
      </c>
      <c r="G38" s="68">
        <v>1900.37</v>
      </c>
      <c r="H38" s="69">
        <f t="shared" ref="H38:H43" si="3">SUM(F38*G38/1000)</f>
        <v>5.7011099999999999</v>
      </c>
      <c r="I38" s="13">
        <f t="shared" ref="I38:I43" si="4">F38/6*G38</f>
        <v>950.18499999999995</v>
      </c>
      <c r="J38" s="25"/>
      <c r="L38" s="20"/>
      <c r="M38" s="21"/>
      <c r="N38" s="22"/>
    </row>
    <row r="39" spans="1:14" ht="31.5" customHeight="1">
      <c r="A39" s="31">
        <v>7</v>
      </c>
      <c r="B39" s="65" t="s">
        <v>122</v>
      </c>
      <c r="C39" s="66" t="s">
        <v>29</v>
      </c>
      <c r="D39" s="65" t="s">
        <v>88</v>
      </c>
      <c r="E39" s="67">
        <v>35.299999999999997</v>
      </c>
      <c r="F39" s="68">
        <f>E39*30/1000</f>
        <v>1.0589999999999999</v>
      </c>
      <c r="G39" s="68">
        <v>2616.4899999999998</v>
      </c>
      <c r="H39" s="69">
        <f t="shared" si="3"/>
        <v>2.77086291</v>
      </c>
      <c r="I39" s="13">
        <f t="shared" si="4"/>
        <v>461.81048499999991</v>
      </c>
      <c r="J39" s="25"/>
      <c r="L39" s="20"/>
      <c r="M39" s="21"/>
      <c r="N39" s="22"/>
    </row>
    <row r="40" spans="1:14" ht="15.75" customHeight="1">
      <c r="A40" s="31">
        <v>8</v>
      </c>
      <c r="B40" s="65" t="s">
        <v>123</v>
      </c>
      <c r="C40" s="66" t="s">
        <v>29</v>
      </c>
      <c r="D40" s="65" t="s">
        <v>89</v>
      </c>
      <c r="E40" s="67">
        <v>35.299999999999997</v>
      </c>
      <c r="F40" s="68">
        <f>SUM(E40*155/1000)</f>
        <v>5.4714999999999998</v>
      </c>
      <c r="G40" s="68">
        <v>436.45</v>
      </c>
      <c r="H40" s="69">
        <f t="shared" si="3"/>
        <v>2.3880361749999999</v>
      </c>
      <c r="I40" s="13">
        <f t="shared" si="4"/>
        <v>398.00602916666662</v>
      </c>
      <c r="J40" s="25"/>
      <c r="L40" s="20"/>
      <c r="M40" s="21"/>
      <c r="N40" s="22"/>
    </row>
    <row r="41" spans="1:14" ht="47.25" customHeight="1">
      <c r="A41" s="31">
        <v>9</v>
      </c>
      <c r="B41" s="65" t="s">
        <v>124</v>
      </c>
      <c r="C41" s="66" t="s">
        <v>90</v>
      </c>
      <c r="D41" s="65" t="s">
        <v>125</v>
      </c>
      <c r="E41" s="67">
        <v>35.299999999999997</v>
      </c>
      <c r="F41" s="68">
        <f>SUM(E41*24/1000)</f>
        <v>0.84719999999999995</v>
      </c>
      <c r="G41" s="68">
        <v>7221.21</v>
      </c>
      <c r="H41" s="69">
        <f t="shared" si="3"/>
        <v>6.1178091119999998</v>
      </c>
      <c r="I41" s="13">
        <f t="shared" si="4"/>
        <v>1019.6348519999999</v>
      </c>
      <c r="J41" s="25"/>
      <c r="L41" s="20"/>
      <c r="M41" s="21"/>
      <c r="N41" s="22"/>
    </row>
    <row r="42" spans="1:14" ht="15.75" hidden="1" customHeight="1">
      <c r="A42" s="31">
        <v>10</v>
      </c>
      <c r="B42" s="65" t="s">
        <v>126</v>
      </c>
      <c r="C42" s="66" t="s">
        <v>90</v>
      </c>
      <c r="D42" s="65" t="s">
        <v>69</v>
      </c>
      <c r="E42" s="67">
        <v>35.299999999999997</v>
      </c>
      <c r="F42" s="68">
        <f>SUM(E42*45/1000)</f>
        <v>1.5884999999999998</v>
      </c>
      <c r="G42" s="68">
        <v>533.45000000000005</v>
      </c>
      <c r="H42" s="69">
        <f t="shared" si="3"/>
        <v>0.84738532499999997</v>
      </c>
      <c r="I42" s="13">
        <f t="shared" si="4"/>
        <v>141.23088749999999</v>
      </c>
      <c r="J42" s="25"/>
      <c r="L42" s="20"/>
      <c r="M42" s="21"/>
      <c r="N42" s="22"/>
    </row>
    <row r="43" spans="1:14" ht="15.75" customHeight="1">
      <c r="A43" s="31">
        <v>10</v>
      </c>
      <c r="B43" s="65" t="s">
        <v>70</v>
      </c>
      <c r="C43" s="66" t="s">
        <v>33</v>
      </c>
      <c r="D43" s="65"/>
      <c r="E43" s="67"/>
      <c r="F43" s="68">
        <v>0.3</v>
      </c>
      <c r="G43" s="68">
        <v>992.97</v>
      </c>
      <c r="H43" s="69">
        <f t="shared" si="3"/>
        <v>0.29789100000000002</v>
      </c>
      <c r="I43" s="13">
        <f t="shared" si="4"/>
        <v>49.648499999999999</v>
      </c>
      <c r="J43" s="25"/>
      <c r="L43" s="20"/>
      <c r="M43" s="21"/>
      <c r="N43" s="22"/>
    </row>
    <row r="44" spans="1:14" ht="15.75" customHeight="1">
      <c r="A44" s="142" t="s">
        <v>152</v>
      </c>
      <c r="B44" s="143"/>
      <c r="C44" s="143"/>
      <c r="D44" s="143"/>
      <c r="E44" s="143"/>
      <c r="F44" s="143"/>
      <c r="G44" s="143"/>
      <c r="H44" s="143"/>
      <c r="I44" s="144"/>
      <c r="J44" s="25"/>
      <c r="L44" s="20"/>
      <c r="M44" s="21"/>
      <c r="N44" s="22"/>
    </row>
    <row r="45" spans="1:14" ht="15.75" hidden="1" customHeight="1">
      <c r="A45" s="31">
        <v>11</v>
      </c>
      <c r="B45" s="65" t="s">
        <v>108</v>
      </c>
      <c r="C45" s="66" t="s">
        <v>90</v>
      </c>
      <c r="D45" s="65" t="s">
        <v>43</v>
      </c>
      <c r="E45" s="67">
        <v>907.4</v>
      </c>
      <c r="F45" s="68">
        <f>SUM(E45*2/1000)</f>
        <v>1.8148</v>
      </c>
      <c r="G45" s="13">
        <v>1283.46</v>
      </c>
      <c r="H45" s="69">
        <f t="shared" ref="H45:H54" si="5">SUM(F45*G45/1000)</f>
        <v>2.3292232079999997</v>
      </c>
      <c r="I45" s="13">
        <f>F45/2*G45</f>
        <v>1164.6116039999999</v>
      </c>
      <c r="J45" s="25"/>
      <c r="L45" s="20"/>
      <c r="M45" s="21"/>
      <c r="N45" s="22"/>
    </row>
    <row r="46" spans="1:14" ht="15.75" hidden="1" customHeight="1">
      <c r="A46" s="31">
        <v>12</v>
      </c>
      <c r="B46" s="65" t="s">
        <v>36</v>
      </c>
      <c r="C46" s="66" t="s">
        <v>90</v>
      </c>
      <c r="D46" s="65" t="s">
        <v>43</v>
      </c>
      <c r="E46" s="67">
        <v>27</v>
      </c>
      <c r="F46" s="68">
        <f>SUM(E46*2/1000)</f>
        <v>5.3999999999999999E-2</v>
      </c>
      <c r="G46" s="13">
        <v>4192.6400000000003</v>
      </c>
      <c r="H46" s="69">
        <f t="shared" si="5"/>
        <v>0.22640256000000003</v>
      </c>
      <c r="I46" s="13">
        <f t="shared" ref="I46:I53" si="6">F46/2*G46</f>
        <v>113.20128000000001</v>
      </c>
      <c r="J46" s="25"/>
      <c r="L46" s="20"/>
      <c r="M46" s="21"/>
      <c r="N46" s="22"/>
    </row>
    <row r="47" spans="1:14" ht="15.75" hidden="1" customHeight="1">
      <c r="A47" s="31">
        <v>13</v>
      </c>
      <c r="B47" s="65" t="s">
        <v>37</v>
      </c>
      <c r="C47" s="66" t="s">
        <v>90</v>
      </c>
      <c r="D47" s="65" t="s">
        <v>43</v>
      </c>
      <c r="E47" s="67">
        <v>772</v>
      </c>
      <c r="F47" s="68">
        <f>SUM(E47*2/1000)</f>
        <v>1.544</v>
      </c>
      <c r="G47" s="13">
        <v>1711.28</v>
      </c>
      <c r="H47" s="69">
        <f t="shared" si="5"/>
        <v>2.6422163200000002</v>
      </c>
      <c r="I47" s="13">
        <f t="shared" si="6"/>
        <v>1321.10816</v>
      </c>
      <c r="J47" s="25"/>
      <c r="L47" s="20"/>
      <c r="M47" s="21"/>
      <c r="N47" s="22"/>
    </row>
    <row r="48" spans="1:14" ht="15.75" hidden="1" customHeight="1">
      <c r="A48" s="31">
        <v>14</v>
      </c>
      <c r="B48" s="65" t="s">
        <v>38</v>
      </c>
      <c r="C48" s="66" t="s">
        <v>90</v>
      </c>
      <c r="D48" s="65" t="s">
        <v>43</v>
      </c>
      <c r="E48" s="67">
        <v>959.4</v>
      </c>
      <c r="F48" s="68">
        <f>SUM(E48*2/1000)</f>
        <v>1.9188000000000001</v>
      </c>
      <c r="G48" s="13">
        <v>1179.73</v>
      </c>
      <c r="H48" s="69">
        <f t="shared" si="5"/>
        <v>2.2636659240000001</v>
      </c>
      <c r="I48" s="13">
        <f t="shared" si="6"/>
        <v>1131.832962</v>
      </c>
      <c r="J48" s="25"/>
      <c r="L48" s="20"/>
      <c r="M48" s="21"/>
      <c r="N48" s="22"/>
    </row>
    <row r="49" spans="1:22" ht="15.75" hidden="1" customHeight="1">
      <c r="A49" s="31">
        <v>15</v>
      </c>
      <c r="B49" s="65" t="s">
        <v>34</v>
      </c>
      <c r="C49" s="66" t="s">
        <v>35</v>
      </c>
      <c r="D49" s="65" t="s">
        <v>43</v>
      </c>
      <c r="E49" s="67">
        <v>66.02</v>
      </c>
      <c r="F49" s="68">
        <f>SUM(E49*2/100)</f>
        <v>1.3204</v>
      </c>
      <c r="G49" s="13">
        <v>90.61</v>
      </c>
      <c r="H49" s="69">
        <f t="shared" si="5"/>
        <v>0.11964144400000001</v>
      </c>
      <c r="I49" s="13">
        <f t="shared" si="6"/>
        <v>59.820722000000004</v>
      </c>
      <c r="J49" s="25"/>
      <c r="L49" s="20"/>
      <c r="M49" s="21"/>
      <c r="N49" s="22"/>
    </row>
    <row r="50" spans="1:22" ht="15.75" customHeight="1">
      <c r="A50" s="31">
        <v>11</v>
      </c>
      <c r="B50" s="65" t="s">
        <v>57</v>
      </c>
      <c r="C50" s="66" t="s">
        <v>90</v>
      </c>
      <c r="D50" s="65" t="s">
        <v>149</v>
      </c>
      <c r="E50" s="67">
        <v>1536.4</v>
      </c>
      <c r="F50" s="68">
        <f>SUM(E50*5/1000)</f>
        <v>7.6820000000000004</v>
      </c>
      <c r="G50" s="13">
        <v>1711.28</v>
      </c>
      <c r="H50" s="69">
        <f t="shared" si="5"/>
        <v>13.14605296</v>
      </c>
      <c r="I50" s="13">
        <f>F50/5*G50</f>
        <v>2629.2105919999999</v>
      </c>
      <c r="J50" s="25"/>
      <c r="L50" s="20"/>
      <c r="M50" s="21"/>
      <c r="N50" s="22"/>
    </row>
    <row r="51" spans="1:22" ht="32.25" hidden="1" customHeight="1">
      <c r="A51" s="31">
        <v>12</v>
      </c>
      <c r="B51" s="65" t="s">
        <v>91</v>
      </c>
      <c r="C51" s="66" t="s">
        <v>90</v>
      </c>
      <c r="D51" s="65" t="s">
        <v>43</v>
      </c>
      <c r="E51" s="67">
        <v>1536.4</v>
      </c>
      <c r="F51" s="68">
        <f>SUM(E51*2/1000)</f>
        <v>3.0728</v>
      </c>
      <c r="G51" s="13">
        <v>1510.06</v>
      </c>
      <c r="H51" s="69">
        <f t="shared" si="5"/>
        <v>4.6401123680000005</v>
      </c>
      <c r="I51" s="13">
        <f t="shared" si="6"/>
        <v>2320.056184</v>
      </c>
      <c r="J51" s="25"/>
      <c r="L51" s="20"/>
      <c r="M51" s="21"/>
      <c r="N51" s="22"/>
    </row>
    <row r="52" spans="1:22" ht="32.25" hidden="1" customHeight="1">
      <c r="A52" s="31">
        <v>13</v>
      </c>
      <c r="B52" s="65" t="s">
        <v>92</v>
      </c>
      <c r="C52" s="66" t="s">
        <v>39</v>
      </c>
      <c r="D52" s="65" t="s">
        <v>43</v>
      </c>
      <c r="E52" s="67">
        <v>9</v>
      </c>
      <c r="F52" s="68">
        <f>SUM(E52*2/100)</f>
        <v>0.18</v>
      </c>
      <c r="G52" s="13">
        <v>3850.4</v>
      </c>
      <c r="H52" s="69">
        <f t="shared" si="5"/>
        <v>0.69307200000000002</v>
      </c>
      <c r="I52" s="13">
        <f t="shared" si="6"/>
        <v>346.536</v>
      </c>
      <c r="J52" s="25"/>
      <c r="L52" s="20"/>
      <c r="M52" s="21"/>
      <c r="N52" s="22"/>
    </row>
    <row r="53" spans="1:22" ht="15.75" hidden="1" customHeight="1">
      <c r="A53" s="31">
        <v>14</v>
      </c>
      <c r="B53" s="65" t="s">
        <v>40</v>
      </c>
      <c r="C53" s="66" t="s">
        <v>41</v>
      </c>
      <c r="D53" s="65" t="s">
        <v>43</v>
      </c>
      <c r="E53" s="67">
        <v>1</v>
      </c>
      <c r="F53" s="68">
        <v>0.02</v>
      </c>
      <c r="G53" s="13">
        <v>7033.13</v>
      </c>
      <c r="H53" s="69">
        <f t="shared" si="5"/>
        <v>0.1406626</v>
      </c>
      <c r="I53" s="13">
        <f t="shared" si="6"/>
        <v>70.331299999999999</v>
      </c>
      <c r="J53" s="25"/>
      <c r="L53" s="20"/>
      <c r="M53" s="21"/>
      <c r="N53" s="22"/>
    </row>
    <row r="54" spans="1:22" ht="15.75" hidden="1" customHeight="1">
      <c r="A54" s="31"/>
      <c r="B54" s="65" t="s">
        <v>42</v>
      </c>
      <c r="C54" s="66" t="s">
        <v>109</v>
      </c>
      <c r="D54" s="65" t="s">
        <v>54</v>
      </c>
      <c r="E54" s="67">
        <v>53</v>
      </c>
      <c r="F54" s="68">
        <v>53</v>
      </c>
      <c r="G54" s="13">
        <v>81.73</v>
      </c>
      <c r="H54" s="69">
        <f t="shared" si="5"/>
        <v>4.3316900000000009</v>
      </c>
      <c r="I54" s="13">
        <f>F54/3*G54</f>
        <v>1443.8966666666668</v>
      </c>
      <c r="J54" s="25"/>
      <c r="L54" s="20"/>
    </row>
    <row r="55" spans="1:22" ht="15.75" customHeight="1">
      <c r="A55" s="142" t="s">
        <v>153</v>
      </c>
      <c r="B55" s="143"/>
      <c r="C55" s="143"/>
      <c r="D55" s="143"/>
      <c r="E55" s="143"/>
      <c r="F55" s="143"/>
      <c r="G55" s="143"/>
      <c r="H55" s="143"/>
      <c r="I55" s="144"/>
    </row>
    <row r="56" spans="1:22" ht="15.75" customHeight="1">
      <c r="A56" s="31"/>
      <c r="B56" s="85" t="s">
        <v>44</v>
      </c>
      <c r="C56" s="66"/>
      <c r="D56" s="65"/>
      <c r="E56" s="67"/>
      <c r="F56" s="68"/>
      <c r="G56" s="68"/>
      <c r="H56" s="69"/>
      <c r="I56" s="13"/>
    </row>
    <row r="57" spans="1:22" ht="31.5" customHeight="1">
      <c r="A57" s="31">
        <v>12</v>
      </c>
      <c r="B57" s="65" t="s">
        <v>110</v>
      </c>
      <c r="C57" s="66" t="s">
        <v>87</v>
      </c>
      <c r="D57" s="65" t="s">
        <v>111</v>
      </c>
      <c r="E57" s="67">
        <v>11.5</v>
      </c>
      <c r="F57" s="68">
        <f>SUM(E57*6/100)</f>
        <v>0.69</v>
      </c>
      <c r="G57" s="13">
        <v>2306.62</v>
      </c>
      <c r="H57" s="69">
        <f>SUM(F57*G57/1000)</f>
        <v>1.5915677999999998</v>
      </c>
      <c r="I57" s="13">
        <f t="shared" ref="I57" si="7">F57/6*G57</f>
        <v>265.26129999999995</v>
      </c>
    </row>
    <row r="58" spans="1:22" ht="15.75" hidden="1" customHeight="1">
      <c r="A58" s="31">
        <v>16</v>
      </c>
      <c r="B58" s="65" t="s">
        <v>127</v>
      </c>
      <c r="C58" s="66" t="s">
        <v>128</v>
      </c>
      <c r="D58" s="65" t="s">
        <v>68</v>
      </c>
      <c r="E58" s="67"/>
      <c r="F58" s="68">
        <v>2</v>
      </c>
      <c r="G58" s="88">
        <v>1501</v>
      </c>
      <c r="H58" s="69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1"/>
      <c r="B59" s="85" t="s">
        <v>45</v>
      </c>
      <c r="C59" s="66"/>
      <c r="D59" s="65"/>
      <c r="E59" s="67"/>
      <c r="F59" s="68"/>
      <c r="G59" s="89"/>
      <c r="H59" s="69"/>
      <c r="I59" s="13"/>
      <c r="J59" s="27"/>
      <c r="K59" s="27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1"/>
      <c r="B60" s="65" t="s">
        <v>112</v>
      </c>
      <c r="C60" s="66" t="s">
        <v>87</v>
      </c>
      <c r="D60" s="65" t="s">
        <v>54</v>
      </c>
      <c r="E60" s="67">
        <v>148</v>
      </c>
      <c r="F60" s="69">
        <f>E60/100</f>
        <v>1.48</v>
      </c>
      <c r="G60" s="13">
        <v>987.51</v>
      </c>
      <c r="H60" s="74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1">
        <v>13</v>
      </c>
      <c r="B61" s="76" t="s">
        <v>138</v>
      </c>
      <c r="C61" s="75" t="s">
        <v>25</v>
      </c>
      <c r="D61" s="76" t="s">
        <v>131</v>
      </c>
      <c r="E61" s="77">
        <v>140.5</v>
      </c>
      <c r="F61" s="68">
        <f>E61*12</f>
        <v>1686</v>
      </c>
      <c r="G61" s="90">
        <v>2.59</v>
      </c>
      <c r="H61" s="74">
        <f>F61*G61/1000</f>
        <v>4.3667400000000001</v>
      </c>
      <c r="I61" s="13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35"/>
      <c r="S61" s="135"/>
      <c r="T61" s="135"/>
      <c r="U61" s="135"/>
    </row>
    <row r="62" spans="1:22" ht="15.75" customHeight="1">
      <c r="A62" s="31"/>
      <c r="B62" s="86" t="s">
        <v>46</v>
      </c>
      <c r="C62" s="75"/>
      <c r="D62" s="76"/>
      <c r="E62" s="77"/>
      <c r="F62" s="78"/>
      <c r="G62" s="78"/>
      <c r="H62" s="79" t="s">
        <v>121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1">
        <v>11</v>
      </c>
      <c r="B63" s="14" t="s">
        <v>47</v>
      </c>
      <c r="C63" s="16" t="s">
        <v>109</v>
      </c>
      <c r="D63" s="14" t="s">
        <v>68</v>
      </c>
      <c r="E63" s="19">
        <v>2</v>
      </c>
      <c r="F63" s="68">
        <f>E63</f>
        <v>2</v>
      </c>
      <c r="G63" s="13">
        <v>276.74</v>
      </c>
      <c r="H63" s="64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1"/>
      <c r="B64" s="14" t="s">
        <v>48</v>
      </c>
      <c r="C64" s="16" t="s">
        <v>109</v>
      </c>
      <c r="D64" s="14" t="s">
        <v>68</v>
      </c>
      <c r="E64" s="19">
        <v>1</v>
      </c>
      <c r="F64" s="68">
        <f>E64</f>
        <v>1</v>
      </c>
      <c r="G64" s="13">
        <v>94.89</v>
      </c>
      <c r="H64" s="64">
        <f t="shared" si="8"/>
        <v>9.4890000000000002E-2</v>
      </c>
      <c r="I64" s="13">
        <v>0</v>
      </c>
    </row>
    <row r="65" spans="1:9" ht="15.75" hidden="1" customHeight="1">
      <c r="A65" s="31"/>
      <c r="B65" s="14" t="s">
        <v>49</v>
      </c>
      <c r="C65" s="16" t="s">
        <v>113</v>
      </c>
      <c r="D65" s="14" t="s">
        <v>54</v>
      </c>
      <c r="E65" s="67">
        <v>6307</v>
      </c>
      <c r="F65" s="13">
        <f>SUM(E65/100)</f>
        <v>63.07</v>
      </c>
      <c r="G65" s="13">
        <v>263.99</v>
      </c>
      <c r="H65" s="64">
        <f t="shared" si="8"/>
        <v>16.649849300000003</v>
      </c>
      <c r="I65" s="13">
        <v>0</v>
      </c>
    </row>
    <row r="66" spans="1:9" ht="15.75" hidden="1" customHeight="1">
      <c r="A66" s="31"/>
      <c r="B66" s="14" t="s">
        <v>50</v>
      </c>
      <c r="C66" s="16" t="s">
        <v>114</v>
      </c>
      <c r="D66" s="14"/>
      <c r="E66" s="67">
        <v>6307</v>
      </c>
      <c r="F66" s="13">
        <f>SUM(E66/1000)</f>
        <v>6.3070000000000004</v>
      </c>
      <c r="G66" s="13">
        <v>205.57</v>
      </c>
      <c r="H66" s="64">
        <f t="shared" si="8"/>
        <v>1.29652999</v>
      </c>
      <c r="I66" s="13">
        <v>0</v>
      </c>
    </row>
    <row r="67" spans="1:9" ht="15.75" hidden="1" customHeight="1">
      <c r="A67" s="31"/>
      <c r="B67" s="14" t="s">
        <v>51</v>
      </c>
      <c r="C67" s="16" t="s">
        <v>77</v>
      </c>
      <c r="D67" s="14" t="s">
        <v>54</v>
      </c>
      <c r="E67" s="67">
        <v>1003</v>
      </c>
      <c r="F67" s="13">
        <f>SUM(E67/100)</f>
        <v>10.029999999999999</v>
      </c>
      <c r="G67" s="13">
        <v>2581.5300000000002</v>
      </c>
      <c r="H67" s="64">
        <f t="shared" si="8"/>
        <v>25.892745900000001</v>
      </c>
      <c r="I67" s="13">
        <v>0</v>
      </c>
    </row>
    <row r="68" spans="1:9" ht="15.75" hidden="1" customHeight="1">
      <c r="A68" s="31"/>
      <c r="B68" s="80" t="s">
        <v>115</v>
      </c>
      <c r="C68" s="16" t="s">
        <v>33</v>
      </c>
      <c r="D68" s="14"/>
      <c r="E68" s="67">
        <v>6.6</v>
      </c>
      <c r="F68" s="13">
        <f>SUM(E68)</f>
        <v>6.6</v>
      </c>
      <c r="G68" s="13">
        <v>47.75</v>
      </c>
      <c r="H68" s="64">
        <f t="shared" si="8"/>
        <v>0.31514999999999999</v>
      </c>
      <c r="I68" s="13">
        <v>0</v>
      </c>
    </row>
    <row r="69" spans="1:9" ht="15.75" hidden="1" customHeight="1">
      <c r="A69" s="31"/>
      <c r="B69" s="80" t="s">
        <v>116</v>
      </c>
      <c r="C69" s="16" t="s">
        <v>33</v>
      </c>
      <c r="D69" s="14"/>
      <c r="E69" s="67">
        <v>6.6</v>
      </c>
      <c r="F69" s="13">
        <f>SUM(E69)</f>
        <v>6.6</v>
      </c>
      <c r="G69" s="13">
        <v>44.27</v>
      </c>
      <c r="H69" s="64">
        <f t="shared" si="8"/>
        <v>0.292182</v>
      </c>
      <c r="I69" s="13">
        <v>0</v>
      </c>
    </row>
    <row r="70" spans="1:9" ht="15.75" hidden="1" customHeight="1">
      <c r="A70" s="31">
        <v>19</v>
      </c>
      <c r="B70" s="14" t="s">
        <v>58</v>
      </c>
      <c r="C70" s="16" t="s">
        <v>59</v>
      </c>
      <c r="D70" s="14" t="s">
        <v>54</v>
      </c>
      <c r="E70" s="19">
        <v>3</v>
      </c>
      <c r="F70" s="68">
        <v>3</v>
      </c>
      <c r="G70" s="13">
        <v>62.07</v>
      </c>
      <c r="H70" s="64">
        <f t="shared" si="8"/>
        <v>0.18621000000000001</v>
      </c>
      <c r="I70" s="13">
        <f>F70*G70</f>
        <v>186.21</v>
      </c>
    </row>
    <row r="71" spans="1:9" ht="15.75" customHeight="1">
      <c r="A71" s="31">
        <v>14</v>
      </c>
      <c r="B71" s="14" t="s">
        <v>129</v>
      </c>
      <c r="C71" s="31" t="s">
        <v>130</v>
      </c>
      <c r="D71" s="14" t="s">
        <v>131</v>
      </c>
      <c r="E71" s="19">
        <v>1536.4</v>
      </c>
      <c r="F71" s="59">
        <f>E71*12</f>
        <v>18436.800000000003</v>
      </c>
      <c r="G71" s="13">
        <v>2.16</v>
      </c>
      <c r="H71" s="64">
        <f t="shared" si="8"/>
        <v>39.823488000000012</v>
      </c>
      <c r="I71" s="13">
        <f>F71/12*G71</f>
        <v>3318.6240000000007</v>
      </c>
    </row>
    <row r="72" spans="1:9" ht="15.75" customHeight="1">
      <c r="A72" s="31"/>
      <c r="B72" s="113" t="s">
        <v>72</v>
      </c>
      <c r="C72" s="16"/>
      <c r="D72" s="14"/>
      <c r="E72" s="19"/>
      <c r="F72" s="13"/>
      <c r="G72" s="13"/>
      <c r="H72" s="64" t="s">
        <v>121</v>
      </c>
      <c r="I72" s="13"/>
    </row>
    <row r="73" spans="1:9" ht="15.75" hidden="1" customHeight="1">
      <c r="A73" s="31"/>
      <c r="B73" s="14" t="s">
        <v>132</v>
      </c>
      <c r="C73" s="16" t="s">
        <v>133</v>
      </c>
      <c r="D73" s="14" t="s">
        <v>68</v>
      </c>
      <c r="E73" s="19">
        <v>1</v>
      </c>
      <c r="F73" s="13">
        <f>E73</f>
        <v>1</v>
      </c>
      <c r="G73" s="13">
        <v>976.4</v>
      </c>
      <c r="H73" s="64">
        <f t="shared" ref="H73:H74" si="9">SUM(F73*G73/1000)</f>
        <v>0.97639999999999993</v>
      </c>
      <c r="I73" s="13">
        <v>0</v>
      </c>
    </row>
    <row r="74" spans="1:9" ht="15.75" hidden="1" customHeight="1">
      <c r="A74" s="31"/>
      <c r="B74" s="14" t="s">
        <v>134</v>
      </c>
      <c r="C74" s="16" t="s">
        <v>135</v>
      </c>
      <c r="D74" s="14"/>
      <c r="E74" s="19">
        <v>1</v>
      </c>
      <c r="F74" s="13">
        <v>1</v>
      </c>
      <c r="G74" s="13">
        <v>650</v>
      </c>
      <c r="H74" s="64">
        <f t="shared" si="9"/>
        <v>0.65</v>
      </c>
      <c r="I74" s="13">
        <v>0</v>
      </c>
    </row>
    <row r="75" spans="1:9" ht="15.75" hidden="1" customHeight="1">
      <c r="A75" s="31">
        <v>13</v>
      </c>
      <c r="B75" s="14" t="s">
        <v>73</v>
      </c>
      <c r="C75" s="16" t="s">
        <v>75</v>
      </c>
      <c r="D75" s="14"/>
      <c r="E75" s="19">
        <v>3</v>
      </c>
      <c r="F75" s="13">
        <v>0.3</v>
      </c>
      <c r="G75" s="13">
        <v>624.16999999999996</v>
      </c>
      <c r="H75" s="64">
        <f t="shared" si="8"/>
        <v>0.18725099999999997</v>
      </c>
      <c r="I75" s="13">
        <f>G75*0.1</f>
        <v>62.417000000000002</v>
      </c>
    </row>
    <row r="76" spans="1:9" ht="15.75" hidden="1" customHeight="1">
      <c r="A76" s="31"/>
      <c r="B76" s="14" t="s">
        <v>74</v>
      </c>
      <c r="C76" s="16" t="s">
        <v>31</v>
      </c>
      <c r="D76" s="14"/>
      <c r="E76" s="19">
        <v>1</v>
      </c>
      <c r="F76" s="59">
        <v>1</v>
      </c>
      <c r="G76" s="13">
        <v>1061.4100000000001</v>
      </c>
      <c r="H76" s="64">
        <f>F76*G76/1000</f>
        <v>1.0614100000000002</v>
      </c>
      <c r="I76" s="13">
        <v>0</v>
      </c>
    </row>
    <row r="77" spans="1:9" ht="15.75" customHeight="1">
      <c r="A77" s="31">
        <v>15</v>
      </c>
      <c r="B77" s="48" t="s">
        <v>136</v>
      </c>
      <c r="C77" s="49" t="s">
        <v>109</v>
      </c>
      <c r="D77" s="14" t="s">
        <v>30</v>
      </c>
      <c r="E77" s="19">
        <v>1</v>
      </c>
      <c r="F77" s="13">
        <f>E77*12</f>
        <v>12</v>
      </c>
      <c r="G77" s="13">
        <v>50.69</v>
      </c>
      <c r="H77" s="64">
        <f>G77*F77/1000</f>
        <v>0.60827999999999993</v>
      </c>
      <c r="I77" s="13">
        <f>G77</f>
        <v>50.69</v>
      </c>
    </row>
    <row r="78" spans="1:9" ht="15.75" hidden="1" customHeight="1">
      <c r="A78" s="31"/>
      <c r="B78" s="82" t="s">
        <v>76</v>
      </c>
      <c r="C78" s="16"/>
      <c r="D78" s="14"/>
      <c r="E78" s="19"/>
      <c r="F78" s="13"/>
      <c r="G78" s="13" t="s">
        <v>121</v>
      </c>
      <c r="H78" s="64" t="s">
        <v>121</v>
      </c>
      <c r="I78" s="13" t="str">
        <f>G78</f>
        <v xml:space="preserve"> </v>
      </c>
    </row>
    <row r="79" spans="1:9" ht="15.75" hidden="1" customHeight="1">
      <c r="A79" s="31"/>
      <c r="B79" s="45" t="s">
        <v>137</v>
      </c>
      <c r="C79" s="16" t="s">
        <v>77</v>
      </c>
      <c r="D79" s="14"/>
      <c r="E79" s="19"/>
      <c r="F79" s="13">
        <v>0.1</v>
      </c>
      <c r="G79" s="13">
        <v>3433.69</v>
      </c>
      <c r="H79" s="64">
        <f t="shared" si="8"/>
        <v>0.34336900000000004</v>
      </c>
      <c r="I79" s="13">
        <v>0</v>
      </c>
    </row>
    <row r="80" spans="1:9" ht="15.75" hidden="1" customHeight="1">
      <c r="A80" s="31"/>
      <c r="B80" s="58" t="s">
        <v>93</v>
      </c>
      <c r="C80" s="82"/>
      <c r="D80" s="32"/>
      <c r="E80" s="33"/>
      <c r="F80" s="71"/>
      <c r="G80" s="71"/>
      <c r="H80" s="83">
        <f>SUM(H57:H79)</f>
        <v>99.353057790000008</v>
      </c>
      <c r="I80" s="13"/>
    </row>
    <row r="81" spans="1:9" ht="15.75" hidden="1" customHeight="1">
      <c r="A81" s="31">
        <v>19</v>
      </c>
      <c r="B81" s="65" t="s">
        <v>117</v>
      </c>
      <c r="C81" s="16"/>
      <c r="D81" s="14"/>
      <c r="E81" s="60"/>
      <c r="F81" s="13">
        <v>1</v>
      </c>
      <c r="G81" s="13">
        <v>6105.8</v>
      </c>
      <c r="H81" s="64">
        <f>G81*F81/1000</f>
        <v>6.1058000000000003</v>
      </c>
      <c r="I81" s="13">
        <f>G81</f>
        <v>6105.8</v>
      </c>
    </row>
    <row r="82" spans="1:9" ht="15.75" customHeight="1">
      <c r="A82" s="142" t="s">
        <v>154</v>
      </c>
      <c r="B82" s="143"/>
      <c r="C82" s="143"/>
      <c r="D82" s="143"/>
      <c r="E82" s="143"/>
      <c r="F82" s="143"/>
      <c r="G82" s="143"/>
      <c r="H82" s="143"/>
      <c r="I82" s="144"/>
    </row>
    <row r="83" spans="1:9" ht="15.75" customHeight="1">
      <c r="A83" s="31">
        <v>16</v>
      </c>
      <c r="B83" s="65" t="s">
        <v>118</v>
      </c>
      <c r="C83" s="16" t="s">
        <v>55</v>
      </c>
      <c r="D83" s="84" t="s">
        <v>56</v>
      </c>
      <c r="E83" s="13">
        <v>1536.4</v>
      </c>
      <c r="F83" s="13">
        <f>SUM(E83*12)</f>
        <v>18436.800000000003</v>
      </c>
      <c r="G83" s="13">
        <v>2.95</v>
      </c>
      <c r="H83" s="64">
        <f>SUM(F83*G83/1000)</f>
        <v>54.388560000000012</v>
      </c>
      <c r="I83" s="13">
        <f>F83/12*G83</f>
        <v>4532.380000000001</v>
      </c>
    </row>
    <row r="84" spans="1:9" ht="31.5" customHeight="1">
      <c r="A84" s="31">
        <v>17</v>
      </c>
      <c r="B84" s="14" t="s">
        <v>78</v>
      </c>
      <c r="C84" s="16"/>
      <c r="D84" s="84" t="s">
        <v>56</v>
      </c>
      <c r="E84" s="67">
        <f>E83</f>
        <v>1536.4</v>
      </c>
      <c r="F84" s="13">
        <f>E84*12</f>
        <v>18436.800000000003</v>
      </c>
      <c r="G84" s="13">
        <v>3.05</v>
      </c>
      <c r="H84" s="64">
        <f>F84*G84/1000</f>
        <v>56.232240000000004</v>
      </c>
      <c r="I84" s="13">
        <f>F84/12*G84</f>
        <v>4686.0200000000004</v>
      </c>
    </row>
    <row r="85" spans="1:9" ht="15.75" customHeight="1">
      <c r="A85" s="31"/>
      <c r="B85" s="38" t="s">
        <v>81</v>
      </c>
      <c r="C85" s="82"/>
      <c r="D85" s="81"/>
      <c r="E85" s="71"/>
      <c r="F85" s="71"/>
      <c r="G85" s="71"/>
      <c r="H85" s="83">
        <f>H84</f>
        <v>56.232240000000004</v>
      </c>
      <c r="I85" s="71">
        <f>I16+I17+I18+I27+I28+I38+I39+I40+I41+I43+I50+I57+I61+I71+I77+I83+I84</f>
        <v>31989.578601499998</v>
      </c>
    </row>
    <row r="86" spans="1:9" ht="15.75" customHeight="1">
      <c r="A86" s="128" t="s">
        <v>61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1">
        <v>18</v>
      </c>
      <c r="B87" s="48" t="s">
        <v>139</v>
      </c>
      <c r="C87" s="49" t="s">
        <v>109</v>
      </c>
      <c r="D87" s="45"/>
      <c r="E87" s="13"/>
      <c r="F87" s="13">
        <v>104</v>
      </c>
      <c r="G87" s="13">
        <v>53.42</v>
      </c>
      <c r="H87" s="13">
        <f t="shared" ref="H87:H89" si="10">G87*F87/1000</f>
        <v>5.5556800000000006</v>
      </c>
      <c r="I87" s="13">
        <f>G87*26</f>
        <v>1388.92</v>
      </c>
    </row>
    <row r="88" spans="1:9" ht="31.5" customHeight="1">
      <c r="A88" s="31">
        <v>19</v>
      </c>
      <c r="B88" s="48" t="s">
        <v>223</v>
      </c>
      <c r="C88" s="49" t="s">
        <v>224</v>
      </c>
      <c r="D88" s="45"/>
      <c r="E88" s="35"/>
      <c r="F88" s="35">
        <v>2</v>
      </c>
      <c r="G88" s="35">
        <v>609.27</v>
      </c>
      <c r="H88" s="105">
        <f t="shared" si="10"/>
        <v>1.21854</v>
      </c>
      <c r="I88" s="13">
        <f>G88*2</f>
        <v>1218.54</v>
      </c>
    </row>
    <row r="89" spans="1:9" ht="15.75" customHeight="1">
      <c r="A89" s="31">
        <v>20</v>
      </c>
      <c r="B89" s="48" t="s">
        <v>233</v>
      </c>
      <c r="C89" s="49" t="s">
        <v>33</v>
      </c>
      <c r="D89" s="126"/>
      <c r="E89" s="18"/>
      <c r="F89" s="35">
        <f>(17.46+36.06+21.36+11.12+36.04+33.63)-(3.29*6)</f>
        <v>135.92999999999998</v>
      </c>
      <c r="G89" s="35">
        <v>44.31</v>
      </c>
      <c r="H89" s="35">
        <f t="shared" si="10"/>
        <v>6.0230582999999998</v>
      </c>
      <c r="I89" s="13">
        <f>G89*F89</f>
        <v>6023.0582999999997</v>
      </c>
    </row>
    <row r="90" spans="1:9" ht="15.75" customHeight="1">
      <c r="A90" s="31"/>
      <c r="B90" s="43" t="s">
        <v>52</v>
      </c>
      <c r="C90" s="39"/>
      <c r="D90" s="46"/>
      <c r="E90" s="39">
        <v>1</v>
      </c>
      <c r="F90" s="39"/>
      <c r="G90" s="39"/>
      <c r="H90" s="39"/>
      <c r="I90" s="33">
        <f>SUM(I87:I89)</f>
        <v>8630.5182999999997</v>
      </c>
    </row>
    <row r="91" spans="1:9" ht="15.75" customHeight="1">
      <c r="A91" s="31"/>
      <c r="B91" s="45" t="s">
        <v>79</v>
      </c>
      <c r="C91" s="15"/>
      <c r="D91" s="15"/>
      <c r="E91" s="40"/>
      <c r="F91" s="40"/>
      <c r="G91" s="41"/>
      <c r="H91" s="41"/>
      <c r="I91" s="18">
        <v>0</v>
      </c>
    </row>
    <row r="92" spans="1:9">
      <c r="A92" s="47"/>
      <c r="B92" s="44" t="s">
        <v>177</v>
      </c>
      <c r="C92" s="34"/>
      <c r="D92" s="34"/>
      <c r="E92" s="34"/>
      <c r="F92" s="34"/>
      <c r="G92" s="34"/>
      <c r="H92" s="34"/>
      <c r="I92" s="42">
        <f>I85+I90</f>
        <v>40620.096901500001</v>
      </c>
    </row>
    <row r="93" spans="1:9" ht="15.75">
      <c r="A93" s="137" t="s">
        <v>234</v>
      </c>
      <c r="B93" s="137"/>
      <c r="C93" s="137"/>
      <c r="D93" s="137"/>
      <c r="E93" s="137"/>
      <c r="F93" s="137"/>
      <c r="G93" s="137"/>
      <c r="H93" s="137"/>
      <c r="I93" s="137"/>
    </row>
    <row r="94" spans="1:9" ht="15.75" customHeight="1">
      <c r="A94" s="57"/>
      <c r="B94" s="138" t="s">
        <v>235</v>
      </c>
      <c r="C94" s="138"/>
      <c r="D94" s="138"/>
      <c r="E94" s="138"/>
      <c r="F94" s="138"/>
      <c r="G94" s="138"/>
      <c r="H94" s="63"/>
      <c r="I94" s="3"/>
    </row>
    <row r="95" spans="1:9">
      <c r="A95" s="110"/>
      <c r="B95" s="133" t="s">
        <v>6</v>
      </c>
      <c r="C95" s="133"/>
      <c r="D95" s="133"/>
      <c r="E95" s="133"/>
      <c r="F95" s="133"/>
      <c r="G95" s="133"/>
      <c r="H95" s="26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9" t="s">
        <v>7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 customHeight="1">
      <c r="A98" s="139" t="s">
        <v>8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>
      <c r="A99" s="140" t="s">
        <v>62</v>
      </c>
      <c r="B99" s="140"/>
      <c r="C99" s="140"/>
      <c r="D99" s="140"/>
      <c r="E99" s="140"/>
      <c r="F99" s="140"/>
      <c r="G99" s="140"/>
      <c r="H99" s="140"/>
      <c r="I99" s="140"/>
    </row>
    <row r="100" spans="1:9" ht="15.75">
      <c r="A100" s="11"/>
    </row>
    <row r="101" spans="1:9" ht="15.75">
      <c r="A101" s="131" t="s">
        <v>9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>
      <c r="A102" s="4"/>
    </row>
    <row r="103" spans="1:9" ht="15.75">
      <c r="B103" s="111" t="s">
        <v>10</v>
      </c>
      <c r="C103" s="132" t="s">
        <v>148</v>
      </c>
      <c r="D103" s="132"/>
      <c r="E103" s="132"/>
      <c r="F103" s="61"/>
      <c r="I103" s="109"/>
    </row>
    <row r="104" spans="1:9">
      <c r="A104" s="110"/>
      <c r="C104" s="133" t="s">
        <v>11</v>
      </c>
      <c r="D104" s="133"/>
      <c r="E104" s="133"/>
      <c r="F104" s="26"/>
      <c r="I104" s="108" t="s">
        <v>12</v>
      </c>
    </row>
    <row r="105" spans="1:9" ht="15.75">
      <c r="A105" s="27"/>
      <c r="C105" s="12"/>
      <c r="D105" s="12"/>
      <c r="G105" s="12"/>
      <c r="H105" s="12"/>
    </row>
    <row r="106" spans="1:9" ht="15.75" customHeight="1">
      <c r="B106" s="111" t="s">
        <v>13</v>
      </c>
      <c r="C106" s="134"/>
      <c r="D106" s="134"/>
      <c r="E106" s="134"/>
      <c r="F106" s="62"/>
      <c r="I106" s="109"/>
    </row>
    <row r="107" spans="1:9" ht="15.75" customHeight="1">
      <c r="A107" s="110"/>
      <c r="C107" s="135" t="s">
        <v>11</v>
      </c>
      <c r="D107" s="135"/>
      <c r="E107" s="135"/>
      <c r="F107" s="110"/>
      <c r="I107" s="108" t="s">
        <v>12</v>
      </c>
    </row>
    <row r="108" spans="1:9" ht="15.75" customHeight="1">
      <c r="A108" s="4" t="s">
        <v>14</v>
      </c>
    </row>
    <row r="109" spans="1:9">
      <c r="A109" s="136" t="s">
        <v>15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45" customHeight="1">
      <c r="A110" s="127" t="s">
        <v>16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30" customHeight="1">
      <c r="A111" s="127" t="s">
        <v>17</v>
      </c>
      <c r="B111" s="127"/>
      <c r="C111" s="127"/>
      <c r="D111" s="127"/>
      <c r="E111" s="127"/>
      <c r="F111" s="127"/>
      <c r="G111" s="127"/>
      <c r="H111" s="127"/>
      <c r="I111" s="127"/>
    </row>
    <row r="112" spans="1:9" ht="30" customHeight="1">
      <c r="A112" s="127" t="s">
        <v>21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5" customHeight="1">
      <c r="A113" s="127" t="s">
        <v>20</v>
      </c>
      <c r="B113" s="127"/>
      <c r="C113" s="127"/>
      <c r="D113" s="127"/>
      <c r="E113" s="127"/>
      <c r="F113" s="127"/>
      <c r="G113" s="127"/>
      <c r="H113" s="127"/>
      <c r="I113" s="127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2017-12-18T11:50:55Z</cp:lastPrinted>
  <dcterms:created xsi:type="dcterms:W3CDTF">2016-03-25T08:33:47Z</dcterms:created>
  <dcterms:modified xsi:type="dcterms:W3CDTF">2018-04-17T06:20:59Z</dcterms:modified>
</cp:coreProperties>
</file>