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Нефт.13" sheetId="1" r:id="rId1"/>
  </sheets>
  <calcPr calcId="124519"/>
</workbook>
</file>

<file path=xl/calcChain.xml><?xml version="1.0" encoding="utf-8"?>
<calcChain xmlns="http://schemas.openxmlformats.org/spreadsheetml/2006/main">
  <c r="N105" i="1"/>
  <c r="Q115" l="1"/>
  <c r="Q111"/>
  <c r="U111" l="1"/>
  <c r="H111"/>
  <c r="S96"/>
  <c r="S99"/>
  <c r="S88"/>
  <c r="U110"/>
  <c r="T110"/>
  <c r="H110"/>
  <c r="T99"/>
  <c r="U109"/>
  <c r="T109"/>
  <c r="H109"/>
  <c r="T103"/>
  <c r="U103" s="1"/>
  <c r="T87"/>
  <c r="T93"/>
  <c r="T88"/>
  <c r="U108"/>
  <c r="O108"/>
  <c r="H108"/>
  <c r="P106"/>
  <c r="U107"/>
  <c r="O107"/>
  <c r="H107"/>
  <c r="U106"/>
  <c r="H106"/>
  <c r="P91"/>
  <c r="U91"/>
  <c r="U90"/>
  <c r="U89"/>
  <c r="U87"/>
  <c r="U105"/>
  <c r="H105"/>
  <c r="U104"/>
  <c r="N104"/>
  <c r="N103"/>
  <c r="H104"/>
  <c r="H103"/>
  <c r="P94"/>
  <c r="R93"/>
  <c r="N99"/>
  <c r="O99"/>
  <c r="N88"/>
  <c r="U102"/>
  <c r="P102"/>
  <c r="H102"/>
  <c r="U101"/>
  <c r="P101"/>
  <c r="H101"/>
  <c r="P87"/>
  <c r="N73"/>
  <c r="N87"/>
  <c r="O87"/>
  <c r="S87"/>
  <c r="Q87"/>
  <c r="N93"/>
  <c r="N62"/>
  <c r="Q57"/>
  <c r="S115"/>
  <c r="T80"/>
  <c r="S80"/>
  <c r="T78"/>
  <c r="S78"/>
  <c r="T58"/>
  <c r="S58"/>
  <c r="R58"/>
  <c r="Q58"/>
  <c r="P58"/>
  <c r="O58"/>
  <c r="N58"/>
  <c r="T55"/>
  <c r="S55"/>
  <c r="T48"/>
  <c r="T40"/>
  <c r="S40"/>
  <c r="T39"/>
  <c r="S39"/>
  <c r="T38"/>
  <c r="S38"/>
  <c r="T37"/>
  <c r="S37"/>
  <c r="S36"/>
  <c r="T35"/>
  <c r="S35"/>
  <c r="T34"/>
  <c r="S34"/>
  <c r="T31"/>
  <c r="S31"/>
  <c r="T28"/>
  <c r="S28"/>
  <c r="T16"/>
  <c r="S16"/>
  <c r="T15"/>
  <c r="S15"/>
  <c r="T13"/>
  <c r="S13"/>
  <c r="T12"/>
  <c r="S12"/>
  <c r="T11"/>
  <c r="S11"/>
  <c r="N100"/>
  <c r="U100" s="1"/>
  <c r="H100"/>
  <c r="H112" s="1"/>
  <c r="R115"/>
  <c r="P115"/>
  <c r="O115"/>
  <c r="N115"/>
  <c r="R80"/>
  <c r="Q80"/>
  <c r="P80"/>
  <c r="O80"/>
  <c r="N80"/>
  <c r="R78"/>
  <c r="Q78"/>
  <c r="P78"/>
  <c r="O78"/>
  <c r="N78"/>
  <c r="N77"/>
  <c r="Q69"/>
  <c r="P52"/>
  <c r="N51"/>
  <c r="N50"/>
  <c r="N49"/>
  <c r="Q48"/>
  <c r="R47"/>
  <c r="R46"/>
  <c r="R45"/>
  <c r="R44"/>
  <c r="R43"/>
  <c r="R31"/>
  <c r="Q31"/>
  <c r="P31"/>
  <c r="O31"/>
  <c r="N31"/>
  <c r="R28"/>
  <c r="Q28"/>
  <c r="P28"/>
  <c r="O28"/>
  <c r="N28"/>
  <c r="R27"/>
  <c r="Q27"/>
  <c r="P27"/>
  <c r="O27"/>
  <c r="N27"/>
  <c r="R26"/>
  <c r="Q26"/>
  <c r="P26"/>
  <c r="O26"/>
  <c r="N26"/>
  <c r="M25"/>
  <c r="R24"/>
  <c r="Q24"/>
  <c r="P24"/>
  <c r="O24"/>
  <c r="N24"/>
  <c r="R23"/>
  <c r="Q23"/>
  <c r="P23"/>
  <c r="O23"/>
  <c r="N23"/>
  <c r="N20"/>
  <c r="N19"/>
  <c r="N18"/>
  <c r="N17"/>
  <c r="R16"/>
  <c r="Q16"/>
  <c r="P16"/>
  <c r="O16"/>
  <c r="N16"/>
  <c r="R15"/>
  <c r="Q15"/>
  <c r="P15"/>
  <c r="O15"/>
  <c r="N15"/>
  <c r="N14"/>
  <c r="R13"/>
  <c r="Q13"/>
  <c r="P13"/>
  <c r="O13"/>
  <c r="N13"/>
  <c r="R12"/>
  <c r="Q12"/>
  <c r="P12"/>
  <c r="O12"/>
  <c r="N12"/>
  <c r="R11"/>
  <c r="Q11"/>
  <c r="P11"/>
  <c r="O11"/>
  <c r="N11"/>
  <c r="M93"/>
  <c r="M94"/>
  <c r="M96"/>
  <c r="U99"/>
  <c r="M99"/>
  <c r="H99"/>
  <c r="M98"/>
  <c r="U98" s="1"/>
  <c r="H98"/>
  <c r="M71"/>
  <c r="M88"/>
  <c r="M58"/>
  <c r="L52"/>
  <c r="M49"/>
  <c r="F27"/>
  <c r="M27" s="1"/>
  <c r="U27" s="1"/>
  <c r="M26"/>
  <c r="L97"/>
  <c r="U97" s="1"/>
  <c r="H97"/>
  <c r="U96"/>
  <c r="L96"/>
  <c r="H96"/>
  <c r="L91"/>
  <c r="L58"/>
  <c r="L40"/>
  <c r="L34"/>
  <c r="K95"/>
  <c r="U95" s="1"/>
  <c r="H95"/>
  <c r="K87"/>
  <c r="K91"/>
  <c r="K58"/>
  <c r="K40"/>
  <c r="K34"/>
  <c r="F77"/>
  <c r="U77"/>
  <c r="H77"/>
  <c r="J94"/>
  <c r="U94" s="1"/>
  <c r="H94"/>
  <c r="J93"/>
  <c r="U93" s="1"/>
  <c r="H93"/>
  <c r="J92"/>
  <c r="U92" s="1"/>
  <c r="H92"/>
  <c r="J91"/>
  <c r="H91"/>
  <c r="J62"/>
  <c r="J90"/>
  <c r="H90"/>
  <c r="J87"/>
  <c r="J58"/>
  <c r="J52"/>
  <c r="J40"/>
  <c r="J34"/>
  <c r="I89"/>
  <c r="H89"/>
  <c r="I88"/>
  <c r="U88" s="1"/>
  <c r="H88"/>
  <c r="U75"/>
  <c r="U73"/>
  <c r="U72"/>
  <c r="U71"/>
  <c r="U69"/>
  <c r="U63"/>
  <c r="U62"/>
  <c r="U60"/>
  <c r="U52"/>
  <c r="U30"/>
  <c r="U29"/>
  <c r="U26"/>
  <c r="U25"/>
  <c r="U20"/>
  <c r="U19"/>
  <c r="U18"/>
  <c r="U17"/>
  <c r="U14"/>
  <c r="I58"/>
  <c r="U58" s="1"/>
  <c r="I51"/>
  <c r="U51" s="1"/>
  <c r="I40"/>
  <c r="U40" s="1"/>
  <c r="I36"/>
  <c r="U36" s="1"/>
  <c r="I34"/>
  <c r="U34" s="1"/>
  <c r="I87"/>
  <c r="H87"/>
  <c r="U112" l="1"/>
  <c r="T115"/>
  <c r="F65"/>
  <c r="M65" s="1"/>
  <c r="U65" s="1"/>
  <c r="F64"/>
  <c r="M64" s="1"/>
  <c r="U64" s="1"/>
  <c r="H58"/>
  <c r="F52"/>
  <c r="F47" l="1"/>
  <c r="L47" s="1"/>
  <c r="U47" s="1"/>
  <c r="F38"/>
  <c r="F35"/>
  <c r="I38" l="1"/>
  <c r="L38"/>
  <c r="J38"/>
  <c r="K38"/>
  <c r="I35"/>
  <c r="L35"/>
  <c r="J35"/>
  <c r="K35"/>
  <c r="F23"/>
  <c r="F16"/>
  <c r="H23" l="1"/>
  <c r="M23"/>
  <c r="U23" s="1"/>
  <c r="U35"/>
  <c r="U38"/>
  <c r="L16"/>
  <c r="K16"/>
  <c r="M16"/>
  <c r="I16"/>
  <c r="U16" s="1"/>
  <c r="J16"/>
  <c r="F57"/>
  <c r="F55"/>
  <c r="I55" l="1"/>
  <c r="L55"/>
  <c r="K55"/>
  <c r="J55"/>
  <c r="H57"/>
  <c r="U57"/>
  <c r="H47"/>
  <c r="F48"/>
  <c r="H19"/>
  <c r="H55"/>
  <c r="U55" l="1"/>
  <c r="I48"/>
  <c r="M48"/>
  <c r="J48"/>
  <c r="H36"/>
  <c r="U48" l="1"/>
  <c r="H73"/>
  <c r="C121" l="1"/>
  <c r="H114"/>
  <c r="F115"/>
  <c r="E80"/>
  <c r="H83" s="1"/>
  <c r="F78"/>
  <c r="H75"/>
  <c r="F72"/>
  <c r="H72" s="1"/>
  <c r="F69"/>
  <c r="H69" s="1"/>
  <c r="F68"/>
  <c r="F67"/>
  <c r="F66"/>
  <c r="H65"/>
  <c r="H64"/>
  <c r="H63"/>
  <c r="H62"/>
  <c r="H52"/>
  <c r="H51"/>
  <c r="F50"/>
  <c r="F49"/>
  <c r="F46"/>
  <c r="F45"/>
  <c r="F44"/>
  <c r="F43"/>
  <c r="H40"/>
  <c r="F39"/>
  <c r="H38"/>
  <c r="F37"/>
  <c r="H35"/>
  <c r="H34"/>
  <c r="F31"/>
  <c r="H30"/>
  <c r="H29"/>
  <c r="F28"/>
  <c r="H27"/>
  <c r="F25"/>
  <c r="H25" s="1"/>
  <c r="F24"/>
  <c r="F20"/>
  <c r="H20" s="1"/>
  <c r="F18"/>
  <c r="H18" s="1"/>
  <c r="F17"/>
  <c r="H17" s="1"/>
  <c r="F15"/>
  <c r="F14"/>
  <c r="H14" s="1"/>
  <c r="E13"/>
  <c r="F13" s="1"/>
  <c r="F12"/>
  <c r="F11"/>
  <c r="I11" l="1"/>
  <c r="L11"/>
  <c r="K11"/>
  <c r="M11"/>
  <c r="J11"/>
  <c r="I12"/>
  <c r="M12"/>
  <c r="J12"/>
  <c r="L12"/>
  <c r="K12"/>
  <c r="I28"/>
  <c r="K28"/>
  <c r="J28"/>
  <c r="M28"/>
  <c r="L28"/>
  <c r="K37"/>
  <c r="L37"/>
  <c r="J37"/>
  <c r="K39"/>
  <c r="L39"/>
  <c r="J39"/>
  <c r="H43"/>
  <c r="L43"/>
  <c r="U43" s="1"/>
  <c r="H45"/>
  <c r="L45"/>
  <c r="U45" s="1"/>
  <c r="H66"/>
  <c r="M66"/>
  <c r="U66" s="1"/>
  <c r="H68"/>
  <c r="M68"/>
  <c r="U68" s="1"/>
  <c r="I78"/>
  <c r="M78"/>
  <c r="L78"/>
  <c r="K78"/>
  <c r="J78"/>
  <c r="I13"/>
  <c r="L13"/>
  <c r="K13"/>
  <c r="M13"/>
  <c r="J13"/>
  <c r="I15"/>
  <c r="M15"/>
  <c r="J15"/>
  <c r="L15"/>
  <c r="K15"/>
  <c r="H24"/>
  <c r="M24"/>
  <c r="U24" s="1"/>
  <c r="H31"/>
  <c r="M31"/>
  <c r="L31"/>
  <c r="I31"/>
  <c r="K31"/>
  <c r="J31"/>
  <c r="H44"/>
  <c r="L44"/>
  <c r="U44" s="1"/>
  <c r="H46"/>
  <c r="L46"/>
  <c r="U46" s="1"/>
  <c r="H67"/>
  <c r="M67"/>
  <c r="U67" s="1"/>
  <c r="H37"/>
  <c r="I37"/>
  <c r="U37" s="1"/>
  <c r="H39"/>
  <c r="I39"/>
  <c r="U39" s="1"/>
  <c r="H49"/>
  <c r="I49"/>
  <c r="U49" s="1"/>
  <c r="H50"/>
  <c r="I50"/>
  <c r="U50" s="1"/>
  <c r="H78"/>
  <c r="H28"/>
  <c r="H32" s="1"/>
  <c r="H48"/>
  <c r="H53" s="1"/>
  <c r="H11"/>
  <c r="H12"/>
  <c r="H16"/>
  <c r="H13"/>
  <c r="H15"/>
  <c r="H79"/>
  <c r="F80"/>
  <c r="H41"/>
  <c r="H76"/>
  <c r="I80" l="1"/>
  <c r="J80"/>
  <c r="J115" s="1"/>
  <c r="M80"/>
  <c r="L80"/>
  <c r="K80"/>
  <c r="U13"/>
  <c r="U76"/>
  <c r="U28"/>
  <c r="K115"/>
  <c r="U11"/>
  <c r="U31"/>
  <c r="U15"/>
  <c r="U78"/>
  <c r="U79" s="1"/>
  <c r="U12"/>
  <c r="M115"/>
  <c r="L115"/>
  <c r="U53"/>
  <c r="U41"/>
  <c r="H21"/>
  <c r="H80"/>
  <c r="H81" s="1"/>
  <c r="I115"/>
  <c r="U21" l="1"/>
  <c r="U80"/>
  <c r="U81" s="1"/>
  <c r="U32"/>
  <c r="H82"/>
  <c r="H84" s="1"/>
  <c r="G115" s="1"/>
  <c r="H115" s="1"/>
  <c r="U82" l="1"/>
  <c r="U115" s="1"/>
  <c r="C124" s="1"/>
  <c r="C120" l="1"/>
</calcChain>
</file>

<file path=xl/sharedStrings.xml><?xml version="1.0" encoding="utf-8"?>
<sst xmlns="http://schemas.openxmlformats.org/spreadsheetml/2006/main" count="340" uniqueCount="253">
  <si>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</si>
  <si>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</si>
  <si>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</si>
  <si>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</si>
  <si>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</si>
  <si>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</si>
  <si>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</si>
  <si>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</si>
  <si>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</si>
  <si>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</si>
  <si>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</si>
  <si>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</si>
  <si>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ТЭР 51-001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</si>
  <si>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</si>
  <si>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</si>
  <si>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</si>
  <si>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</si>
  <si>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</si>
  <si>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ТЭР 51-009</t>
  </si>
  <si>
    <t>Мытье лестничных  площадок и маршей 1-5 этаж.</t>
  </si>
  <si>
    <t xml:space="preserve">2 раза в месяц   24 раза в год </t>
  </si>
  <si>
    <t xml:space="preserve"> ТЭР 51-031</t>
  </si>
  <si>
    <t>Мытье окон</t>
  </si>
  <si>
    <t>10м2</t>
  </si>
  <si>
    <t>ТЭР 51-025</t>
  </si>
  <si>
    <t>Влажная протирка перил</t>
  </si>
  <si>
    <t>ТЭР 51-023</t>
  </si>
  <si>
    <t>Влажная протирка почтовых ящиков</t>
  </si>
  <si>
    <t>ТЭР 51-018</t>
  </si>
  <si>
    <t xml:space="preserve">Влажная уборка стен </t>
  </si>
  <si>
    <t>100 м2</t>
  </si>
  <si>
    <t>ТЭР 51-019</t>
  </si>
  <si>
    <t>Влажная протирка дверей</t>
  </si>
  <si>
    <t>ТЭР 51-024</t>
  </si>
  <si>
    <t>Влажная протирка отопительных приборов</t>
  </si>
  <si>
    <t>итого:</t>
  </si>
  <si>
    <t>Летняя уборка</t>
  </si>
  <si>
    <t>ТЭР 53-020</t>
  </si>
  <si>
    <t xml:space="preserve"> - Уборка  газонов</t>
  </si>
  <si>
    <t>2 раза в неделю 52 раза в сезон</t>
  </si>
  <si>
    <t>ТЭР 53-001</t>
  </si>
  <si>
    <t xml:space="preserve"> - Подметание территории с усовершенствованным покрытием асф:крыльца,контейнерн пл,проезд,тротуар</t>
  </si>
  <si>
    <t>1000м2</t>
  </si>
  <si>
    <t>3 раза в неделю 78 раз за сезон</t>
  </si>
  <si>
    <t>ТЭР 53-021</t>
  </si>
  <si>
    <t>Уборка газонов сильной загрязненности</t>
  </si>
  <si>
    <t>1 раз в год</t>
  </si>
  <si>
    <t>ТЭР 52-033</t>
  </si>
  <si>
    <t xml:space="preserve"> - Уборка контейнерной площадки (16 кв.м.)</t>
  </si>
  <si>
    <t>шт.</t>
  </si>
  <si>
    <t>155 раз</t>
  </si>
  <si>
    <t>пр.ТЭР 52-003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</si>
  <si>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</si>
  <si>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</si>
  <si>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</si>
  <si>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</si>
  <si>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ТЭР 53-030</t>
  </si>
  <si>
    <t xml:space="preserve">Погрузка травы , ветвей </t>
  </si>
  <si>
    <t>Калькул.</t>
  </si>
  <si>
    <t>Вывоз смета,травы,ветвей и т.п.- м/ч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</si>
  <si>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</si>
  <si>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</si>
  <si>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</si>
  <si>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</si>
  <si>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</si>
  <si>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</si>
  <si>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ТЭР 54-013</t>
  </si>
  <si>
    <t>1000 м2</t>
  </si>
  <si>
    <t>ТЭР 54-003</t>
  </si>
  <si>
    <t xml:space="preserve">Подметание снега с тротуара-,крылец,конт площадок </t>
  </si>
  <si>
    <t>155 раз за сезон</t>
  </si>
  <si>
    <t>ТЭР 54-022</t>
  </si>
  <si>
    <t>Очистка территории 1-го класса с усовершенствованным покрытием под скребок: ступеньки и площадки крылец , контейнерные площадки</t>
  </si>
  <si>
    <t>ТЭР 54-025</t>
  </si>
  <si>
    <t xml:space="preserve">Пескопосыпка территории : крыльца и тротуары </t>
  </si>
  <si>
    <t>45 раз за сезон</t>
  </si>
  <si>
    <t>Стоимость песка- 100м2-0,002м3</t>
  </si>
  <si>
    <t xml:space="preserve"> II. Плановые осмотры</t>
  </si>
  <si>
    <t>2 раза в год</t>
  </si>
  <si>
    <t>ТЭР 42-007</t>
  </si>
  <si>
    <t>Осмотр деревянных заполнений проемов</t>
  </si>
  <si>
    <t>ТЭР 42-009</t>
  </si>
  <si>
    <t>Осмотр внутренней и наружной отделки здания</t>
  </si>
  <si>
    <t>ТЭР 42-010</t>
  </si>
  <si>
    <t>Осмотр каменных конструкций</t>
  </si>
  <si>
    <t>ТЭР 42-011</t>
  </si>
  <si>
    <t xml:space="preserve">Осмотр СО </t>
  </si>
  <si>
    <t>1 раз в месяц (5 раз за сезон)</t>
  </si>
  <si>
    <t>ТЭР 42-013</t>
  </si>
  <si>
    <t>Осмотр электросетей, арматуры и электрооборудования на чердаках, подвалах и техэтажах</t>
  </si>
  <si>
    <t>ТЭР 42-012</t>
  </si>
  <si>
    <t>Осмотр электросетей,арматуры и электооборудования на лестничных клетках</t>
  </si>
  <si>
    <t>100 лест.</t>
  </si>
  <si>
    <t>ТЭР 42-014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</si>
  <si>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</si>
  <si>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</si>
  <si>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</si>
  <si>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</si>
  <si>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</si>
  <si>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</si>
  <si>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>Чердак, подвал, технический этаж</t>
  </si>
  <si>
    <t>ТЭР 51-034</t>
  </si>
  <si>
    <t>м2</t>
  </si>
  <si>
    <t>1м3</t>
  </si>
  <si>
    <t>Отопление</t>
  </si>
  <si>
    <t>ТЭР 31-065</t>
  </si>
  <si>
    <t>Ликвидация воздушных пробок в стояках</t>
  </si>
  <si>
    <t>ТЭР 31-064</t>
  </si>
  <si>
    <t>Ликвидация воздушных пробок в радиаторах</t>
  </si>
  <si>
    <t>ТЭР 31-052</t>
  </si>
  <si>
    <t xml:space="preserve">Промывка СО </t>
  </si>
  <si>
    <t>100м3</t>
  </si>
  <si>
    <t>ТЭР 31-043</t>
  </si>
  <si>
    <t>Спуск воды и наполнение системы без осмотра</t>
  </si>
  <si>
    <t>1000м3</t>
  </si>
  <si>
    <t>ТЭР 31-068</t>
  </si>
  <si>
    <t>Гидравлическое испытание СО</t>
  </si>
  <si>
    <t>100м</t>
  </si>
  <si>
    <t>ТЭР 31-045</t>
  </si>
  <si>
    <t>Проверка на прогрев отопительных приборов</t>
  </si>
  <si>
    <t>прибор</t>
  </si>
  <si>
    <t>Электроснабжение</t>
  </si>
  <si>
    <t>ТЭР 33-049</t>
  </si>
  <si>
    <t>Замена ламп ДРЛ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</si>
  <si>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</si>
  <si>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</si>
  <si>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</si>
  <si>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</si>
  <si>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</si>
  <si>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</si>
  <si>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</si>
  <si>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</si>
  <si>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</si>
  <si>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</si>
  <si>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</si>
  <si>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</si>
  <si>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</si>
  <si>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</si>
  <si>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</si>
  <si>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</si>
  <si>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>1 раз в месяц</t>
  </si>
  <si>
    <t>3 раза в год</t>
  </si>
  <si>
    <t>Вода для промывки СО</t>
  </si>
  <si>
    <t>Спуск воды после промывки СО в канализацию</t>
  </si>
  <si>
    <t>ТЭР 33-043</t>
  </si>
  <si>
    <t>Смена плавкой вставки в электрощите</t>
  </si>
  <si>
    <t>Генеральный директор ООО "Жилсервис"_______Ю.Л.Куканов</t>
  </si>
  <si>
    <t>Вывоз снега с придомовой территории</t>
  </si>
  <si>
    <t>водосток</t>
  </si>
  <si>
    <t>ТЭР 33-030</t>
  </si>
  <si>
    <t>Ремонт групповых щитков на лестничной клетке без ремонта автоматов</t>
  </si>
  <si>
    <t>ТЭР 51-020</t>
  </si>
  <si>
    <t>Влажная протирка подоконников</t>
  </si>
  <si>
    <t>Осмотр шиферной  кровли</t>
  </si>
  <si>
    <t>ТЭР 42-003</t>
  </si>
  <si>
    <t>Осмотр деревянных конструкций стропил</t>
  </si>
  <si>
    <t>100 м3</t>
  </si>
  <si>
    <t xml:space="preserve">ТЭР 54-041 </t>
  </si>
  <si>
    <t xml:space="preserve"> Очистка края кровли от слежавшегося снега со сбрасыванием сосулек (10% от S кровли) и козырьки</t>
  </si>
  <si>
    <t>6 раз за сезон</t>
  </si>
  <si>
    <t>Очистка от мусора</t>
  </si>
  <si>
    <t>10 шт.</t>
  </si>
  <si>
    <t>Смена ламп накаливания</t>
  </si>
  <si>
    <t>1 раз в  2 месяца</t>
  </si>
  <si>
    <t>ТЭР 53-003</t>
  </si>
  <si>
    <t>Очистка урн от мусора</t>
  </si>
  <si>
    <t>30 раз за сезон</t>
  </si>
  <si>
    <t>Сдвигание снега в дни снегопада (тротуар, крыльца)</t>
  </si>
  <si>
    <t>35 раз за сезон</t>
  </si>
  <si>
    <t>ТЭР 3-7-1в</t>
  </si>
  <si>
    <t>Дератизация</t>
  </si>
  <si>
    <t>Лестничная клетка</t>
  </si>
  <si>
    <t>ТЭР 15-018</t>
  </si>
  <si>
    <t>Установка пружин на входных дверях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</si>
  <si>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</si>
  <si>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</si>
  <si>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</si>
  <si>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</si>
  <si>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</si>
  <si>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</si>
  <si>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</si>
  <si>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</si>
  <si>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</si>
  <si>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</si>
  <si>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</si>
  <si>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Баланс выполненных работ на 01.01.2015 г. ( -долг за предприятием, +долг за населением)</t>
  </si>
  <si>
    <t>место</t>
  </si>
  <si>
    <t>1 шт</t>
  </si>
  <si>
    <t>ТЭР 32-031</t>
  </si>
  <si>
    <t>Смена арматуры - кранов водоразборных и туалетных ( со стоимостью крана д=20)</t>
  </si>
  <si>
    <t>Ремонт силового предохранительного шкафа (без стоимости материалов)</t>
  </si>
  <si>
    <t>ТЭР 33-032</t>
  </si>
  <si>
    <t>калькуляция</t>
  </si>
  <si>
    <t>Работа автовышки</t>
  </si>
  <si>
    <t>маш/час</t>
  </si>
  <si>
    <t>Ремонт и регулировка доводчика (со стоимостью доводчика)</t>
  </si>
  <si>
    <t>1шт.</t>
  </si>
  <si>
    <t>Подключение и отключение сварочного аппарата</t>
  </si>
  <si>
    <t>ТЭР 33-060</t>
  </si>
  <si>
    <t>Смена сгонов у трубопроводов диаметром до 32 мм</t>
  </si>
  <si>
    <t>1 сгон</t>
  </si>
  <si>
    <t xml:space="preserve">ТЭР 31-010 </t>
  </si>
  <si>
    <r>
      <t xml:space="preserve">по адресу:   </t>
    </r>
    <r>
      <rPr>
        <b/>
        <sz val="14"/>
        <color indexed="10"/>
        <rFont val="Arial"/>
        <family val="2"/>
        <charset val="204"/>
      </rPr>
      <t>ул. Нефтяников, 13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 2015 год</t>
    </r>
  </si>
  <si>
    <t>Стоимость (руб.)</t>
  </si>
  <si>
    <t>5 этажей, 8 подъездов</t>
  </si>
  <si>
    <t>договор</t>
  </si>
  <si>
    <t>ТО внутридомового газ.оборудования</t>
  </si>
  <si>
    <t>10 м</t>
  </si>
  <si>
    <t>Внеплановый осмотр электросетей, арматуры и электрооборудования на лестничных клетках</t>
  </si>
  <si>
    <t>Смена арматуры - вентилей и клапанов обратных муфтовых диаметром до 20 мм</t>
  </si>
  <si>
    <t>ТЭР 32-027</t>
  </si>
  <si>
    <t>Смена санитарных приборов - гибких подводок</t>
  </si>
  <si>
    <t>ТЭР 32-048</t>
  </si>
  <si>
    <t>Смена выключателей</t>
  </si>
  <si>
    <t>ТЭР 33-025</t>
  </si>
  <si>
    <t>смета</t>
  </si>
  <si>
    <t>1 м</t>
  </si>
  <si>
    <t>Косметический ремонт подъездов</t>
  </si>
  <si>
    <t>тыс.руб.</t>
  </si>
  <si>
    <t>Выполне ние       июнь</t>
  </si>
  <si>
    <t>Начислено за содержание и текущий ремонт за 2015  г.</t>
  </si>
  <si>
    <t>Выполнено работ по содержанию за       2015 г.</t>
  </si>
  <si>
    <t>Выполнено работ по текущему ремонту за 2015 г.</t>
  </si>
  <si>
    <t>Фактически оплачено за 2015 г.</t>
  </si>
  <si>
    <t>Просроченная задолженность по Вашему дому по статье "Содержание и текущий ремонт МКД" на конец декабря 2015 г., составляет:</t>
  </si>
  <si>
    <t>Баланс выполненных работ на 01.01.2016 г. ( -долг за предприятием, +долг за населением)</t>
  </si>
  <si>
    <t>Смена пакетных выключателей</t>
  </si>
  <si>
    <t>ТЭР 33-022</t>
  </si>
  <si>
    <t>прим. ТЭР 15-046</t>
  </si>
  <si>
    <t>Укрепление оконных и дверных приборов - пружин, ручек, петель, шпингалетов (слух.окна)</t>
  </si>
  <si>
    <t>1 соединение</t>
  </si>
  <si>
    <t xml:space="preserve">Уплотнение сгонов с применением льняной пряди или асбестового шнура (замена подмотки на контргайке) </t>
  </si>
  <si>
    <t>1 место</t>
  </si>
  <si>
    <t>прим.2-2-1-2-7</t>
  </si>
  <si>
    <t>прим.2-2-1-2-17</t>
  </si>
  <si>
    <t xml:space="preserve">Установка эластичной накладки с закреплением хомутов на болтах трубопровода диаметром до 50 мм ( замена прокладки на задвижке)          </t>
  </si>
  <si>
    <t>ТЭР 31-015</t>
  </si>
  <si>
    <t>Ремонт задвижек диаметром до 100 мм со снятием с места ( с материалом)</t>
  </si>
  <si>
    <t>Герметизация швов</t>
  </si>
  <si>
    <t>м</t>
  </si>
  <si>
    <t>Заделка выбоин в полах цементных площадью до 0,5 м2</t>
  </si>
  <si>
    <t>100 шт</t>
  </si>
  <si>
    <t>ТЭР 57-10-2</t>
  </si>
  <si>
    <t>Ремонт отдельных мест покрытия из асбоцементных листов обыкновенного профиля</t>
  </si>
  <si>
    <t>10 м2</t>
  </si>
  <si>
    <t>ТЭР 17-006</t>
  </si>
  <si>
    <t>Устройство хомута</t>
  </si>
  <si>
    <t>прим.ТЭР 32-098</t>
  </si>
  <si>
    <t xml:space="preserve">Смена сгонов у трубопроводов диаметром до 20 мм </t>
  </si>
  <si>
    <t>ТЭР 31-009</t>
  </si>
  <si>
    <t>Смена трубопроводов на металл-полимерные трубы д=20 ( 1 под.-подвал,кв.3,кв.4, кв.2)</t>
  </si>
  <si>
    <t>Смена трубопроводов на металл-полимерные трубы д=15 ( 1 под.-подвал)</t>
  </si>
  <si>
    <t>Ремонт венткороба</t>
  </si>
</sst>
</file>

<file path=xl/styles.xml><?xml version="1.0" encoding="utf-8"?>
<styleSheet xmlns="http://schemas.openxmlformats.org/spreadsheetml/2006/main">
  <numFmts count="1">
    <numFmt numFmtId="164" formatCode="0.000"/>
  </numFmts>
  <fonts count="19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3" borderId="0" xfId="0" applyFont="1" applyFill="1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1" fillId="12" borderId="3" xfId="0" applyNumberFormat="1" applyFont="1" applyFill="1" applyBorder="1" applyAlignment="1" applyProtection="1">
      <alignment horizontal="left" vertical="center" wrapText="1"/>
    </xf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12" borderId="3" xfId="0" applyNumberFormat="1" applyFont="1" applyFill="1" applyBorder="1" applyAlignment="1" applyProtection="1">
      <alignment horizontal="center" vertical="center"/>
    </xf>
    <xf numFmtId="0" fontId="12" fillId="8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0" fontId="1" fillId="0" borderId="0" xfId="0" applyFont="1"/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4" fontId="1" fillId="4" borderId="3" xfId="0" applyNumberFormat="1" applyFont="1" applyFill="1" applyBorder="1" applyAlignment="1">
      <alignment horizontal="center" vertical="center" wrapText="1"/>
    </xf>
    <xf numFmtId="4" fontId="1" fillId="4" borderId="1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1" fillId="4" borderId="14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15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/>
    </xf>
    <xf numFmtId="4" fontId="1" fillId="4" borderId="17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4" fontId="3" fillId="2" borderId="7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/>
    </xf>
    <xf numFmtId="4" fontId="14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4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5" fillId="0" borderId="0" xfId="0" applyNumberFormat="1" applyFont="1"/>
    <xf numFmtId="0" fontId="15" fillId="0" borderId="0" xfId="0" applyFont="1"/>
    <xf numFmtId="0" fontId="7" fillId="0" borderId="3" xfId="0" applyFont="1" applyBorder="1" applyAlignment="1">
      <alignment horizontal="center" wrapText="1"/>
    </xf>
    <xf numFmtId="0" fontId="16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4" fontId="1" fillId="8" borderId="7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3" fontId="1" fillId="8" borderId="7" xfId="0" applyNumberFormat="1" applyFont="1" applyFill="1" applyBorder="1" applyAlignment="1">
      <alignment horizontal="center" vertical="center"/>
    </xf>
    <xf numFmtId="0" fontId="1" fillId="12" borderId="3" xfId="0" applyNumberFormat="1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4" fontId="3" fillId="10" borderId="3" xfId="0" applyNumberFormat="1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/>
    </xf>
    <xf numFmtId="4" fontId="14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0" fontId="18" fillId="0" borderId="0" xfId="0" applyFont="1" applyAlignment="1"/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7" fillId="12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center" vertical="center"/>
    </xf>
    <xf numFmtId="4" fontId="1" fillId="0" borderId="7" xfId="0" applyNumberFormat="1" applyFont="1" applyFill="1" applyBorder="1" applyAlignment="1">
      <alignment horizontal="center" vertical="center"/>
    </xf>
    <xf numFmtId="0" fontId="0" fillId="0" borderId="0" xfId="0" applyFill="1"/>
    <xf numFmtId="4" fontId="1" fillId="13" borderId="3" xfId="0" applyNumberFormat="1" applyFont="1" applyFill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U128"/>
  <sheetViews>
    <sheetView tabSelected="1" view="pageBreakPreview" zoomScaleNormal="75" zoomScaleSheetLayoutView="100" workbookViewId="0">
      <pane ySplit="7" topLeftCell="A121" activePane="bottomLeft" state="frozen"/>
      <selection activeCell="B1" sqref="B1"/>
      <selection pane="bottomLeft" activeCell="G101" sqref="G101"/>
    </sheetView>
  </sheetViews>
  <sheetFormatPr defaultRowHeight="12.75"/>
  <cols>
    <col min="1" max="1" width="12.42578125" customWidth="1"/>
    <col min="2" max="2" width="41.42578125" customWidth="1"/>
    <col min="3" max="3" width="9.28515625" customWidth="1"/>
    <col min="4" max="4" width="23" customWidth="1"/>
    <col min="5" max="5" width="10.28515625" customWidth="1"/>
    <col min="6" max="6" width="10.42578125" customWidth="1"/>
    <col min="7" max="7" width="11.85546875" customWidth="1"/>
    <col min="8" max="8" width="11.7109375" customWidth="1"/>
    <col min="9" max="9" width="10.28515625" customWidth="1"/>
    <col min="10" max="10" width="10" customWidth="1"/>
    <col min="11" max="11" width="9.7109375" customWidth="1"/>
    <col min="12" max="12" width="10.140625" customWidth="1"/>
    <col min="13" max="13" width="9.85546875" customWidth="1"/>
    <col min="14" max="14" width="12.42578125" customWidth="1"/>
    <col min="15" max="15" width="9.85546875" customWidth="1"/>
    <col min="16" max="16" width="10.5703125" customWidth="1"/>
    <col min="17" max="17" width="10.140625" customWidth="1"/>
    <col min="18" max="18" width="9.5703125" customWidth="1"/>
    <col min="19" max="19" width="10" customWidth="1"/>
    <col min="20" max="20" width="9.85546875" customWidth="1"/>
    <col min="21" max="21" width="11.42578125" customWidth="1"/>
  </cols>
  <sheetData>
    <row r="1" spans="1:21" ht="14.25" customHeight="1"/>
    <row r="3" spans="1:21" ht="18">
      <c r="A3" s="146"/>
      <c r="B3" s="169" t="s">
        <v>0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39"/>
      <c r="N3" s="39"/>
      <c r="O3" s="39"/>
      <c r="P3" s="39"/>
      <c r="Q3" s="39"/>
      <c r="R3" s="39"/>
      <c r="S3" s="39"/>
      <c r="T3" s="39"/>
      <c r="U3" s="39"/>
    </row>
    <row r="4" spans="1:21" ht="33.75" customHeight="1">
      <c r="A4" s="39"/>
      <c r="B4" s="170" t="s">
        <v>1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39"/>
      <c r="N4" s="39"/>
      <c r="O4" s="39"/>
      <c r="P4" s="39"/>
      <c r="Q4" s="39"/>
      <c r="R4" s="39"/>
      <c r="S4" s="39"/>
      <c r="T4" s="39"/>
      <c r="U4" s="39"/>
    </row>
    <row r="5" spans="1:21" ht="18">
      <c r="A5" s="39"/>
      <c r="B5" s="170" t="s">
        <v>202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39"/>
      <c r="N5" s="39"/>
      <c r="O5" s="39"/>
      <c r="P5" s="39"/>
      <c r="Q5" s="39"/>
      <c r="R5" s="39"/>
      <c r="S5" s="39"/>
      <c r="T5" s="39"/>
      <c r="U5" s="39"/>
    </row>
    <row r="6" spans="1:21" ht="14.25">
      <c r="A6" s="39"/>
      <c r="B6" s="171" t="s">
        <v>204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39"/>
      <c r="N6" s="39"/>
      <c r="O6" s="39"/>
      <c r="P6" s="39"/>
      <c r="Q6" s="39"/>
      <c r="R6" s="39"/>
      <c r="S6" s="39"/>
      <c r="T6" s="39"/>
      <c r="U6" s="39"/>
    </row>
    <row r="7" spans="1:21" ht="50.25" customHeight="1">
      <c r="A7" s="33" t="s">
        <v>2</v>
      </c>
      <c r="B7" s="33" t="s">
        <v>3</v>
      </c>
      <c r="C7" s="33" t="s">
        <v>4</v>
      </c>
      <c r="D7" s="33" t="s">
        <v>5</v>
      </c>
      <c r="E7" s="33" t="s">
        <v>6</v>
      </c>
      <c r="F7" s="33" t="s">
        <v>7</v>
      </c>
      <c r="G7" s="33" t="s">
        <v>8</v>
      </c>
      <c r="H7" s="34" t="s">
        <v>9</v>
      </c>
      <c r="I7" s="32" t="s">
        <v>174</v>
      </c>
      <c r="J7" s="32" t="s">
        <v>175</v>
      </c>
      <c r="K7" s="32" t="s">
        <v>176</v>
      </c>
      <c r="L7" s="32" t="s">
        <v>177</v>
      </c>
      <c r="M7" s="32" t="s">
        <v>178</v>
      </c>
      <c r="N7" s="32" t="s">
        <v>219</v>
      </c>
      <c r="O7" s="32" t="s">
        <v>179</v>
      </c>
      <c r="P7" s="32" t="s">
        <v>180</v>
      </c>
      <c r="Q7" s="32" t="s">
        <v>181</v>
      </c>
      <c r="R7" s="32" t="s">
        <v>182</v>
      </c>
      <c r="S7" s="32" t="s">
        <v>183</v>
      </c>
      <c r="T7" s="32" t="s">
        <v>184</v>
      </c>
      <c r="U7" s="32" t="s">
        <v>203</v>
      </c>
    </row>
    <row r="8" spans="1:21">
      <c r="A8" s="35">
        <v>1</v>
      </c>
      <c r="B8" s="8">
        <v>2</v>
      </c>
      <c r="C8" s="35">
        <v>3</v>
      </c>
      <c r="D8" s="8">
        <v>4</v>
      </c>
      <c r="E8" s="8">
        <v>5</v>
      </c>
      <c r="F8" s="35">
        <v>6</v>
      </c>
      <c r="G8" s="35">
        <v>7</v>
      </c>
      <c r="H8" s="36">
        <v>8</v>
      </c>
      <c r="I8" s="37">
        <v>10</v>
      </c>
      <c r="J8" s="37">
        <v>11</v>
      </c>
      <c r="K8" s="37">
        <v>12</v>
      </c>
      <c r="L8" s="37">
        <v>13</v>
      </c>
      <c r="M8" s="134">
        <v>14</v>
      </c>
      <c r="N8" s="37">
        <v>15</v>
      </c>
      <c r="O8" s="37">
        <v>16</v>
      </c>
      <c r="P8" s="37">
        <v>17</v>
      </c>
      <c r="Q8" s="37">
        <v>18</v>
      </c>
      <c r="R8" s="37">
        <v>19</v>
      </c>
      <c r="S8" s="37">
        <v>20</v>
      </c>
      <c r="T8" s="37">
        <v>21</v>
      </c>
      <c r="U8" s="37">
        <v>22</v>
      </c>
    </row>
    <row r="9" spans="1:21" ht="38.25">
      <c r="A9" s="35"/>
      <c r="B9" s="10" t="s">
        <v>10</v>
      </c>
      <c r="C9" s="35"/>
      <c r="D9" s="11"/>
      <c r="E9" s="11"/>
      <c r="F9" s="35"/>
      <c r="G9" s="35"/>
      <c r="H9" s="40"/>
      <c r="I9" s="41"/>
      <c r="J9" s="41"/>
      <c r="K9" s="41"/>
      <c r="L9" s="41"/>
      <c r="M9" s="132"/>
      <c r="N9" s="133"/>
      <c r="O9" s="133"/>
      <c r="P9" s="133"/>
      <c r="Q9" s="133"/>
      <c r="R9" s="133"/>
      <c r="S9" s="133"/>
      <c r="T9" s="133"/>
      <c r="U9" s="133"/>
    </row>
    <row r="10" spans="1:21">
      <c r="A10" s="35"/>
      <c r="B10" s="10" t="s">
        <v>11</v>
      </c>
      <c r="C10" s="35"/>
      <c r="D10" s="11"/>
      <c r="E10" s="11"/>
      <c r="F10" s="35"/>
      <c r="G10" s="35"/>
      <c r="H10" s="40"/>
      <c r="I10" s="41"/>
      <c r="J10" s="41"/>
      <c r="K10" s="41"/>
      <c r="L10" s="41"/>
      <c r="M10" s="132"/>
      <c r="N10" s="133"/>
      <c r="O10" s="133"/>
      <c r="P10" s="133"/>
      <c r="Q10" s="133"/>
      <c r="R10" s="133"/>
      <c r="S10" s="133"/>
      <c r="T10" s="133"/>
      <c r="U10" s="133"/>
    </row>
    <row r="11" spans="1:21" ht="25.5">
      <c r="A11" s="35" t="s">
        <v>12</v>
      </c>
      <c r="B11" s="11" t="s">
        <v>13</v>
      </c>
      <c r="C11" s="35" t="s">
        <v>14</v>
      </c>
      <c r="D11" s="11" t="s">
        <v>15</v>
      </c>
      <c r="E11" s="42">
        <v>127.9</v>
      </c>
      <c r="F11" s="43">
        <f>SUM(E11*156/100)</f>
        <v>199.524</v>
      </c>
      <c r="G11" s="43">
        <v>187.48</v>
      </c>
      <c r="H11" s="44">
        <f t="shared" ref="H11:H20" si="0">SUM(F11*G11/1000)</f>
        <v>37.406759520000001</v>
      </c>
      <c r="I11" s="38">
        <f>F11/12*G11</f>
        <v>3117.2299599999997</v>
      </c>
      <c r="J11" s="38">
        <f>F11/12*G11</f>
        <v>3117.2299599999997</v>
      </c>
      <c r="K11" s="38">
        <f>F11/12*G11</f>
        <v>3117.2299599999997</v>
      </c>
      <c r="L11" s="38">
        <f>F11/12*G11</f>
        <v>3117.2299599999997</v>
      </c>
      <c r="M11" s="38">
        <f>F11/12*G11</f>
        <v>3117.2299599999997</v>
      </c>
      <c r="N11" s="38">
        <f>F11/12*G11</f>
        <v>3117.2299599999997</v>
      </c>
      <c r="O11" s="38">
        <f>F11/12*G11</f>
        <v>3117.2299599999997</v>
      </c>
      <c r="P11" s="38">
        <f>F11/12*G11</f>
        <v>3117.2299599999997</v>
      </c>
      <c r="Q11" s="38">
        <f>F11/12*G11</f>
        <v>3117.2299599999997</v>
      </c>
      <c r="R11" s="38">
        <f>F11/12*G11</f>
        <v>3117.2299599999997</v>
      </c>
      <c r="S11" s="38">
        <f>F11/12*G11</f>
        <v>3117.2299599999997</v>
      </c>
      <c r="T11" s="38">
        <f>F11/12*G11</f>
        <v>3117.2299599999997</v>
      </c>
      <c r="U11" s="38">
        <f t="shared" ref="U11:U20" si="1">SUM(I11:T11)</f>
        <v>37406.75952</v>
      </c>
    </row>
    <row r="12" spans="1:21" ht="25.5">
      <c r="A12" s="35" t="s">
        <v>12</v>
      </c>
      <c r="B12" s="11" t="s">
        <v>16</v>
      </c>
      <c r="C12" s="35" t="s">
        <v>14</v>
      </c>
      <c r="D12" s="11" t="s">
        <v>17</v>
      </c>
      <c r="E12" s="42">
        <v>511.6</v>
      </c>
      <c r="F12" s="43">
        <f>SUM(E12*104/100)</f>
        <v>532.06399999999996</v>
      </c>
      <c r="G12" s="43">
        <v>185.48</v>
      </c>
      <c r="H12" s="44">
        <f t="shared" si="0"/>
        <v>98.687230719999988</v>
      </c>
      <c r="I12" s="38">
        <f>F12/12*G12</f>
        <v>8223.9358933333315</v>
      </c>
      <c r="J12" s="38">
        <f>F12/12*G12</f>
        <v>8223.9358933333315</v>
      </c>
      <c r="K12" s="38">
        <f>F12/12*G12</f>
        <v>8223.9358933333315</v>
      </c>
      <c r="L12" s="38">
        <f>F12/12*G12</f>
        <v>8223.9358933333315</v>
      </c>
      <c r="M12" s="38">
        <f>F12/12*G12</f>
        <v>8223.9358933333315</v>
      </c>
      <c r="N12" s="38">
        <f>F12/12*G12</f>
        <v>8223.9358933333315</v>
      </c>
      <c r="O12" s="38">
        <f>F12/12*G12</f>
        <v>8223.9358933333315</v>
      </c>
      <c r="P12" s="38">
        <f>F12/12*G12</f>
        <v>8223.9358933333315</v>
      </c>
      <c r="Q12" s="38">
        <f>F12/12*G12</f>
        <v>8223.9358933333315</v>
      </c>
      <c r="R12" s="38">
        <f>F12/12*G12</f>
        <v>8223.9358933333315</v>
      </c>
      <c r="S12" s="38">
        <f>F12/12*G12</f>
        <v>8223.9358933333315</v>
      </c>
      <c r="T12" s="38">
        <f>F12/12*G12</f>
        <v>8223.9358933333315</v>
      </c>
      <c r="U12" s="38">
        <f t="shared" si="1"/>
        <v>98687.230719999949</v>
      </c>
    </row>
    <row r="13" spans="1:21" ht="25.5">
      <c r="A13" s="35" t="s">
        <v>18</v>
      </c>
      <c r="B13" s="11" t="s">
        <v>19</v>
      </c>
      <c r="C13" s="35" t="s">
        <v>14</v>
      </c>
      <c r="D13" s="11" t="s">
        <v>20</v>
      </c>
      <c r="E13" s="42">
        <f>SUM(E11+E12)</f>
        <v>639.5</v>
      </c>
      <c r="F13" s="43">
        <f>SUM(E13*24/100)</f>
        <v>153.47999999999999</v>
      </c>
      <c r="G13" s="43">
        <v>539.30999999999995</v>
      </c>
      <c r="H13" s="44">
        <f t="shared" si="0"/>
        <v>82.773298799999992</v>
      </c>
      <c r="I13" s="38">
        <f>F13/12*G13</f>
        <v>6897.7748999999985</v>
      </c>
      <c r="J13" s="38">
        <f>F13/12*G13</f>
        <v>6897.7748999999985</v>
      </c>
      <c r="K13" s="38">
        <f>F13/12*G13</f>
        <v>6897.7748999999985</v>
      </c>
      <c r="L13" s="38">
        <f>F13/12*G13</f>
        <v>6897.7748999999985</v>
      </c>
      <c r="M13" s="38">
        <f>F13/12*G13</f>
        <v>6897.7748999999985</v>
      </c>
      <c r="N13" s="38">
        <f>F13/12*G13</f>
        <v>6897.7748999999985</v>
      </c>
      <c r="O13" s="38">
        <f>F13/12*G13</f>
        <v>6897.7748999999985</v>
      </c>
      <c r="P13" s="38">
        <f>F13/12*G13</f>
        <v>6897.7748999999985</v>
      </c>
      <c r="Q13" s="38">
        <f>F13/12*G13</f>
        <v>6897.7748999999985</v>
      </c>
      <c r="R13" s="38">
        <f>F13/12*G13</f>
        <v>6897.7748999999985</v>
      </c>
      <c r="S13" s="38">
        <f>F13/12*G13</f>
        <v>6897.7748999999985</v>
      </c>
      <c r="T13" s="38">
        <f>F13/12*G13</f>
        <v>6897.7748999999985</v>
      </c>
      <c r="U13" s="38">
        <f t="shared" si="1"/>
        <v>82773.29879999999</v>
      </c>
    </row>
    <row r="14" spans="1:21">
      <c r="A14" s="35" t="s">
        <v>21</v>
      </c>
      <c r="B14" s="11" t="s">
        <v>22</v>
      </c>
      <c r="C14" s="35" t="s">
        <v>23</v>
      </c>
      <c r="D14" s="11" t="s">
        <v>139</v>
      </c>
      <c r="E14" s="42">
        <v>38.4</v>
      </c>
      <c r="F14" s="43">
        <f>SUM(E14/10)</f>
        <v>3.84</v>
      </c>
      <c r="G14" s="43">
        <v>181.91</v>
      </c>
      <c r="H14" s="44">
        <f t="shared" si="0"/>
        <v>0.6985344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f>F14*G14</f>
        <v>698.53440000000001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f t="shared" si="1"/>
        <v>698.53440000000001</v>
      </c>
    </row>
    <row r="15" spans="1:21">
      <c r="A15" s="35" t="s">
        <v>24</v>
      </c>
      <c r="B15" s="11" t="s">
        <v>25</v>
      </c>
      <c r="C15" s="35" t="s">
        <v>14</v>
      </c>
      <c r="D15" s="11" t="s">
        <v>140</v>
      </c>
      <c r="E15" s="42">
        <v>58.4</v>
      </c>
      <c r="F15" s="43">
        <f>SUM(E15*12/100)</f>
        <v>7.0079999999999991</v>
      </c>
      <c r="G15" s="43">
        <v>232.92</v>
      </c>
      <c r="H15" s="44">
        <f t="shared" si="0"/>
        <v>1.6323033599999996</v>
      </c>
      <c r="I15" s="38">
        <f>F15/12*G15</f>
        <v>136.02527999999998</v>
      </c>
      <c r="J15" s="38">
        <f>F15/12*G15</f>
        <v>136.02527999999998</v>
      </c>
      <c r="K15" s="38">
        <f>F15/12*G15</f>
        <v>136.02527999999998</v>
      </c>
      <c r="L15" s="38">
        <f>F15/12*G15</f>
        <v>136.02527999999998</v>
      </c>
      <c r="M15" s="38">
        <f>F15/12*G15</f>
        <v>136.02527999999998</v>
      </c>
      <c r="N15" s="38">
        <f>F15/12*G15</f>
        <v>136.02527999999998</v>
      </c>
      <c r="O15" s="38">
        <f>F15/12*G15</f>
        <v>136.02527999999998</v>
      </c>
      <c r="P15" s="38">
        <f>F15/12*G15</f>
        <v>136.02527999999998</v>
      </c>
      <c r="Q15" s="38">
        <f>F15/12*G15</f>
        <v>136.02527999999998</v>
      </c>
      <c r="R15" s="38">
        <f>F15/12*G15</f>
        <v>136.02527999999998</v>
      </c>
      <c r="S15" s="38">
        <f>F15/12*G15</f>
        <v>136.02527999999998</v>
      </c>
      <c r="T15" s="38">
        <f>F15/12*G15</f>
        <v>136.02527999999998</v>
      </c>
      <c r="U15" s="38">
        <f t="shared" si="1"/>
        <v>1632.3033600000001</v>
      </c>
    </row>
    <row r="16" spans="1:21">
      <c r="A16" s="35" t="s">
        <v>26</v>
      </c>
      <c r="B16" s="11" t="s">
        <v>27</v>
      </c>
      <c r="C16" s="35" t="s">
        <v>14</v>
      </c>
      <c r="D16" s="11" t="s">
        <v>163</v>
      </c>
      <c r="E16" s="42">
        <v>9.08</v>
      </c>
      <c r="F16" s="43">
        <f>SUM(E16*6/100)</f>
        <v>0.54480000000000006</v>
      </c>
      <c r="G16" s="43">
        <v>231.03</v>
      </c>
      <c r="H16" s="44">
        <f t="shared" si="0"/>
        <v>0.12586514400000001</v>
      </c>
      <c r="I16" s="38">
        <f>F16/12*G16</f>
        <v>10.488762000000001</v>
      </c>
      <c r="J16" s="38">
        <f>F16/12*G16</f>
        <v>10.488762000000001</v>
      </c>
      <c r="K16" s="38">
        <f>F16/12*G16</f>
        <v>10.488762000000001</v>
      </c>
      <c r="L16" s="38">
        <f>F16/12*G16</f>
        <v>10.488762000000001</v>
      </c>
      <c r="M16" s="38">
        <f>F16/12*G16</f>
        <v>10.488762000000001</v>
      </c>
      <c r="N16" s="38">
        <f>F16/12*G16</f>
        <v>10.488762000000001</v>
      </c>
      <c r="O16" s="38">
        <f>F16/12*G16</f>
        <v>10.488762000000001</v>
      </c>
      <c r="P16" s="38">
        <f>F16/12*G16</f>
        <v>10.488762000000001</v>
      </c>
      <c r="Q16" s="38">
        <f>F16/12*G16</f>
        <v>10.488762000000001</v>
      </c>
      <c r="R16" s="38">
        <f>F16/12*G16</f>
        <v>10.488762000000001</v>
      </c>
      <c r="S16" s="38">
        <f>F16/12*G16</f>
        <v>10.488762000000001</v>
      </c>
      <c r="T16" s="38">
        <f>F16/12*G16</f>
        <v>10.488762000000001</v>
      </c>
      <c r="U16" s="38">
        <f t="shared" si="1"/>
        <v>125.86514400000004</v>
      </c>
    </row>
    <row r="17" spans="1:21">
      <c r="A17" s="35" t="s">
        <v>28</v>
      </c>
      <c r="B17" s="11" t="s">
        <v>29</v>
      </c>
      <c r="C17" s="35" t="s">
        <v>30</v>
      </c>
      <c r="D17" s="11" t="s">
        <v>139</v>
      </c>
      <c r="E17" s="42">
        <v>714</v>
      </c>
      <c r="F17" s="43">
        <f>SUM(E17/100)</f>
        <v>7.14</v>
      </c>
      <c r="G17" s="43">
        <v>287.83999999999997</v>
      </c>
      <c r="H17" s="44">
        <f t="shared" si="0"/>
        <v>2.0551775999999995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f>F17*G17</f>
        <v>2055.1775999999995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f t="shared" si="1"/>
        <v>2055.1775999999995</v>
      </c>
    </row>
    <row r="18" spans="1:21">
      <c r="A18" s="35" t="s">
        <v>31</v>
      </c>
      <c r="B18" s="11" t="s">
        <v>32</v>
      </c>
      <c r="C18" s="35" t="s">
        <v>30</v>
      </c>
      <c r="D18" s="11" t="s">
        <v>139</v>
      </c>
      <c r="E18" s="45">
        <v>96.6</v>
      </c>
      <c r="F18" s="43">
        <f>SUM(E18/100)</f>
        <v>0.96599999999999997</v>
      </c>
      <c r="G18" s="43">
        <v>47.34</v>
      </c>
      <c r="H18" s="44">
        <f t="shared" si="0"/>
        <v>4.5730440000000004E-2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f>F18*G18</f>
        <v>45.730440000000002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f t="shared" si="1"/>
        <v>45.730440000000002</v>
      </c>
    </row>
    <row r="19" spans="1:21">
      <c r="A19" s="35" t="s">
        <v>151</v>
      </c>
      <c r="B19" s="11" t="s">
        <v>152</v>
      </c>
      <c r="C19" s="35" t="s">
        <v>30</v>
      </c>
      <c r="D19" s="11" t="s">
        <v>139</v>
      </c>
      <c r="E19" s="46">
        <v>40</v>
      </c>
      <c r="F19" s="47">
        <v>4.8</v>
      </c>
      <c r="G19" s="43">
        <v>416.62</v>
      </c>
      <c r="H19" s="44">
        <f>F19*G19/1000</f>
        <v>1.9997759999999998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f>F19*G19</f>
        <v>1999.7759999999998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f t="shared" si="1"/>
        <v>1999.7759999999998</v>
      </c>
    </row>
    <row r="20" spans="1:21">
      <c r="A20" s="35" t="s">
        <v>33</v>
      </c>
      <c r="B20" s="11" t="s">
        <v>34</v>
      </c>
      <c r="C20" s="35" t="s">
        <v>30</v>
      </c>
      <c r="D20" s="11" t="s">
        <v>139</v>
      </c>
      <c r="E20" s="42">
        <v>17</v>
      </c>
      <c r="F20" s="43">
        <f>SUM(E20/100)</f>
        <v>0.17</v>
      </c>
      <c r="G20" s="43">
        <v>556.74</v>
      </c>
      <c r="H20" s="44">
        <f t="shared" si="0"/>
        <v>9.4645800000000002E-2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f>F20*G20</f>
        <v>94.645800000000008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f t="shared" si="1"/>
        <v>94.645800000000008</v>
      </c>
    </row>
    <row r="21" spans="1:21" s="19" customFormat="1">
      <c r="A21" s="48"/>
      <c r="B21" s="20" t="s">
        <v>35</v>
      </c>
      <c r="C21" s="49"/>
      <c r="D21" s="20"/>
      <c r="E21" s="50"/>
      <c r="F21" s="51"/>
      <c r="G21" s="51"/>
      <c r="H21" s="52">
        <f>SUM(H11:H20)</f>
        <v>225.51932178399997</v>
      </c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>
        <f>SUM(U11:U20)</f>
        <v>225519.32178399997</v>
      </c>
    </row>
    <row r="22" spans="1:21">
      <c r="A22" s="35"/>
      <c r="B22" s="12" t="s">
        <v>36</v>
      </c>
      <c r="C22" s="35"/>
      <c r="D22" s="11"/>
      <c r="E22" s="42"/>
      <c r="F22" s="43"/>
      <c r="G22" s="43"/>
      <c r="H22" s="44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</row>
    <row r="23" spans="1:21" ht="25.5" customHeight="1">
      <c r="A23" s="35" t="s">
        <v>37</v>
      </c>
      <c r="B23" s="11" t="s">
        <v>38</v>
      </c>
      <c r="C23" s="35" t="s">
        <v>42</v>
      </c>
      <c r="D23" s="11" t="s">
        <v>39</v>
      </c>
      <c r="E23" s="43">
        <v>844.95</v>
      </c>
      <c r="F23" s="43">
        <f>SUM(E23*52/1000)</f>
        <v>43.937400000000004</v>
      </c>
      <c r="G23" s="43">
        <v>166.65</v>
      </c>
      <c r="H23" s="44">
        <f>SUM(F23*G23/1000)</f>
        <v>7.3221677100000004</v>
      </c>
      <c r="I23" s="38">
        <v>0</v>
      </c>
      <c r="J23" s="38">
        <v>0</v>
      </c>
      <c r="K23" s="38">
        <v>0</v>
      </c>
      <c r="L23" s="38">
        <v>0</v>
      </c>
      <c r="M23" s="38">
        <f>F23/6*G23</f>
        <v>1220.3612850000002</v>
      </c>
      <c r="N23" s="38">
        <f>F23/6*G23</f>
        <v>1220.3612850000002</v>
      </c>
      <c r="O23" s="38">
        <f>F23/6*G23</f>
        <v>1220.3612850000002</v>
      </c>
      <c r="P23" s="38">
        <f>F23/6*G23</f>
        <v>1220.3612850000002</v>
      </c>
      <c r="Q23" s="38">
        <f>F23/6*G23</f>
        <v>1220.3612850000002</v>
      </c>
      <c r="R23" s="38">
        <f>F23/6*G23</f>
        <v>1220.3612850000002</v>
      </c>
      <c r="S23" s="38">
        <v>0</v>
      </c>
      <c r="T23" s="38">
        <v>0</v>
      </c>
      <c r="U23" s="38">
        <f t="shared" ref="U23:U31" si="2">SUM(I23:T23)</f>
        <v>7322.1677100000006</v>
      </c>
    </row>
    <row r="24" spans="1:21" ht="38.25" customHeight="1">
      <c r="A24" s="35" t="s">
        <v>40</v>
      </c>
      <c r="B24" s="11" t="s">
        <v>41</v>
      </c>
      <c r="C24" s="35" t="s">
        <v>42</v>
      </c>
      <c r="D24" s="11" t="s">
        <v>43</v>
      </c>
      <c r="E24" s="43">
        <v>260.13</v>
      </c>
      <c r="F24" s="43">
        <f>SUM(E24*78/1000)</f>
        <v>20.290140000000001</v>
      </c>
      <c r="G24" s="43">
        <v>276.48</v>
      </c>
      <c r="H24" s="44">
        <f t="shared" ref="H24:H31" si="3">SUM(F24*G24/1000)</f>
        <v>5.6098179072000001</v>
      </c>
      <c r="I24" s="38">
        <v>0</v>
      </c>
      <c r="J24" s="38">
        <v>0</v>
      </c>
      <c r="K24" s="38">
        <v>0</v>
      </c>
      <c r="L24" s="38">
        <v>0</v>
      </c>
      <c r="M24" s="38">
        <f>F24/6*G24</f>
        <v>934.96965120000016</v>
      </c>
      <c r="N24" s="38">
        <f>F24/6*G24</f>
        <v>934.96965120000016</v>
      </c>
      <c r="O24" s="38">
        <f>F24/6*G24</f>
        <v>934.96965120000016</v>
      </c>
      <c r="P24" s="38">
        <f>F24/6*G24</f>
        <v>934.96965120000016</v>
      </c>
      <c r="Q24" s="38">
        <f>F24/6*G24</f>
        <v>934.96965120000016</v>
      </c>
      <c r="R24" s="38">
        <f>F24/6*G24</f>
        <v>934.96965120000016</v>
      </c>
      <c r="S24" s="38">
        <v>0</v>
      </c>
      <c r="T24" s="38">
        <v>0</v>
      </c>
      <c r="U24" s="38">
        <f t="shared" si="2"/>
        <v>5609.8179072000012</v>
      </c>
    </row>
    <row r="25" spans="1:21">
      <c r="A25" s="35" t="s">
        <v>44</v>
      </c>
      <c r="B25" s="11" t="s">
        <v>45</v>
      </c>
      <c r="C25" s="35" t="s">
        <v>42</v>
      </c>
      <c r="D25" s="11" t="s">
        <v>46</v>
      </c>
      <c r="E25" s="43">
        <v>844.95</v>
      </c>
      <c r="F25" s="43">
        <f>SUM(E25/1000)</f>
        <v>0.84495000000000009</v>
      </c>
      <c r="G25" s="43">
        <v>3228.73</v>
      </c>
      <c r="H25" s="44">
        <f t="shared" si="3"/>
        <v>2.7281154135000003</v>
      </c>
      <c r="I25" s="38">
        <v>0</v>
      </c>
      <c r="J25" s="38">
        <v>0</v>
      </c>
      <c r="K25" s="38">
        <v>0</v>
      </c>
      <c r="L25" s="38">
        <v>0</v>
      </c>
      <c r="M25" s="38">
        <f>F25*G25</f>
        <v>2728.1154135000002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f t="shared" si="2"/>
        <v>2728.1154135000002</v>
      </c>
    </row>
    <row r="26" spans="1:21">
      <c r="A26" s="35" t="s">
        <v>164</v>
      </c>
      <c r="B26" s="11" t="s">
        <v>165</v>
      </c>
      <c r="C26" s="35" t="s">
        <v>95</v>
      </c>
      <c r="D26" s="11" t="s">
        <v>50</v>
      </c>
      <c r="E26" s="43">
        <v>8</v>
      </c>
      <c r="F26" s="43">
        <v>12.4</v>
      </c>
      <c r="G26" s="43">
        <v>1391.86</v>
      </c>
      <c r="H26" s="44">
        <v>17.259</v>
      </c>
      <c r="I26" s="38">
        <v>0</v>
      </c>
      <c r="J26" s="38">
        <v>0</v>
      </c>
      <c r="K26" s="38">
        <v>0</v>
      </c>
      <c r="L26" s="38">
        <v>0</v>
      </c>
      <c r="M26" s="38">
        <f>F26/6*G26</f>
        <v>2876.5106666666666</v>
      </c>
      <c r="N26" s="38">
        <f>F26/6*G26</f>
        <v>2876.5106666666666</v>
      </c>
      <c r="O26" s="38">
        <f>F26/6*G26</f>
        <v>2876.5106666666666</v>
      </c>
      <c r="P26" s="38">
        <f>F26/6*G26</f>
        <v>2876.5106666666666</v>
      </c>
      <c r="Q26" s="38">
        <f>F26/6*G26</f>
        <v>2876.5106666666666</v>
      </c>
      <c r="R26" s="38">
        <f>F26/6*G26</f>
        <v>2876.5106666666666</v>
      </c>
      <c r="S26" s="38">
        <v>0</v>
      </c>
      <c r="T26" s="38">
        <v>0</v>
      </c>
      <c r="U26" s="38">
        <f t="shared" si="2"/>
        <v>17259.063999999998</v>
      </c>
    </row>
    <row r="27" spans="1:21">
      <c r="A27" s="35" t="s">
        <v>47</v>
      </c>
      <c r="B27" s="11" t="s">
        <v>48</v>
      </c>
      <c r="C27" s="35" t="s">
        <v>49</v>
      </c>
      <c r="D27" s="11" t="s">
        <v>50</v>
      </c>
      <c r="E27" s="54">
        <v>0.33333333333333331</v>
      </c>
      <c r="F27" s="43">
        <f>155/3</f>
        <v>51.666666666666664</v>
      </c>
      <c r="G27" s="43">
        <v>60.6</v>
      </c>
      <c r="H27" s="44">
        <f>SUM(G27*155/3/1000)</f>
        <v>3.1309999999999998</v>
      </c>
      <c r="I27" s="38">
        <v>0</v>
      </c>
      <c r="J27" s="38">
        <v>0</v>
      </c>
      <c r="K27" s="38">
        <v>0</v>
      </c>
      <c r="L27" s="38">
        <v>0</v>
      </c>
      <c r="M27" s="38">
        <f>F27/4*G27</f>
        <v>782.75</v>
      </c>
      <c r="N27" s="38">
        <f>F27/6*G27</f>
        <v>521.83333333333337</v>
      </c>
      <c r="O27" s="38">
        <f>F27/6*G27</f>
        <v>521.83333333333337</v>
      </c>
      <c r="P27" s="38">
        <f>F27/6*G27</f>
        <v>521.83333333333337</v>
      </c>
      <c r="Q27" s="38">
        <f>F27/6*G27</f>
        <v>521.83333333333337</v>
      </c>
      <c r="R27" s="38">
        <f>F27/6*G27</f>
        <v>521.83333333333337</v>
      </c>
      <c r="S27" s="38">
        <v>0</v>
      </c>
      <c r="T27" s="38">
        <v>0</v>
      </c>
      <c r="U27" s="38">
        <f t="shared" si="2"/>
        <v>3391.9166666666674</v>
      </c>
    </row>
    <row r="28" spans="1:21" ht="12.75" customHeight="1">
      <c r="A28" s="35" t="s">
        <v>51</v>
      </c>
      <c r="B28" s="11" t="s">
        <v>52</v>
      </c>
      <c r="C28" s="35" t="s">
        <v>53</v>
      </c>
      <c r="D28" s="11" t="s">
        <v>54</v>
      </c>
      <c r="E28" s="55">
        <v>0.1</v>
      </c>
      <c r="F28" s="43">
        <f>SUM(E28*365)</f>
        <v>36.5</v>
      </c>
      <c r="G28" s="43">
        <v>157.18</v>
      </c>
      <c r="H28" s="44">
        <f t="shared" si="3"/>
        <v>5.737070000000001</v>
      </c>
      <c r="I28" s="38">
        <f>F28/12*G28</f>
        <v>478.08916666666664</v>
      </c>
      <c r="J28" s="38">
        <f>F28/12*G28</f>
        <v>478.08916666666664</v>
      </c>
      <c r="K28" s="38">
        <f>F28/12*G28</f>
        <v>478.08916666666664</v>
      </c>
      <c r="L28" s="38">
        <f>F28/12*G28</f>
        <v>478.08916666666664</v>
      </c>
      <c r="M28" s="38">
        <f>F28/12*G28</f>
        <v>478.08916666666664</v>
      </c>
      <c r="N28" s="38">
        <f>F28/12*G28</f>
        <v>478.08916666666664</v>
      </c>
      <c r="O28" s="38">
        <f>F28/12*G28</f>
        <v>478.08916666666664</v>
      </c>
      <c r="P28" s="38">
        <f>F28/12*G28</f>
        <v>478.08916666666664</v>
      </c>
      <c r="Q28" s="38">
        <f>F28/12*G28</f>
        <v>478.08916666666664</v>
      </c>
      <c r="R28" s="38">
        <f>F28/12*G28</f>
        <v>478.08916666666664</v>
      </c>
      <c r="S28" s="38">
        <f>F28/12*G28</f>
        <v>478.08916666666664</v>
      </c>
      <c r="T28" s="38">
        <f>F28/12*G28</f>
        <v>478.08916666666664</v>
      </c>
      <c r="U28" s="38">
        <f t="shared" si="2"/>
        <v>5737.07</v>
      </c>
    </row>
    <row r="29" spans="1:21" ht="12.75" customHeight="1">
      <c r="A29" s="35" t="s">
        <v>56</v>
      </c>
      <c r="B29" s="11" t="s">
        <v>57</v>
      </c>
      <c r="C29" s="35" t="s">
        <v>53</v>
      </c>
      <c r="D29" s="11" t="s">
        <v>55</v>
      </c>
      <c r="E29" s="42"/>
      <c r="F29" s="43">
        <v>3</v>
      </c>
      <c r="G29" s="43">
        <v>204.32</v>
      </c>
      <c r="H29" s="44">
        <f t="shared" si="3"/>
        <v>0.61296000000000006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f t="shared" si="2"/>
        <v>0</v>
      </c>
    </row>
    <row r="30" spans="1:21" ht="13.5" customHeight="1">
      <c r="A30" s="35" t="s">
        <v>58</v>
      </c>
      <c r="B30" s="11" t="s">
        <v>59</v>
      </c>
      <c r="C30" s="35" t="s">
        <v>60</v>
      </c>
      <c r="D30" s="11" t="s">
        <v>55</v>
      </c>
      <c r="E30" s="42"/>
      <c r="F30" s="43">
        <v>2</v>
      </c>
      <c r="G30" s="43">
        <v>1214.73</v>
      </c>
      <c r="H30" s="44">
        <f t="shared" si="3"/>
        <v>2.4294600000000002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f t="shared" si="2"/>
        <v>0</v>
      </c>
    </row>
    <row r="31" spans="1:21">
      <c r="A31" s="35"/>
      <c r="B31" s="56" t="s">
        <v>61</v>
      </c>
      <c r="C31" s="35" t="s">
        <v>62</v>
      </c>
      <c r="D31" s="56" t="s">
        <v>54</v>
      </c>
      <c r="E31" s="42">
        <v>4591.2</v>
      </c>
      <c r="F31" s="43">
        <f>SUM(E31*12)</f>
        <v>55094.399999999994</v>
      </c>
      <c r="G31" s="43">
        <v>5.85</v>
      </c>
      <c r="H31" s="44">
        <f t="shared" si="3"/>
        <v>322.30223999999993</v>
      </c>
      <c r="I31" s="38">
        <f>F31/12*G31</f>
        <v>26858.519999999997</v>
      </c>
      <c r="J31" s="38">
        <f>F31/12*G31</f>
        <v>26858.519999999997</v>
      </c>
      <c r="K31" s="38">
        <f>F31/12*G31</f>
        <v>26858.519999999997</v>
      </c>
      <c r="L31" s="38">
        <f>F31/12*G31</f>
        <v>26858.519999999997</v>
      </c>
      <c r="M31" s="38">
        <f>F31/12*G31</f>
        <v>26858.519999999997</v>
      </c>
      <c r="N31" s="38">
        <f>F31/12*G31</f>
        <v>26858.519999999997</v>
      </c>
      <c r="O31" s="38">
        <f>F31/12*G31</f>
        <v>26858.519999999997</v>
      </c>
      <c r="P31" s="38">
        <f>F31/12*G31</f>
        <v>26858.519999999997</v>
      </c>
      <c r="Q31" s="38">
        <f>F31/12*G31</f>
        <v>26858.519999999997</v>
      </c>
      <c r="R31" s="38">
        <f>F31/12*G31</f>
        <v>26858.519999999997</v>
      </c>
      <c r="S31" s="38">
        <f>F31/12*G31</f>
        <v>26858.519999999997</v>
      </c>
      <c r="T31" s="38">
        <f>F31/12*G31</f>
        <v>26858.519999999997</v>
      </c>
      <c r="U31" s="38">
        <f t="shared" si="2"/>
        <v>322302.24</v>
      </c>
    </row>
    <row r="32" spans="1:21" s="19" customFormat="1">
      <c r="A32" s="48"/>
      <c r="B32" s="20" t="s">
        <v>35</v>
      </c>
      <c r="C32" s="49"/>
      <c r="D32" s="20"/>
      <c r="E32" s="50"/>
      <c r="F32" s="51"/>
      <c r="G32" s="51"/>
      <c r="H32" s="57">
        <f>SUM(H23:H31)</f>
        <v>367.13183103069991</v>
      </c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>
        <f>SUM(U23:U31)</f>
        <v>364350.39169736666</v>
      </c>
    </row>
    <row r="33" spans="1:21">
      <c r="A33" s="35"/>
      <c r="B33" s="12" t="s">
        <v>64</v>
      </c>
      <c r="C33" s="35"/>
      <c r="D33" s="11"/>
      <c r="E33" s="42"/>
      <c r="F33" s="43"/>
      <c r="G33" s="43"/>
      <c r="H33" s="44" t="s">
        <v>63</v>
      </c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</row>
    <row r="34" spans="1:21" ht="25.5">
      <c r="A34" s="35" t="s">
        <v>58</v>
      </c>
      <c r="B34" s="13" t="s">
        <v>65</v>
      </c>
      <c r="C34" s="35" t="s">
        <v>60</v>
      </c>
      <c r="D34" s="11"/>
      <c r="E34" s="42"/>
      <c r="F34" s="43">
        <v>10</v>
      </c>
      <c r="G34" s="43">
        <v>1632.6</v>
      </c>
      <c r="H34" s="44">
        <f t="shared" ref="H34:H40" si="4">SUM(F34*G34/1000)</f>
        <v>16.326000000000001</v>
      </c>
      <c r="I34" s="38">
        <f>F34/6*G34</f>
        <v>2721</v>
      </c>
      <c r="J34" s="38">
        <f>F34/6*G34</f>
        <v>2721</v>
      </c>
      <c r="K34" s="38">
        <f>F34/6*G34</f>
        <v>2721</v>
      </c>
      <c r="L34" s="38">
        <f>F34/6*G34</f>
        <v>2721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f>F34/6*G34</f>
        <v>2721</v>
      </c>
      <c r="T34" s="38">
        <f>F34/6*G34</f>
        <v>2721</v>
      </c>
      <c r="U34" s="38">
        <f t="shared" ref="U34:U40" si="5">SUM(I34:T34)</f>
        <v>16326</v>
      </c>
    </row>
    <row r="35" spans="1:21" s="1" customFormat="1" ht="25.5">
      <c r="A35" s="58" t="s">
        <v>66</v>
      </c>
      <c r="B35" s="13" t="s">
        <v>167</v>
      </c>
      <c r="C35" s="58" t="s">
        <v>67</v>
      </c>
      <c r="D35" s="13" t="s">
        <v>166</v>
      </c>
      <c r="E35" s="59">
        <v>254.8</v>
      </c>
      <c r="F35" s="59">
        <f>SUM(E35*30/1000)</f>
        <v>7.6440000000000001</v>
      </c>
      <c r="G35" s="59">
        <v>2247.8000000000002</v>
      </c>
      <c r="H35" s="44">
        <f t="shared" si="4"/>
        <v>17.182183200000004</v>
      </c>
      <c r="I35" s="60">
        <f>F35/6*G35</f>
        <v>2863.6972000000001</v>
      </c>
      <c r="J35" s="60">
        <f>F35/6*G35</f>
        <v>2863.6972000000001</v>
      </c>
      <c r="K35" s="60">
        <f>F35/6*G35</f>
        <v>2863.6972000000001</v>
      </c>
      <c r="L35" s="60">
        <f>F35/6*G35</f>
        <v>2863.6972000000001</v>
      </c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60">
        <v>0</v>
      </c>
      <c r="S35" s="60">
        <f>F35/6*G35</f>
        <v>2863.6972000000001</v>
      </c>
      <c r="T35" s="60">
        <f>F35/6*G35</f>
        <v>2863.6972000000001</v>
      </c>
      <c r="U35" s="38">
        <f t="shared" si="5"/>
        <v>17182.183199999999</v>
      </c>
    </row>
    <row r="36" spans="1:21">
      <c r="A36" s="35" t="s">
        <v>58</v>
      </c>
      <c r="B36" s="11" t="s">
        <v>147</v>
      </c>
      <c r="C36" s="35" t="s">
        <v>103</v>
      </c>
      <c r="D36" s="11" t="s">
        <v>55</v>
      </c>
      <c r="E36" s="42"/>
      <c r="F36" s="59">
        <v>40</v>
      </c>
      <c r="G36" s="43">
        <v>213.2</v>
      </c>
      <c r="H36" s="44">
        <f>G36*F36/1000</f>
        <v>8.5280000000000005</v>
      </c>
      <c r="I36" s="38">
        <f>0</f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f>0</f>
        <v>0</v>
      </c>
      <c r="T36" s="38">
        <v>0</v>
      </c>
      <c r="U36" s="38">
        <f t="shared" si="5"/>
        <v>0</v>
      </c>
    </row>
    <row r="37" spans="1:21" ht="24.75" customHeight="1">
      <c r="A37" s="35" t="s">
        <v>68</v>
      </c>
      <c r="B37" s="11" t="s">
        <v>69</v>
      </c>
      <c r="C37" s="35" t="s">
        <v>67</v>
      </c>
      <c r="D37" s="11" t="s">
        <v>70</v>
      </c>
      <c r="E37" s="43">
        <v>260.13</v>
      </c>
      <c r="F37" s="59">
        <f>SUM(E37*155/1000)</f>
        <v>40.320149999999998</v>
      </c>
      <c r="G37" s="43">
        <v>374.95</v>
      </c>
      <c r="H37" s="44">
        <f t="shared" si="4"/>
        <v>15.118040242499999</v>
      </c>
      <c r="I37" s="38">
        <f>F37/6*G37</f>
        <v>2519.6733737499999</v>
      </c>
      <c r="J37" s="38">
        <f>F37/6*G37</f>
        <v>2519.6733737499999</v>
      </c>
      <c r="K37" s="38">
        <f>F37/6*G37</f>
        <v>2519.6733737499999</v>
      </c>
      <c r="L37" s="38">
        <f>F37/6*G37</f>
        <v>2519.6733737499999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f>F37/6*G37</f>
        <v>2519.6733737499999</v>
      </c>
      <c r="T37" s="38">
        <f>F37/6*G37</f>
        <v>2519.6733737499999</v>
      </c>
      <c r="U37" s="38">
        <f t="shared" si="5"/>
        <v>15118.040242499999</v>
      </c>
    </row>
    <row r="38" spans="1:21" ht="51" customHeight="1">
      <c r="A38" s="35" t="s">
        <v>71</v>
      </c>
      <c r="B38" s="11" t="s">
        <v>72</v>
      </c>
      <c r="C38" s="35" t="s">
        <v>42</v>
      </c>
      <c r="D38" s="11" t="s">
        <v>168</v>
      </c>
      <c r="E38" s="43">
        <v>132.72999999999999</v>
      </c>
      <c r="F38" s="59">
        <f>SUM(E38*35/1000)</f>
        <v>4.6455499999999992</v>
      </c>
      <c r="G38" s="43">
        <v>6203.7</v>
      </c>
      <c r="H38" s="44">
        <f t="shared" si="4"/>
        <v>28.819598534999994</v>
      </c>
      <c r="I38" s="38">
        <f>F38/6*G38</f>
        <v>4803.266422499999</v>
      </c>
      <c r="J38" s="38">
        <f>F38/6*G38</f>
        <v>4803.266422499999</v>
      </c>
      <c r="K38" s="38">
        <f>F38/6*G38</f>
        <v>4803.266422499999</v>
      </c>
      <c r="L38" s="38">
        <f>F38/6*G38</f>
        <v>4803.266422499999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f>F38/6*G38</f>
        <v>4803.266422499999</v>
      </c>
      <c r="T38" s="38">
        <f>F38/6*G38</f>
        <v>4803.266422499999</v>
      </c>
      <c r="U38" s="38">
        <f t="shared" si="5"/>
        <v>28819.59853499999</v>
      </c>
    </row>
    <row r="39" spans="1:21" ht="12.75" customHeight="1">
      <c r="A39" s="35" t="s">
        <v>73</v>
      </c>
      <c r="B39" s="11" t="s">
        <v>74</v>
      </c>
      <c r="C39" s="35" t="s">
        <v>42</v>
      </c>
      <c r="D39" s="11" t="s">
        <v>75</v>
      </c>
      <c r="E39" s="43">
        <v>254.8</v>
      </c>
      <c r="F39" s="59">
        <f>SUM(E39*45/1000)</f>
        <v>11.465999999999999</v>
      </c>
      <c r="G39" s="43">
        <v>458.28</v>
      </c>
      <c r="H39" s="44">
        <f t="shared" si="4"/>
        <v>5.2546384799999997</v>
      </c>
      <c r="I39" s="38">
        <f>F39/6*G39</f>
        <v>875.77307999999982</v>
      </c>
      <c r="J39" s="38">
        <f>F39/6*G39</f>
        <v>875.77307999999982</v>
      </c>
      <c r="K39" s="38">
        <f>F39/6*G39</f>
        <v>875.77307999999982</v>
      </c>
      <c r="L39" s="38">
        <f>F39/6*G39</f>
        <v>875.77307999999982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f>F39/6*G39</f>
        <v>875.77307999999982</v>
      </c>
      <c r="T39" s="38">
        <f>F39/6*G39</f>
        <v>875.77307999999982</v>
      </c>
      <c r="U39" s="38">
        <f t="shared" si="5"/>
        <v>5254.6384799999987</v>
      </c>
    </row>
    <row r="40" spans="1:21" s="2" customFormat="1">
      <c r="A40" s="58"/>
      <c r="B40" s="13" t="s">
        <v>76</v>
      </c>
      <c r="C40" s="58" t="s">
        <v>53</v>
      </c>
      <c r="D40" s="13"/>
      <c r="E40" s="55"/>
      <c r="F40" s="59">
        <v>0.9</v>
      </c>
      <c r="G40" s="59">
        <v>853.06</v>
      </c>
      <c r="H40" s="44">
        <f t="shared" si="4"/>
        <v>0.76775400000000005</v>
      </c>
      <c r="I40" s="60">
        <f>F40/6*G40</f>
        <v>127.95899999999999</v>
      </c>
      <c r="J40" s="60">
        <f>F40/6*G40</f>
        <v>127.95899999999999</v>
      </c>
      <c r="K40" s="60">
        <f>F40/6*G40</f>
        <v>127.95899999999999</v>
      </c>
      <c r="L40" s="60">
        <f>F40/6*G40</f>
        <v>127.95899999999999</v>
      </c>
      <c r="M40" s="60">
        <v>0</v>
      </c>
      <c r="N40" s="60">
        <v>0</v>
      </c>
      <c r="O40" s="60">
        <v>0</v>
      </c>
      <c r="P40" s="60">
        <v>0</v>
      </c>
      <c r="Q40" s="60">
        <v>0</v>
      </c>
      <c r="R40" s="60">
        <v>0</v>
      </c>
      <c r="S40" s="60">
        <f>F40/6*G40</f>
        <v>127.95899999999999</v>
      </c>
      <c r="T40" s="60">
        <f>F40/6*G40</f>
        <v>127.95899999999999</v>
      </c>
      <c r="U40" s="38">
        <f t="shared" si="5"/>
        <v>767.75399999999991</v>
      </c>
    </row>
    <row r="41" spans="1:21" s="19" customFormat="1">
      <c r="A41" s="48"/>
      <c r="B41" s="20" t="s">
        <v>35</v>
      </c>
      <c r="C41" s="49"/>
      <c r="D41" s="20"/>
      <c r="E41" s="50"/>
      <c r="F41" s="51" t="s">
        <v>63</v>
      </c>
      <c r="G41" s="51"/>
      <c r="H41" s="57">
        <f>SUM(H34:H40)</f>
        <v>91.996214457499988</v>
      </c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>
        <f>SUM(U34:U40)</f>
        <v>83468.214457499984</v>
      </c>
    </row>
    <row r="42" spans="1:21">
      <c r="A42" s="35"/>
      <c r="B42" s="14" t="s">
        <v>77</v>
      </c>
      <c r="C42" s="35"/>
      <c r="D42" s="11"/>
      <c r="E42" s="42"/>
      <c r="F42" s="43"/>
      <c r="G42" s="43"/>
      <c r="H42" s="44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</row>
    <row r="43" spans="1:21">
      <c r="A43" s="35" t="s">
        <v>169</v>
      </c>
      <c r="B43" s="11" t="s">
        <v>153</v>
      </c>
      <c r="C43" s="35" t="s">
        <v>42</v>
      </c>
      <c r="D43" s="11" t="s">
        <v>78</v>
      </c>
      <c r="E43" s="42">
        <v>1795.9</v>
      </c>
      <c r="F43" s="43">
        <f>SUM(E43*2/1000)</f>
        <v>3.5918000000000001</v>
      </c>
      <c r="G43" s="61">
        <v>865.61</v>
      </c>
      <c r="H43" s="44">
        <f t="shared" ref="H43:H52" si="6">SUM(F43*G43/1000)</f>
        <v>3.1090979980000002</v>
      </c>
      <c r="I43" s="38">
        <v>0</v>
      </c>
      <c r="J43" s="38">
        <v>0</v>
      </c>
      <c r="K43" s="38">
        <v>0</v>
      </c>
      <c r="L43" s="38">
        <f>F43/2*G43</f>
        <v>1554.5489990000001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f>F43/2*G43</f>
        <v>1554.5489990000001</v>
      </c>
      <c r="S43" s="38">
        <v>0</v>
      </c>
      <c r="T43" s="38">
        <v>0</v>
      </c>
      <c r="U43" s="38">
        <f t="shared" ref="U43:U52" si="7">SUM(I43:T43)</f>
        <v>3109.0979980000002</v>
      </c>
    </row>
    <row r="44" spans="1:21">
      <c r="A44" s="35" t="s">
        <v>79</v>
      </c>
      <c r="B44" s="11" t="s">
        <v>80</v>
      </c>
      <c r="C44" s="35" t="s">
        <v>42</v>
      </c>
      <c r="D44" s="11" t="s">
        <v>78</v>
      </c>
      <c r="E44" s="42">
        <v>104</v>
      </c>
      <c r="F44" s="43">
        <f>SUM(E44*2/1000)</f>
        <v>0.20799999999999999</v>
      </c>
      <c r="G44" s="61">
        <v>619.46</v>
      </c>
      <c r="H44" s="44">
        <f t="shared" si="6"/>
        <v>0.12884767999999999</v>
      </c>
      <c r="I44" s="38">
        <v>0</v>
      </c>
      <c r="J44" s="38">
        <v>0</v>
      </c>
      <c r="K44" s="38">
        <v>0</v>
      </c>
      <c r="L44" s="38">
        <f>F44/2*G44</f>
        <v>64.423839999999998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f>F44/2*G44</f>
        <v>64.423839999999998</v>
      </c>
      <c r="S44" s="38">
        <v>0</v>
      </c>
      <c r="T44" s="38">
        <v>0</v>
      </c>
      <c r="U44" s="38">
        <f t="shared" si="7"/>
        <v>128.84768</v>
      </c>
    </row>
    <row r="45" spans="1:21" ht="25.5">
      <c r="A45" s="35" t="s">
        <v>81</v>
      </c>
      <c r="B45" s="11" t="s">
        <v>82</v>
      </c>
      <c r="C45" s="35" t="s">
        <v>42</v>
      </c>
      <c r="D45" s="11" t="s">
        <v>78</v>
      </c>
      <c r="E45" s="42">
        <v>1996.87</v>
      </c>
      <c r="F45" s="43">
        <f>SUM(E45*2/1000)</f>
        <v>3.9937399999999998</v>
      </c>
      <c r="G45" s="61">
        <v>619.46</v>
      </c>
      <c r="H45" s="44">
        <f t="shared" si="6"/>
        <v>2.4739621804</v>
      </c>
      <c r="I45" s="38">
        <v>0</v>
      </c>
      <c r="J45" s="38">
        <v>0</v>
      </c>
      <c r="K45" s="38">
        <v>0</v>
      </c>
      <c r="L45" s="38">
        <f>F45/2*G45</f>
        <v>1236.9810901999999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f>F45/2*G45</f>
        <v>1236.9810901999999</v>
      </c>
      <c r="S45" s="38">
        <v>0</v>
      </c>
      <c r="T45" s="38">
        <v>0</v>
      </c>
      <c r="U45" s="38">
        <f t="shared" si="7"/>
        <v>2473.9621803999999</v>
      </c>
    </row>
    <row r="46" spans="1:21">
      <c r="A46" s="35" t="s">
        <v>83</v>
      </c>
      <c r="B46" s="11" t="s">
        <v>84</v>
      </c>
      <c r="C46" s="35" t="s">
        <v>42</v>
      </c>
      <c r="D46" s="11" t="s">
        <v>78</v>
      </c>
      <c r="E46" s="42">
        <v>2630.35</v>
      </c>
      <c r="F46" s="43">
        <f>SUM(E46*2/1000)</f>
        <v>5.2606999999999999</v>
      </c>
      <c r="G46" s="61">
        <v>648.64</v>
      </c>
      <c r="H46" s="44">
        <f t="shared" si="6"/>
        <v>3.4123004479999999</v>
      </c>
      <c r="I46" s="38">
        <v>0</v>
      </c>
      <c r="J46" s="38">
        <v>0</v>
      </c>
      <c r="K46" s="38">
        <v>0</v>
      </c>
      <c r="L46" s="38">
        <f>F46/2*G46</f>
        <v>1706.150224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f>F46/2*G46</f>
        <v>1706.150224</v>
      </c>
      <c r="S46" s="38">
        <v>0</v>
      </c>
      <c r="T46" s="38">
        <v>0</v>
      </c>
      <c r="U46" s="38">
        <f t="shared" si="7"/>
        <v>3412.300448</v>
      </c>
    </row>
    <row r="47" spans="1:21">
      <c r="A47" s="35" t="s">
        <v>154</v>
      </c>
      <c r="B47" s="11" t="s">
        <v>155</v>
      </c>
      <c r="C47" s="35" t="s">
        <v>156</v>
      </c>
      <c r="D47" s="11" t="s">
        <v>78</v>
      </c>
      <c r="E47" s="42">
        <v>131.47</v>
      </c>
      <c r="F47" s="43">
        <f>SUM(E47*2/100)</f>
        <v>2.6294</v>
      </c>
      <c r="G47" s="61">
        <v>77.84</v>
      </c>
      <c r="H47" s="44">
        <f t="shared" si="6"/>
        <v>0.20467249599999998</v>
      </c>
      <c r="I47" s="38">
        <v>0</v>
      </c>
      <c r="J47" s="38">
        <v>0</v>
      </c>
      <c r="K47" s="38">
        <v>0</v>
      </c>
      <c r="L47" s="38">
        <f>F47/2*G47</f>
        <v>102.336248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f>F47/2*G47</f>
        <v>102.336248</v>
      </c>
      <c r="S47" s="38">
        <v>0</v>
      </c>
      <c r="T47" s="38">
        <v>0</v>
      </c>
      <c r="U47" s="38">
        <f t="shared" si="7"/>
        <v>204.672496</v>
      </c>
    </row>
    <row r="48" spans="1:21" ht="25.5">
      <c r="A48" s="35" t="s">
        <v>85</v>
      </c>
      <c r="B48" s="11" t="s">
        <v>86</v>
      </c>
      <c r="C48" s="35" t="s">
        <v>42</v>
      </c>
      <c r="D48" s="11" t="s">
        <v>87</v>
      </c>
      <c r="E48" s="42">
        <v>2872.4</v>
      </c>
      <c r="F48" s="43">
        <f>SUM(E48*5/1000)</f>
        <v>14.362</v>
      </c>
      <c r="G48" s="61">
        <v>1297.28</v>
      </c>
      <c r="H48" s="44">
        <f t="shared" si="6"/>
        <v>18.631535359999997</v>
      </c>
      <c r="I48" s="38">
        <f>F48/5*G48</f>
        <v>3726.3070719999996</v>
      </c>
      <c r="J48" s="38">
        <f>F48/5*G48</f>
        <v>3726.3070719999996</v>
      </c>
      <c r="K48" s="38">
        <v>0</v>
      </c>
      <c r="L48" s="38">
        <v>0</v>
      </c>
      <c r="M48" s="38">
        <f>F48*G48</f>
        <v>18631.535359999998</v>
      </c>
      <c r="N48" s="38">
        <v>0</v>
      </c>
      <c r="O48" s="38">
        <v>0</v>
      </c>
      <c r="P48" s="38">
        <v>0</v>
      </c>
      <c r="Q48" s="38">
        <f>F48/5*G48</f>
        <v>3726.3070719999996</v>
      </c>
      <c r="R48" s="38">
        <v>0</v>
      </c>
      <c r="S48" s="38">
        <v>0</v>
      </c>
      <c r="T48" s="38">
        <f>F48/5*G48</f>
        <v>3726.3070719999996</v>
      </c>
      <c r="U48" s="38">
        <f t="shared" si="7"/>
        <v>33536.763647999993</v>
      </c>
    </row>
    <row r="49" spans="1:21" ht="39.6" customHeight="1">
      <c r="A49" s="35" t="s">
        <v>88</v>
      </c>
      <c r="B49" s="11" t="s">
        <v>89</v>
      </c>
      <c r="C49" s="35" t="s">
        <v>42</v>
      </c>
      <c r="D49" s="11" t="s">
        <v>78</v>
      </c>
      <c r="E49" s="42">
        <v>2872.4</v>
      </c>
      <c r="F49" s="43">
        <f>SUM(E49*2/1000)</f>
        <v>5.7448000000000006</v>
      </c>
      <c r="G49" s="61">
        <v>1297.28</v>
      </c>
      <c r="H49" s="44">
        <f t="shared" si="6"/>
        <v>7.4526141440000009</v>
      </c>
      <c r="I49" s="38">
        <f>F49/2*G49</f>
        <v>3726.3070720000005</v>
      </c>
      <c r="J49" s="38">
        <v>0</v>
      </c>
      <c r="K49" s="38">
        <v>0</v>
      </c>
      <c r="L49" s="38">
        <v>0</v>
      </c>
      <c r="M49" s="38">
        <f>0</f>
        <v>0</v>
      </c>
      <c r="N49" s="38">
        <f>F49/2*G49</f>
        <v>3726.3070720000005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f t="shared" si="7"/>
        <v>7452.614144000001</v>
      </c>
    </row>
    <row r="50" spans="1:21" ht="28.9" customHeight="1">
      <c r="A50" s="35" t="s">
        <v>90</v>
      </c>
      <c r="B50" s="11" t="s">
        <v>91</v>
      </c>
      <c r="C50" s="35" t="s">
        <v>92</v>
      </c>
      <c r="D50" s="11" t="s">
        <v>78</v>
      </c>
      <c r="E50" s="42">
        <v>40</v>
      </c>
      <c r="F50" s="43">
        <f>SUM(E50*2/100)</f>
        <v>0.8</v>
      </c>
      <c r="G50" s="61">
        <v>2918.89</v>
      </c>
      <c r="H50" s="44">
        <f t="shared" si="6"/>
        <v>2.3351120000000001</v>
      </c>
      <c r="I50" s="38">
        <f>F50/2*G50</f>
        <v>1167.556</v>
      </c>
      <c r="J50" s="38">
        <v>0</v>
      </c>
      <c r="K50" s="38">
        <v>0</v>
      </c>
      <c r="L50" s="38">
        <v>0</v>
      </c>
      <c r="M50" s="38">
        <v>0</v>
      </c>
      <c r="N50" s="38">
        <f>F50/2*G50</f>
        <v>1167.556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f t="shared" si="7"/>
        <v>2335.1120000000001</v>
      </c>
    </row>
    <row r="51" spans="1:21">
      <c r="A51" s="35" t="s">
        <v>93</v>
      </c>
      <c r="B51" s="11" t="s">
        <v>94</v>
      </c>
      <c r="C51" s="35" t="s">
        <v>95</v>
      </c>
      <c r="D51" s="11" t="s">
        <v>78</v>
      </c>
      <c r="E51" s="42">
        <v>1</v>
      </c>
      <c r="F51" s="43">
        <v>0.02</v>
      </c>
      <c r="G51" s="61">
        <v>6042.12</v>
      </c>
      <c r="H51" s="44">
        <f t="shared" si="6"/>
        <v>0.1208424</v>
      </c>
      <c r="I51" s="38">
        <f>F51/2*G51</f>
        <v>60.421199999999999</v>
      </c>
      <c r="J51" s="38">
        <v>0</v>
      </c>
      <c r="K51" s="38">
        <v>0</v>
      </c>
      <c r="L51" s="38">
        <v>0</v>
      </c>
      <c r="M51" s="38">
        <v>0</v>
      </c>
      <c r="N51" s="38">
        <f>F51/2*G51</f>
        <v>60.421199999999999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f t="shared" si="7"/>
        <v>120.8424</v>
      </c>
    </row>
    <row r="52" spans="1:21" ht="13.5" customHeight="1">
      <c r="A52" s="35" t="s">
        <v>97</v>
      </c>
      <c r="B52" s="11" t="s">
        <v>98</v>
      </c>
      <c r="C52" s="35" t="s">
        <v>49</v>
      </c>
      <c r="D52" s="11" t="s">
        <v>141</v>
      </c>
      <c r="E52" s="42">
        <v>160</v>
      </c>
      <c r="F52" s="43">
        <f>SUM(E52)*3</f>
        <v>480</v>
      </c>
      <c r="G52" s="62">
        <v>70.209999999999994</v>
      </c>
      <c r="H52" s="44">
        <f t="shared" si="6"/>
        <v>33.700799999999994</v>
      </c>
      <c r="I52" s="38">
        <v>0</v>
      </c>
      <c r="J52" s="38">
        <f>E52*G52</f>
        <v>11233.599999999999</v>
      </c>
      <c r="K52" s="38">
        <v>0</v>
      </c>
      <c r="L52" s="38">
        <f>E52*G52</f>
        <v>11233.599999999999</v>
      </c>
      <c r="M52" s="38">
        <v>0</v>
      </c>
      <c r="N52" s="38">
        <v>0</v>
      </c>
      <c r="O52" s="38">
        <v>0</v>
      </c>
      <c r="P52" s="38">
        <f>E52*G52</f>
        <v>11233.599999999999</v>
      </c>
      <c r="Q52" s="38">
        <v>0</v>
      </c>
      <c r="R52" s="38">
        <v>0</v>
      </c>
      <c r="S52" s="38">
        <v>0</v>
      </c>
      <c r="T52" s="38">
        <v>0</v>
      </c>
      <c r="U52" s="38">
        <f t="shared" si="7"/>
        <v>33700.799999999996</v>
      </c>
    </row>
    <row r="53" spans="1:21" s="21" customFormat="1">
      <c r="A53" s="63"/>
      <c r="B53" s="20" t="s">
        <v>35</v>
      </c>
      <c r="C53" s="64"/>
      <c r="D53" s="20"/>
      <c r="E53" s="65"/>
      <c r="F53" s="66"/>
      <c r="G53" s="66"/>
      <c r="H53" s="57">
        <f>SUM(H43:H52)</f>
        <v>71.569784706399986</v>
      </c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>
        <f>SUM(U43:U52)</f>
        <v>86475.012994399993</v>
      </c>
    </row>
    <row r="54" spans="1:21">
      <c r="A54" s="35"/>
      <c r="B54" s="12" t="s">
        <v>99</v>
      </c>
      <c r="C54" s="35"/>
      <c r="D54" s="11"/>
      <c r="E54" s="42"/>
      <c r="F54" s="43"/>
      <c r="G54" s="43"/>
      <c r="H54" s="44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</row>
    <row r="55" spans="1:21" ht="38.25">
      <c r="A55" s="35" t="s">
        <v>157</v>
      </c>
      <c r="B55" s="11" t="s">
        <v>158</v>
      </c>
      <c r="C55" s="35" t="s">
        <v>148</v>
      </c>
      <c r="D55" s="11" t="s">
        <v>159</v>
      </c>
      <c r="E55" s="42">
        <v>239.59</v>
      </c>
      <c r="F55" s="43">
        <f>E55*6/100</f>
        <v>14.375399999999999</v>
      </c>
      <c r="G55" s="68">
        <v>1654.04</v>
      </c>
      <c r="H55" s="44">
        <f>F55*G55/1000</f>
        <v>23.777486615999997</v>
      </c>
      <c r="I55" s="38">
        <f>F55/6*G55</f>
        <v>3962.9144359999996</v>
      </c>
      <c r="J55" s="38">
        <f>F55/6*G55</f>
        <v>3962.9144359999996</v>
      </c>
      <c r="K55" s="38">
        <f>F55/6*G55</f>
        <v>3962.9144359999996</v>
      </c>
      <c r="L55" s="38">
        <f>F55/6*G55</f>
        <v>3962.9144359999996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f>F55/6*G55</f>
        <v>3962.9144359999996</v>
      </c>
      <c r="T55" s="38">
        <f>F55/6*G55</f>
        <v>3962.9144359999996</v>
      </c>
      <c r="U55" s="38">
        <f>SUM(I55:T55)</f>
        <v>23777.486615999998</v>
      </c>
    </row>
    <row r="56" spans="1:21" ht="12.75" customHeight="1">
      <c r="A56" s="30"/>
      <c r="B56" s="26" t="s">
        <v>100</v>
      </c>
      <c r="C56" s="30"/>
      <c r="D56" s="25"/>
      <c r="E56" s="69"/>
      <c r="F56" s="70"/>
      <c r="G56" s="71"/>
      <c r="H56" s="72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</row>
    <row r="57" spans="1:21" ht="12.75" customHeight="1">
      <c r="A57" s="30" t="s">
        <v>101</v>
      </c>
      <c r="B57" s="25" t="s">
        <v>160</v>
      </c>
      <c r="C57" s="30" t="s">
        <v>30</v>
      </c>
      <c r="D57" s="25" t="s">
        <v>46</v>
      </c>
      <c r="E57" s="69">
        <v>2686</v>
      </c>
      <c r="F57" s="70">
        <f>E57/100</f>
        <v>26.86</v>
      </c>
      <c r="G57" s="73">
        <v>848.37</v>
      </c>
      <c r="H57" s="72">
        <f>G57*F57/1000</f>
        <v>22.787218199999998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f>F57*G57</f>
        <v>22787.218199999999</v>
      </c>
      <c r="R57" s="38">
        <v>0</v>
      </c>
      <c r="S57" s="38">
        <v>0</v>
      </c>
      <c r="T57" s="38">
        <v>0</v>
      </c>
      <c r="U57" s="38">
        <f>SUM(I57:T57)</f>
        <v>22787.218199999999</v>
      </c>
    </row>
    <row r="58" spans="1:21" ht="12.75" customHeight="1">
      <c r="A58" s="30"/>
      <c r="B58" s="25" t="s">
        <v>170</v>
      </c>
      <c r="C58" s="30" t="s">
        <v>102</v>
      </c>
      <c r="D58" s="25" t="s">
        <v>140</v>
      </c>
      <c r="E58" s="69">
        <v>343</v>
      </c>
      <c r="F58" s="70">
        <v>4116</v>
      </c>
      <c r="G58" s="74">
        <v>2.6</v>
      </c>
      <c r="H58" s="72">
        <f>F58*G58</f>
        <v>10701.6</v>
      </c>
      <c r="I58" s="38">
        <f>F58/12*G58</f>
        <v>891.80000000000007</v>
      </c>
      <c r="J58" s="38">
        <f>F58/12*G58</f>
        <v>891.80000000000007</v>
      </c>
      <c r="K58" s="38">
        <f>F58/12*G58</f>
        <v>891.80000000000007</v>
      </c>
      <c r="L58" s="38">
        <f>F58/12*G58</f>
        <v>891.80000000000007</v>
      </c>
      <c r="M58" s="38">
        <f>F58/12*G58</f>
        <v>891.80000000000007</v>
      </c>
      <c r="N58" s="38">
        <f>F58/12*G58</f>
        <v>891.80000000000007</v>
      </c>
      <c r="O58" s="38">
        <f>F58/12*G58</f>
        <v>891.80000000000007</v>
      </c>
      <c r="P58" s="38">
        <f>F58/12*G58</f>
        <v>891.80000000000007</v>
      </c>
      <c r="Q58" s="38">
        <f>F58/12*G58</f>
        <v>891.80000000000007</v>
      </c>
      <c r="R58" s="38">
        <f>F58/12*G58</f>
        <v>891.80000000000007</v>
      </c>
      <c r="S58" s="38">
        <f>F58/12*G58</f>
        <v>891.80000000000007</v>
      </c>
      <c r="T58" s="38">
        <f>F58/12*G58</f>
        <v>891.80000000000007</v>
      </c>
      <c r="U58" s="38">
        <f>SUM(I58:T58)</f>
        <v>10701.599999999999</v>
      </c>
    </row>
    <row r="59" spans="1:21" ht="12.75" customHeight="1">
      <c r="A59" s="30"/>
      <c r="B59" s="26" t="s">
        <v>171</v>
      </c>
      <c r="C59" s="30"/>
      <c r="D59" s="25"/>
      <c r="E59" s="69"/>
      <c r="F59" s="72"/>
      <c r="G59" s="61"/>
      <c r="H59" s="75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</row>
    <row r="60" spans="1:21" ht="12.75" customHeight="1">
      <c r="A60" s="30" t="s">
        <v>172</v>
      </c>
      <c r="B60" s="25" t="s">
        <v>173</v>
      </c>
      <c r="C60" s="30" t="s">
        <v>49</v>
      </c>
      <c r="D60" s="25" t="s">
        <v>55</v>
      </c>
      <c r="E60" s="69">
        <v>3</v>
      </c>
      <c r="F60" s="70">
        <v>3</v>
      </c>
      <c r="G60" s="74">
        <v>254.16</v>
      </c>
      <c r="H60" s="72">
        <v>0.76200000000000001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f>SUM(I60:T60)</f>
        <v>0</v>
      </c>
    </row>
    <row r="61" spans="1:21">
      <c r="A61" s="30"/>
      <c r="B61" s="15" t="s">
        <v>104</v>
      </c>
      <c r="C61" s="30"/>
      <c r="D61" s="25"/>
      <c r="E61" s="69"/>
      <c r="F61" s="70"/>
      <c r="G61" s="70"/>
      <c r="H61" s="72" t="s">
        <v>63</v>
      </c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ht="12.75" customHeight="1">
      <c r="A62" s="76" t="s">
        <v>105</v>
      </c>
      <c r="B62" s="16" t="s">
        <v>106</v>
      </c>
      <c r="C62" s="76" t="s">
        <v>96</v>
      </c>
      <c r="D62" s="9" t="s">
        <v>55</v>
      </c>
      <c r="E62" s="46">
        <v>15</v>
      </c>
      <c r="F62" s="43">
        <v>15</v>
      </c>
      <c r="G62" s="61">
        <v>237.74</v>
      </c>
      <c r="H62" s="77">
        <f t="shared" ref="H62:H75" si="8">SUM(F62*G62/1000)</f>
        <v>3.5661000000000005</v>
      </c>
      <c r="I62" s="38">
        <v>0</v>
      </c>
      <c r="J62" s="38">
        <f>G62</f>
        <v>237.74</v>
      </c>
      <c r="K62" s="38">
        <v>0</v>
      </c>
      <c r="L62" s="38">
        <v>0</v>
      </c>
      <c r="M62" s="38">
        <v>0</v>
      </c>
      <c r="N62" s="38">
        <f>G62*3</f>
        <v>713.22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f t="shared" ref="U62:U69" si="9">SUM(I62:T62)</f>
        <v>950.96</v>
      </c>
    </row>
    <row r="63" spans="1:21" ht="12.75" customHeight="1">
      <c r="A63" s="76" t="s">
        <v>107</v>
      </c>
      <c r="B63" s="16" t="s">
        <v>108</v>
      </c>
      <c r="C63" s="76" t="s">
        <v>96</v>
      </c>
      <c r="D63" s="9" t="s">
        <v>55</v>
      </c>
      <c r="E63" s="46">
        <v>5</v>
      </c>
      <c r="F63" s="43">
        <v>5</v>
      </c>
      <c r="G63" s="61">
        <v>81.510000000000005</v>
      </c>
      <c r="H63" s="77">
        <f t="shared" si="8"/>
        <v>0.40755000000000002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f t="shared" si="9"/>
        <v>0</v>
      </c>
    </row>
    <row r="64" spans="1:21" s="2" customFormat="1">
      <c r="A64" s="78" t="s">
        <v>109</v>
      </c>
      <c r="B64" s="16" t="s">
        <v>110</v>
      </c>
      <c r="C64" s="78" t="s">
        <v>111</v>
      </c>
      <c r="D64" s="9" t="s">
        <v>46</v>
      </c>
      <c r="E64" s="42">
        <v>24123</v>
      </c>
      <c r="F64" s="62">
        <f>SUM(E64/100)</f>
        <v>241.23</v>
      </c>
      <c r="G64" s="61">
        <v>226.79</v>
      </c>
      <c r="H64" s="77">
        <f t="shared" si="8"/>
        <v>54.708551699999994</v>
      </c>
      <c r="I64" s="60">
        <v>0</v>
      </c>
      <c r="J64" s="60">
        <v>0</v>
      </c>
      <c r="K64" s="60">
        <v>0</v>
      </c>
      <c r="L64" s="60">
        <v>0</v>
      </c>
      <c r="M64" s="60">
        <f>F64*G64</f>
        <v>54708.551699999996</v>
      </c>
      <c r="N64" s="60">
        <v>0</v>
      </c>
      <c r="O64" s="60">
        <v>0</v>
      </c>
      <c r="P64" s="60">
        <v>0</v>
      </c>
      <c r="Q64" s="60">
        <v>0</v>
      </c>
      <c r="R64" s="60">
        <v>0</v>
      </c>
      <c r="S64" s="60">
        <v>0</v>
      </c>
      <c r="T64" s="60">
        <v>0</v>
      </c>
      <c r="U64" s="38">
        <f t="shared" si="9"/>
        <v>54708.551699999996</v>
      </c>
    </row>
    <row r="65" spans="1:21" ht="25.5">
      <c r="A65" s="76" t="s">
        <v>112</v>
      </c>
      <c r="B65" s="16" t="s">
        <v>113</v>
      </c>
      <c r="C65" s="76" t="s">
        <v>114</v>
      </c>
      <c r="D65" s="9"/>
      <c r="E65" s="42">
        <v>24123</v>
      </c>
      <c r="F65" s="61">
        <f>SUM(E65/1000)</f>
        <v>24.123000000000001</v>
      </c>
      <c r="G65" s="61">
        <v>176.61</v>
      </c>
      <c r="H65" s="77">
        <f t="shared" si="8"/>
        <v>4.2603630300000006</v>
      </c>
      <c r="I65" s="38">
        <v>0</v>
      </c>
      <c r="J65" s="38">
        <v>0</v>
      </c>
      <c r="K65" s="38">
        <v>0</v>
      </c>
      <c r="L65" s="38">
        <v>0</v>
      </c>
      <c r="M65" s="38">
        <f>F65*G65</f>
        <v>4260.3630300000004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f t="shared" si="9"/>
        <v>4260.3630300000004</v>
      </c>
    </row>
    <row r="66" spans="1:21">
      <c r="A66" s="76" t="s">
        <v>115</v>
      </c>
      <c r="B66" s="16" t="s">
        <v>116</v>
      </c>
      <c r="C66" s="76" t="s">
        <v>117</v>
      </c>
      <c r="D66" s="9" t="s">
        <v>46</v>
      </c>
      <c r="E66" s="42">
        <v>2730</v>
      </c>
      <c r="F66" s="61">
        <f>SUM(E66/100)</f>
        <v>27.3</v>
      </c>
      <c r="G66" s="61">
        <v>2217.7800000000002</v>
      </c>
      <c r="H66" s="77">
        <f t="shared" si="8"/>
        <v>60.545394000000009</v>
      </c>
      <c r="I66" s="38">
        <v>0</v>
      </c>
      <c r="J66" s="38">
        <v>0</v>
      </c>
      <c r="K66" s="38">
        <v>0</v>
      </c>
      <c r="L66" s="38">
        <v>0</v>
      </c>
      <c r="M66" s="38">
        <f>F66*G66</f>
        <v>60545.394000000008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f t="shared" si="9"/>
        <v>60545.394000000008</v>
      </c>
    </row>
    <row r="67" spans="1:21">
      <c r="A67" s="76"/>
      <c r="B67" s="17" t="s">
        <v>142</v>
      </c>
      <c r="C67" s="76" t="s">
        <v>53</v>
      </c>
      <c r="D67" s="9"/>
      <c r="E67" s="42">
        <v>23</v>
      </c>
      <c r="F67" s="61">
        <f>SUM(E67)</f>
        <v>23</v>
      </c>
      <c r="G67" s="61">
        <v>42.67</v>
      </c>
      <c r="H67" s="77">
        <f t="shared" si="8"/>
        <v>0.98141000000000012</v>
      </c>
      <c r="I67" s="38">
        <v>0</v>
      </c>
      <c r="J67" s="38">
        <v>0</v>
      </c>
      <c r="K67" s="38">
        <v>0</v>
      </c>
      <c r="L67" s="38">
        <v>0</v>
      </c>
      <c r="M67" s="38">
        <f>F67*G67</f>
        <v>981.41000000000008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f t="shared" si="9"/>
        <v>981.41000000000008</v>
      </c>
    </row>
    <row r="68" spans="1:21" ht="25.5">
      <c r="A68" s="76"/>
      <c r="B68" s="17" t="s">
        <v>143</v>
      </c>
      <c r="C68" s="76" t="s">
        <v>53</v>
      </c>
      <c r="D68" s="9"/>
      <c r="E68" s="42">
        <v>23</v>
      </c>
      <c r="F68" s="61">
        <f>SUM(E68)</f>
        <v>23</v>
      </c>
      <c r="G68" s="61">
        <v>39.81</v>
      </c>
      <c r="H68" s="77">
        <f t="shared" si="8"/>
        <v>0.91563000000000005</v>
      </c>
      <c r="I68" s="38">
        <v>0</v>
      </c>
      <c r="J68" s="38">
        <v>0</v>
      </c>
      <c r="K68" s="38">
        <v>0</v>
      </c>
      <c r="L68" s="38">
        <v>0</v>
      </c>
      <c r="M68" s="38">
        <f>F68*G68</f>
        <v>915.63000000000011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f t="shared" si="9"/>
        <v>915.63000000000011</v>
      </c>
    </row>
    <row r="69" spans="1:21">
      <c r="A69" s="76" t="s">
        <v>118</v>
      </c>
      <c r="B69" s="9" t="s">
        <v>119</v>
      </c>
      <c r="C69" s="76" t="s">
        <v>120</v>
      </c>
      <c r="D69" s="9" t="s">
        <v>46</v>
      </c>
      <c r="E69" s="46">
        <v>10</v>
      </c>
      <c r="F69" s="43">
        <f>SUM(E69)</f>
        <v>10</v>
      </c>
      <c r="G69" s="61">
        <v>53.32</v>
      </c>
      <c r="H69" s="77">
        <f t="shared" si="8"/>
        <v>0.53320000000000001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f>F69*G69</f>
        <v>533.20000000000005</v>
      </c>
      <c r="R69" s="38">
        <v>0</v>
      </c>
      <c r="S69" s="38">
        <v>0</v>
      </c>
      <c r="T69" s="38">
        <v>0</v>
      </c>
      <c r="U69" s="38">
        <f t="shared" si="9"/>
        <v>533.20000000000005</v>
      </c>
    </row>
    <row r="70" spans="1:21">
      <c r="A70" s="76"/>
      <c r="B70" s="18" t="s">
        <v>121</v>
      </c>
      <c r="C70" s="76"/>
      <c r="D70" s="9"/>
      <c r="E70" s="46"/>
      <c r="F70" s="61"/>
      <c r="G70" s="61"/>
      <c r="H70" s="77" t="s">
        <v>63</v>
      </c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</row>
    <row r="71" spans="1:21">
      <c r="A71" s="76" t="s">
        <v>122</v>
      </c>
      <c r="B71" s="9" t="s">
        <v>162</v>
      </c>
      <c r="C71" s="76" t="s">
        <v>161</v>
      </c>
      <c r="D71" s="9"/>
      <c r="E71" s="46">
        <v>2</v>
      </c>
      <c r="F71" s="71">
        <v>0.2</v>
      </c>
      <c r="G71" s="61">
        <v>536.23</v>
      </c>
      <c r="H71" s="77">
        <v>0.251</v>
      </c>
      <c r="I71" s="38">
        <v>0</v>
      </c>
      <c r="J71" s="38">
        <v>0</v>
      </c>
      <c r="K71" s="38">
        <v>0</v>
      </c>
      <c r="L71" s="38">
        <v>0</v>
      </c>
      <c r="M71" s="38">
        <f>G71*1.3</f>
        <v>697.09900000000005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38">
        <v>0</v>
      </c>
      <c r="U71" s="38">
        <f>SUM(I71:T71)</f>
        <v>697.09900000000005</v>
      </c>
    </row>
    <row r="72" spans="1:21">
      <c r="A72" s="76" t="s">
        <v>122</v>
      </c>
      <c r="B72" s="9" t="s">
        <v>123</v>
      </c>
      <c r="C72" s="76" t="s">
        <v>49</v>
      </c>
      <c r="D72" s="9"/>
      <c r="E72" s="46">
        <v>1</v>
      </c>
      <c r="F72" s="43">
        <f>SUM(E72)</f>
        <v>1</v>
      </c>
      <c r="G72" s="61">
        <v>383.25</v>
      </c>
      <c r="H72" s="77">
        <f t="shared" si="8"/>
        <v>0.38324999999999998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f>SUM(I72:T72)</f>
        <v>0</v>
      </c>
    </row>
    <row r="73" spans="1:21">
      <c r="A73" s="76" t="s">
        <v>144</v>
      </c>
      <c r="B73" s="9" t="s">
        <v>145</v>
      </c>
      <c r="C73" s="76" t="s">
        <v>49</v>
      </c>
      <c r="D73" s="9"/>
      <c r="E73" s="46">
        <v>2</v>
      </c>
      <c r="F73" s="61">
        <v>2</v>
      </c>
      <c r="G73" s="61">
        <v>911.85</v>
      </c>
      <c r="H73" s="77">
        <f>F73*G73/1000</f>
        <v>1.8237000000000001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f>G73*8</f>
        <v>7294.8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f>SUM(I73:T73)</f>
        <v>7294.8</v>
      </c>
    </row>
    <row r="74" spans="1:21">
      <c r="A74" s="76"/>
      <c r="B74" s="79" t="s">
        <v>124</v>
      </c>
      <c r="C74" s="76"/>
      <c r="D74" s="9"/>
      <c r="E74" s="46"/>
      <c r="F74" s="61"/>
      <c r="G74" s="61" t="s">
        <v>63</v>
      </c>
      <c r="H74" s="77" t="s">
        <v>63</v>
      </c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</row>
    <row r="75" spans="1:21" s="2" customFormat="1">
      <c r="A75" s="78" t="s">
        <v>125</v>
      </c>
      <c r="B75" s="80" t="s">
        <v>126</v>
      </c>
      <c r="C75" s="78" t="s">
        <v>117</v>
      </c>
      <c r="D75" s="16"/>
      <c r="E75" s="81"/>
      <c r="F75" s="62">
        <v>1.35</v>
      </c>
      <c r="G75" s="62">
        <v>2949.85</v>
      </c>
      <c r="H75" s="77">
        <f t="shared" si="8"/>
        <v>3.9822975</v>
      </c>
      <c r="I75" s="60">
        <v>0</v>
      </c>
      <c r="J75" s="60">
        <v>0</v>
      </c>
      <c r="K75" s="60">
        <v>0</v>
      </c>
      <c r="L75" s="60">
        <v>0</v>
      </c>
      <c r="M75" s="60">
        <v>0</v>
      </c>
      <c r="N75" s="60">
        <v>0</v>
      </c>
      <c r="O75" s="60">
        <v>0</v>
      </c>
      <c r="P75" s="60">
        <v>0</v>
      </c>
      <c r="Q75" s="60">
        <v>0</v>
      </c>
      <c r="R75" s="60">
        <v>0</v>
      </c>
      <c r="S75" s="60">
        <v>0</v>
      </c>
      <c r="T75" s="60">
        <v>0</v>
      </c>
      <c r="U75" s="38">
        <f>SUM(I75:T75)</f>
        <v>0</v>
      </c>
    </row>
    <row r="76" spans="1:21" s="21" customFormat="1">
      <c r="A76" s="82"/>
      <c r="B76" s="20" t="s">
        <v>35</v>
      </c>
      <c r="C76" s="83"/>
      <c r="D76" s="84"/>
      <c r="E76" s="85"/>
      <c r="F76" s="67"/>
      <c r="G76" s="67"/>
      <c r="H76" s="86">
        <f>SUM(H55:H75)</f>
        <v>10881.285151046004</v>
      </c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>
        <f>SUM(U55:U75)</f>
        <v>188153.712546</v>
      </c>
    </row>
    <row r="77" spans="1:21">
      <c r="A77" s="140" t="s">
        <v>205</v>
      </c>
      <c r="B77" s="11" t="s">
        <v>206</v>
      </c>
      <c r="C77" s="88" t="s">
        <v>207</v>
      </c>
      <c r="D77" s="89"/>
      <c r="E77" s="141"/>
      <c r="F77" s="90">
        <f>102/10</f>
        <v>10.199999999999999</v>
      </c>
      <c r="G77" s="91">
        <v>9</v>
      </c>
      <c r="H77" s="77">
        <f>G77*F77/1000</f>
        <v>9.1799999999999993E-2</v>
      </c>
      <c r="I77" s="38">
        <v>0</v>
      </c>
      <c r="J77" s="38">
        <v>0</v>
      </c>
      <c r="K77" s="38">
        <v>0</v>
      </c>
      <c r="L77" s="38">
        <v>0</v>
      </c>
      <c r="M77" s="131">
        <v>0</v>
      </c>
      <c r="N77" s="38">
        <f>F77*G77</f>
        <v>91.8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f>SUM(I77:T77)</f>
        <v>91.8</v>
      </c>
    </row>
    <row r="78" spans="1:21" ht="12.75" customHeight="1">
      <c r="A78" s="92"/>
      <c r="B78" s="87" t="s">
        <v>127</v>
      </c>
      <c r="C78" s="76" t="s">
        <v>128</v>
      </c>
      <c r="D78" s="93"/>
      <c r="E78" s="61">
        <v>4591.2</v>
      </c>
      <c r="F78" s="61">
        <f>SUM(E78*12)</f>
        <v>55094.399999999994</v>
      </c>
      <c r="G78" s="94">
        <v>2.54</v>
      </c>
      <c r="H78" s="77">
        <f>SUM(F78*G78/1000)</f>
        <v>139.93977599999999</v>
      </c>
      <c r="I78" s="38">
        <f>F78/12*G78</f>
        <v>11661.647999999999</v>
      </c>
      <c r="J78" s="38">
        <f>F78/12*G78</f>
        <v>11661.647999999999</v>
      </c>
      <c r="K78" s="38">
        <f>F78/12*G78</f>
        <v>11661.647999999999</v>
      </c>
      <c r="L78" s="38">
        <f>F78/12*G78</f>
        <v>11661.647999999999</v>
      </c>
      <c r="M78" s="38">
        <f>F78/12*G78</f>
        <v>11661.647999999999</v>
      </c>
      <c r="N78" s="38">
        <f>F78/12*G78</f>
        <v>11661.647999999999</v>
      </c>
      <c r="O78" s="38">
        <f>F78/12*G78</f>
        <v>11661.647999999999</v>
      </c>
      <c r="P78" s="38">
        <f>F78/12*G78</f>
        <v>11661.647999999999</v>
      </c>
      <c r="Q78" s="38">
        <f>F78/12*G78</f>
        <v>11661.647999999999</v>
      </c>
      <c r="R78" s="38">
        <f>F78/12*G78</f>
        <v>11661.647999999999</v>
      </c>
      <c r="S78" s="38">
        <f>F78/12*G78</f>
        <v>11661.647999999999</v>
      </c>
      <c r="T78" s="38">
        <f>F78/12*G78</f>
        <v>11661.647999999999</v>
      </c>
      <c r="U78" s="38">
        <f>SUM(I78:T78)</f>
        <v>139939.77599999998</v>
      </c>
    </row>
    <row r="79" spans="1:21" s="19" customFormat="1">
      <c r="A79" s="95"/>
      <c r="B79" s="20" t="s">
        <v>35</v>
      </c>
      <c r="C79" s="96"/>
      <c r="D79" s="97"/>
      <c r="E79" s="98"/>
      <c r="F79" s="53"/>
      <c r="G79" s="99"/>
      <c r="H79" s="100">
        <f>SUM(H77:H78)</f>
        <v>140.031576</v>
      </c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>
        <f>SUM(U77:U78)</f>
        <v>140031.57599999997</v>
      </c>
    </row>
    <row r="80" spans="1:21" ht="28.5" customHeight="1">
      <c r="A80" s="28"/>
      <c r="B80" s="9" t="s">
        <v>129</v>
      </c>
      <c r="C80" s="76"/>
      <c r="D80" s="27"/>
      <c r="E80" s="42">
        <f>E78</f>
        <v>4591.2</v>
      </c>
      <c r="F80" s="61">
        <f>E80*12</f>
        <v>55094.399999999994</v>
      </c>
      <c r="G80" s="61">
        <v>2.0499999999999998</v>
      </c>
      <c r="H80" s="77">
        <f>F80*G80/1000</f>
        <v>112.94351999999998</v>
      </c>
      <c r="I80" s="38">
        <f>F80/12*G80</f>
        <v>9411.9599999999991</v>
      </c>
      <c r="J80" s="38">
        <f>F80/12*G80</f>
        <v>9411.9599999999991</v>
      </c>
      <c r="K80" s="38">
        <f>F80/12*G80</f>
        <v>9411.9599999999991</v>
      </c>
      <c r="L80" s="38">
        <f>F80/12*G80</f>
        <v>9411.9599999999991</v>
      </c>
      <c r="M80" s="38">
        <f>F80/12*G80</f>
        <v>9411.9599999999991</v>
      </c>
      <c r="N80" s="38">
        <f>F80/12*G80</f>
        <v>9411.9599999999991</v>
      </c>
      <c r="O80" s="38">
        <f>F80/12*G80</f>
        <v>9411.9599999999991</v>
      </c>
      <c r="P80" s="38">
        <f>F80/12*G80</f>
        <v>9411.9599999999991</v>
      </c>
      <c r="Q80" s="38">
        <f>F80/12*G80</f>
        <v>9411.9599999999991</v>
      </c>
      <c r="R80" s="38">
        <f>F80/12*G80</f>
        <v>9411.9599999999991</v>
      </c>
      <c r="S80" s="38">
        <f>F80/12*G80</f>
        <v>9411.9599999999991</v>
      </c>
      <c r="T80" s="38">
        <f>F80/12*G80</f>
        <v>9411.9599999999991</v>
      </c>
      <c r="U80" s="38">
        <f>SUM(I80:T80)</f>
        <v>112943.51999999996</v>
      </c>
    </row>
    <row r="81" spans="1:21" s="19" customFormat="1">
      <c r="A81" s="95"/>
      <c r="B81" s="101" t="s">
        <v>130</v>
      </c>
      <c r="C81" s="102"/>
      <c r="D81" s="101"/>
      <c r="E81" s="53"/>
      <c r="F81" s="53"/>
      <c r="G81" s="53"/>
      <c r="H81" s="86">
        <f>H80</f>
        <v>112.94351999999998</v>
      </c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142">
        <f>U80</f>
        <v>112943.51999999996</v>
      </c>
    </row>
    <row r="82" spans="1:21" s="19" customFormat="1">
      <c r="A82" s="95"/>
      <c r="B82" s="101" t="s">
        <v>131</v>
      </c>
      <c r="C82" s="103"/>
      <c r="D82" s="104"/>
      <c r="E82" s="105"/>
      <c r="F82" s="105"/>
      <c r="G82" s="105"/>
      <c r="H82" s="86">
        <f>SUM(H81+H79+H76+H53+H41+H32+H21)</f>
        <v>11890.477399024605</v>
      </c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42">
        <f>SUM(U81+U79+U76+U53+U41+U32+U21)</f>
        <v>1200941.7494792666</v>
      </c>
    </row>
    <row r="83" spans="1:21">
      <c r="A83" s="28"/>
      <c r="B83" s="27" t="s">
        <v>132</v>
      </c>
      <c r="C83" s="76"/>
      <c r="D83" s="27"/>
      <c r="E83" s="61"/>
      <c r="F83" s="61"/>
      <c r="G83" s="61" t="s">
        <v>133</v>
      </c>
      <c r="H83" s="106">
        <f>E80</f>
        <v>4591.2</v>
      </c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</row>
    <row r="84" spans="1:21" s="19" customFormat="1">
      <c r="A84" s="95"/>
      <c r="B84" s="104" t="s">
        <v>134</v>
      </c>
      <c r="C84" s="103"/>
      <c r="D84" s="104"/>
      <c r="E84" s="105"/>
      <c r="F84" s="105"/>
      <c r="G84" s="105"/>
      <c r="H84" s="107">
        <f>SUM(H82/H83/12*1000)</f>
        <v>215.82007243975076</v>
      </c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43"/>
    </row>
    <row r="85" spans="1:21">
      <c r="A85" s="28"/>
      <c r="B85" s="27"/>
      <c r="C85" s="76"/>
      <c r="D85" s="27"/>
      <c r="E85" s="61"/>
      <c r="F85" s="61"/>
      <c r="G85" s="61"/>
      <c r="H85" s="10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144"/>
    </row>
    <row r="86" spans="1:21">
      <c r="A86" s="28"/>
      <c r="B86" s="79" t="s">
        <v>135</v>
      </c>
      <c r="C86" s="76"/>
      <c r="D86" s="27"/>
      <c r="E86" s="61"/>
      <c r="F86" s="61"/>
      <c r="G86" s="61"/>
      <c r="H86" s="61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</row>
    <row r="87" spans="1:21" ht="25.5">
      <c r="A87" s="29" t="s">
        <v>149</v>
      </c>
      <c r="B87" s="22" t="s">
        <v>150</v>
      </c>
      <c r="C87" s="76" t="s">
        <v>49</v>
      </c>
      <c r="D87" s="27"/>
      <c r="E87" s="61"/>
      <c r="F87" s="61">
        <v>18</v>
      </c>
      <c r="G87" s="61">
        <v>72.290000000000006</v>
      </c>
      <c r="H87" s="61">
        <f t="shared" ref="H87" si="10">G87*F87/1000</f>
        <v>1.30122</v>
      </c>
      <c r="I87" s="38">
        <f>G87*1</f>
        <v>72.290000000000006</v>
      </c>
      <c r="J87" s="38">
        <f>G87*2</f>
        <v>144.58000000000001</v>
      </c>
      <c r="K87" s="38">
        <f>G87*4</f>
        <v>289.16000000000003</v>
      </c>
      <c r="L87" s="38">
        <v>0</v>
      </c>
      <c r="M87" s="38">
        <v>0</v>
      </c>
      <c r="N87" s="38">
        <f>G87</f>
        <v>72.290000000000006</v>
      </c>
      <c r="O87" s="38">
        <f>G87*2</f>
        <v>144.58000000000001</v>
      </c>
      <c r="P87" s="38">
        <f>G87*2</f>
        <v>144.58000000000001</v>
      </c>
      <c r="Q87" s="38">
        <f>G87*3</f>
        <v>216.87</v>
      </c>
      <c r="R87" s="38">
        <v>0</v>
      </c>
      <c r="S87" s="38">
        <f>G87</f>
        <v>72.290000000000006</v>
      </c>
      <c r="T87" s="38">
        <f>G87*2</f>
        <v>144.58000000000001</v>
      </c>
      <c r="U87" s="38">
        <f>SUM(I87:T87)</f>
        <v>1301.22</v>
      </c>
    </row>
    <row r="88" spans="1:21" ht="25.5">
      <c r="A88" s="135" t="s">
        <v>247</v>
      </c>
      <c r="B88" s="22" t="s">
        <v>246</v>
      </c>
      <c r="C88" s="135" t="s">
        <v>186</v>
      </c>
      <c r="D88" s="27"/>
      <c r="E88" s="61"/>
      <c r="F88" s="61">
        <v>10</v>
      </c>
      <c r="G88" s="61">
        <v>169.85</v>
      </c>
      <c r="H88" s="77">
        <f t="shared" ref="H88:H109" si="11">G88*F88/1000</f>
        <v>1.6984999999999999</v>
      </c>
      <c r="I88" s="38">
        <f>G88*3</f>
        <v>509.54999999999995</v>
      </c>
      <c r="J88" s="38">
        <v>0</v>
      </c>
      <c r="K88" s="38">
        <v>0</v>
      </c>
      <c r="L88" s="38">
        <v>0</v>
      </c>
      <c r="M88" s="38">
        <f>G88</f>
        <v>169.85</v>
      </c>
      <c r="N88" s="38">
        <f>G88</f>
        <v>169.85</v>
      </c>
      <c r="O88" s="38">
        <v>0</v>
      </c>
      <c r="P88" s="38">
        <v>0</v>
      </c>
      <c r="Q88" s="38">
        <v>0</v>
      </c>
      <c r="R88" s="38">
        <v>0</v>
      </c>
      <c r="S88" s="38">
        <f>G88*3</f>
        <v>509.54999999999995</v>
      </c>
      <c r="T88" s="38">
        <f>G88*2</f>
        <v>339.7</v>
      </c>
      <c r="U88" s="38">
        <f>SUM(I88:T88)</f>
        <v>1698.5</v>
      </c>
    </row>
    <row r="89" spans="1:21" ht="25.5">
      <c r="A89" s="31" t="s">
        <v>188</v>
      </c>
      <c r="B89" s="22" t="s">
        <v>189</v>
      </c>
      <c r="C89" s="135" t="s">
        <v>187</v>
      </c>
      <c r="D89" s="27"/>
      <c r="E89" s="61"/>
      <c r="F89" s="61">
        <v>1</v>
      </c>
      <c r="G89" s="61">
        <v>1484.09</v>
      </c>
      <c r="H89" s="77">
        <f t="shared" si="11"/>
        <v>1.4840899999999999</v>
      </c>
      <c r="I89" s="38">
        <f>G89</f>
        <v>1484.09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f>SUM(I89:T89)</f>
        <v>1484.09</v>
      </c>
    </row>
    <row r="90" spans="1:21" ht="25.5">
      <c r="A90" s="31" t="s">
        <v>191</v>
      </c>
      <c r="B90" s="22" t="s">
        <v>190</v>
      </c>
      <c r="C90" s="135" t="s">
        <v>96</v>
      </c>
      <c r="D90" s="27"/>
      <c r="E90" s="61"/>
      <c r="F90" s="61">
        <v>1</v>
      </c>
      <c r="G90" s="61">
        <v>1992.08</v>
      </c>
      <c r="H90" s="77">
        <f t="shared" si="11"/>
        <v>1.9920799999999999</v>
      </c>
      <c r="I90" s="38">
        <v>0</v>
      </c>
      <c r="J90" s="38">
        <f>G90</f>
        <v>1992.08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f>SUM(I90:T90)</f>
        <v>1992.08</v>
      </c>
    </row>
    <row r="91" spans="1:21">
      <c r="A91" s="31" t="s">
        <v>192</v>
      </c>
      <c r="B91" s="22" t="s">
        <v>193</v>
      </c>
      <c r="C91" s="135" t="s">
        <v>194</v>
      </c>
      <c r="D91" s="27"/>
      <c r="E91" s="61"/>
      <c r="F91" s="61">
        <v>15</v>
      </c>
      <c r="G91" s="61">
        <v>1372</v>
      </c>
      <c r="H91" s="77">
        <f t="shared" si="11"/>
        <v>20.58</v>
      </c>
      <c r="I91" s="38">
        <v>0</v>
      </c>
      <c r="J91" s="38">
        <f>G91*6</f>
        <v>8232</v>
      </c>
      <c r="K91" s="38">
        <f>G91</f>
        <v>1372</v>
      </c>
      <c r="L91" s="38">
        <f>G91*4</f>
        <v>5488</v>
      </c>
      <c r="M91" s="38">
        <v>0</v>
      </c>
      <c r="N91" s="38">
        <v>0</v>
      </c>
      <c r="O91" s="38">
        <v>0</v>
      </c>
      <c r="P91" s="38">
        <f>G91*4</f>
        <v>5488</v>
      </c>
      <c r="Q91" s="38">
        <v>0</v>
      </c>
      <c r="R91" s="38">
        <v>0</v>
      </c>
      <c r="S91" s="38">
        <v>0</v>
      </c>
      <c r="T91" s="38">
        <v>0</v>
      </c>
      <c r="U91" s="38">
        <f>SUM(I91:T91)</f>
        <v>20580</v>
      </c>
    </row>
    <row r="92" spans="1:21" ht="25.5">
      <c r="A92" s="136" t="s">
        <v>192</v>
      </c>
      <c r="B92" s="137" t="s">
        <v>195</v>
      </c>
      <c r="C92" s="138" t="s">
        <v>196</v>
      </c>
      <c r="D92" s="27"/>
      <c r="E92" s="61"/>
      <c r="F92" s="61">
        <v>1</v>
      </c>
      <c r="G92" s="61">
        <v>1678.06</v>
      </c>
      <c r="H92" s="77">
        <f t="shared" si="11"/>
        <v>1.6780599999999999</v>
      </c>
      <c r="I92" s="38">
        <v>0</v>
      </c>
      <c r="J92" s="38">
        <f>G92</f>
        <v>1678.06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f t="shared" ref="U92:U94" si="12">SUM(I92:T92)</f>
        <v>1678.06</v>
      </c>
    </row>
    <row r="93" spans="1:21" ht="25.5">
      <c r="A93" s="135" t="s">
        <v>198</v>
      </c>
      <c r="B93" s="22" t="s">
        <v>197</v>
      </c>
      <c r="C93" s="135" t="s">
        <v>96</v>
      </c>
      <c r="D93" s="27"/>
      <c r="E93" s="61"/>
      <c r="F93" s="61">
        <v>8</v>
      </c>
      <c r="G93" s="61">
        <v>164.67</v>
      </c>
      <c r="H93" s="77">
        <f t="shared" si="11"/>
        <v>1.3173599999999999</v>
      </c>
      <c r="I93" s="38">
        <v>0</v>
      </c>
      <c r="J93" s="38">
        <f>G93</f>
        <v>164.67</v>
      </c>
      <c r="K93" s="38">
        <v>0</v>
      </c>
      <c r="L93" s="38">
        <v>0</v>
      </c>
      <c r="M93" s="38">
        <f>G93*3</f>
        <v>494.01</v>
      </c>
      <c r="N93" s="38">
        <f>G93*2</f>
        <v>329.34</v>
      </c>
      <c r="O93" s="38">
        <v>0</v>
      </c>
      <c r="P93" s="38">
        <v>0</v>
      </c>
      <c r="Q93" s="38">
        <v>0</v>
      </c>
      <c r="R93" s="38">
        <f>G93</f>
        <v>164.67</v>
      </c>
      <c r="S93" s="38">
        <v>0</v>
      </c>
      <c r="T93" s="38">
        <f>G93</f>
        <v>164.67</v>
      </c>
      <c r="U93" s="38">
        <f t="shared" si="12"/>
        <v>1317.3600000000001</v>
      </c>
    </row>
    <row r="94" spans="1:21" ht="25.5">
      <c r="A94" s="135" t="s">
        <v>201</v>
      </c>
      <c r="B94" s="22" t="s">
        <v>199</v>
      </c>
      <c r="C94" s="135" t="s">
        <v>200</v>
      </c>
      <c r="D94" s="27"/>
      <c r="E94" s="61"/>
      <c r="F94" s="61">
        <v>5</v>
      </c>
      <c r="G94" s="61">
        <v>265.69799999999998</v>
      </c>
      <c r="H94" s="77">
        <f t="shared" si="11"/>
        <v>1.3284899999999997</v>
      </c>
      <c r="I94" s="38">
        <v>0</v>
      </c>
      <c r="J94" s="38">
        <f>G94*2</f>
        <v>531.39599999999996</v>
      </c>
      <c r="K94" s="38">
        <v>0</v>
      </c>
      <c r="L94" s="38">
        <v>0</v>
      </c>
      <c r="M94" s="38">
        <f>G94*2</f>
        <v>531.39599999999996</v>
      </c>
      <c r="N94" s="38">
        <v>0</v>
      </c>
      <c r="O94" s="38">
        <v>0</v>
      </c>
      <c r="P94" s="38">
        <f>G94</f>
        <v>265.69799999999998</v>
      </c>
      <c r="Q94" s="38">
        <v>0</v>
      </c>
      <c r="R94" s="38">
        <v>0</v>
      </c>
      <c r="S94" s="38">
        <v>0</v>
      </c>
      <c r="T94" s="38">
        <v>0</v>
      </c>
      <c r="U94" s="38">
        <f t="shared" si="12"/>
        <v>1328.4899999999998</v>
      </c>
    </row>
    <row r="95" spans="1:21" ht="33" customHeight="1">
      <c r="A95" s="147" t="s">
        <v>90</v>
      </c>
      <c r="B95" s="148" t="s">
        <v>208</v>
      </c>
      <c r="C95" s="147" t="s">
        <v>92</v>
      </c>
      <c r="D95" s="27"/>
      <c r="E95" s="61"/>
      <c r="F95" s="61">
        <v>0.02</v>
      </c>
      <c r="G95" s="61">
        <v>3105.72</v>
      </c>
      <c r="H95" s="77">
        <f t="shared" si="11"/>
        <v>6.2114399999999993E-2</v>
      </c>
      <c r="I95" s="38">
        <v>0</v>
      </c>
      <c r="J95" s="38">
        <v>0</v>
      </c>
      <c r="K95" s="38">
        <f>G95*0.02</f>
        <v>62.114399999999996</v>
      </c>
      <c r="L95" s="3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f t="shared" ref="U95:U100" si="13">SUM(I95:T95)</f>
        <v>62.114399999999996</v>
      </c>
    </row>
    <row r="96" spans="1:21" ht="33" customHeight="1">
      <c r="A96" s="31" t="s">
        <v>210</v>
      </c>
      <c r="B96" s="22" t="s">
        <v>209</v>
      </c>
      <c r="C96" s="135" t="s">
        <v>187</v>
      </c>
      <c r="D96" s="27"/>
      <c r="E96" s="61"/>
      <c r="F96" s="61">
        <v>3</v>
      </c>
      <c r="G96" s="61">
        <v>511.54</v>
      </c>
      <c r="H96" s="77">
        <f t="shared" si="11"/>
        <v>1.5346200000000001</v>
      </c>
      <c r="I96" s="38">
        <v>0</v>
      </c>
      <c r="J96" s="38">
        <v>0</v>
      </c>
      <c r="K96" s="38">
        <v>0</v>
      </c>
      <c r="L96" s="38">
        <f>G96</f>
        <v>511.54</v>
      </c>
      <c r="M96" s="38">
        <f>G96</f>
        <v>511.54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f>G96</f>
        <v>511.54</v>
      </c>
      <c r="T96" s="38">
        <v>0</v>
      </c>
      <c r="U96" s="38">
        <f t="shared" si="13"/>
        <v>1534.6200000000001</v>
      </c>
    </row>
    <row r="97" spans="1:21" ht="22.5" customHeight="1">
      <c r="A97" s="31" t="s">
        <v>212</v>
      </c>
      <c r="B97" s="22" t="s">
        <v>211</v>
      </c>
      <c r="C97" s="135" t="s">
        <v>187</v>
      </c>
      <c r="D97" s="27"/>
      <c r="E97" s="61"/>
      <c r="F97" s="61">
        <v>1</v>
      </c>
      <c r="G97" s="61">
        <v>215.05</v>
      </c>
      <c r="H97" s="77">
        <f t="shared" si="11"/>
        <v>0.21505000000000002</v>
      </c>
      <c r="I97" s="38">
        <v>0</v>
      </c>
      <c r="J97" s="38">
        <v>0</v>
      </c>
      <c r="K97" s="38">
        <v>0</v>
      </c>
      <c r="L97" s="38">
        <f>G97</f>
        <v>215.05</v>
      </c>
      <c r="M97" s="38">
        <v>0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f t="shared" si="13"/>
        <v>215.05</v>
      </c>
    </row>
    <row r="98" spans="1:21" ht="22.5" customHeight="1">
      <c r="A98" s="149" t="s">
        <v>214</v>
      </c>
      <c r="B98" s="148" t="s">
        <v>213</v>
      </c>
      <c r="C98" s="147" t="s">
        <v>96</v>
      </c>
      <c r="D98" s="27"/>
      <c r="E98" s="61"/>
      <c r="F98" s="61">
        <v>1</v>
      </c>
      <c r="G98" s="61">
        <v>162.52000000000001</v>
      </c>
      <c r="H98" s="77">
        <f t="shared" si="11"/>
        <v>0.16252</v>
      </c>
      <c r="I98" s="38">
        <v>0</v>
      </c>
      <c r="J98" s="38">
        <v>0</v>
      </c>
      <c r="K98" s="38">
        <v>0</v>
      </c>
      <c r="L98" s="38">
        <v>0</v>
      </c>
      <c r="M98" s="38">
        <f>G98</f>
        <v>162.52000000000001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f t="shared" si="13"/>
        <v>162.52000000000001</v>
      </c>
    </row>
    <row r="99" spans="1:21" ht="25.5" customHeight="1">
      <c r="A99" s="149" t="s">
        <v>215</v>
      </c>
      <c r="B99" s="148" t="s">
        <v>250</v>
      </c>
      <c r="C99" s="147" t="s">
        <v>216</v>
      </c>
      <c r="D99" s="27"/>
      <c r="E99" s="61"/>
      <c r="F99" s="61">
        <v>32</v>
      </c>
      <c r="G99" s="61">
        <v>2057</v>
      </c>
      <c r="H99" s="77">
        <f t="shared" si="11"/>
        <v>65.823999999999998</v>
      </c>
      <c r="I99" s="38">
        <v>0</v>
      </c>
      <c r="J99" s="38">
        <v>0</v>
      </c>
      <c r="K99" s="38">
        <v>0</v>
      </c>
      <c r="L99" s="38">
        <v>0</v>
      </c>
      <c r="M99" s="38">
        <f>G99*1.5</f>
        <v>3085.5</v>
      </c>
      <c r="N99" s="38">
        <f>G99</f>
        <v>2057</v>
      </c>
      <c r="O99" s="38">
        <f>G99*12</f>
        <v>24684</v>
      </c>
      <c r="P99" s="38">
        <v>0</v>
      </c>
      <c r="Q99" s="38">
        <v>0</v>
      </c>
      <c r="R99" s="38">
        <v>0</v>
      </c>
      <c r="S99" s="38">
        <f>G99*16</f>
        <v>32912</v>
      </c>
      <c r="T99" s="38">
        <f>G99*1.5</f>
        <v>3085.5</v>
      </c>
      <c r="U99" s="38">
        <f t="shared" si="13"/>
        <v>65824</v>
      </c>
    </row>
    <row r="100" spans="1:21" ht="25.5" customHeight="1">
      <c r="A100" s="149" t="s">
        <v>215</v>
      </c>
      <c r="B100" s="148" t="s">
        <v>217</v>
      </c>
      <c r="C100" s="147" t="s">
        <v>218</v>
      </c>
      <c r="D100" s="27"/>
      <c r="E100" s="61"/>
      <c r="F100" s="61">
        <v>1</v>
      </c>
      <c r="G100" s="61">
        <v>1115909</v>
      </c>
      <c r="H100" s="77">
        <f t="shared" si="11"/>
        <v>1115.9090000000001</v>
      </c>
      <c r="I100" s="38">
        <v>0</v>
      </c>
      <c r="J100" s="38">
        <v>0</v>
      </c>
      <c r="K100" s="38">
        <v>0</v>
      </c>
      <c r="L100" s="38">
        <v>0</v>
      </c>
      <c r="M100" s="38">
        <v>0</v>
      </c>
      <c r="N100" s="38">
        <f>G100</f>
        <v>1115909</v>
      </c>
      <c r="O100" s="38">
        <v>0</v>
      </c>
      <c r="P100" s="38">
        <v>0</v>
      </c>
      <c r="Q100" s="38">
        <v>0</v>
      </c>
      <c r="R100" s="38">
        <v>0</v>
      </c>
      <c r="S100" s="38">
        <v>0</v>
      </c>
      <c r="T100" s="38">
        <v>0</v>
      </c>
      <c r="U100" s="38">
        <f t="shared" si="13"/>
        <v>1115909</v>
      </c>
    </row>
    <row r="101" spans="1:21" ht="25.5" customHeight="1">
      <c r="A101" s="31" t="s">
        <v>227</v>
      </c>
      <c r="B101" s="22" t="s">
        <v>226</v>
      </c>
      <c r="C101" s="135" t="s">
        <v>96</v>
      </c>
      <c r="D101" s="27"/>
      <c r="E101" s="61"/>
      <c r="F101" s="61">
        <v>1</v>
      </c>
      <c r="G101" s="61">
        <v>443.02</v>
      </c>
      <c r="H101" s="77">
        <f t="shared" si="11"/>
        <v>0.44301999999999997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0</v>
      </c>
      <c r="O101" s="38">
        <v>0</v>
      </c>
      <c r="P101" s="38">
        <f>G101</f>
        <v>443.02</v>
      </c>
      <c r="Q101" s="38">
        <v>0</v>
      </c>
      <c r="R101" s="38">
        <v>0</v>
      </c>
      <c r="S101" s="38">
        <v>0</v>
      </c>
      <c r="T101" s="38">
        <v>0</v>
      </c>
      <c r="U101" s="38">
        <f t="shared" ref="U101:U108" si="14">SUM(I101:T101)</f>
        <v>443.02</v>
      </c>
    </row>
    <row r="102" spans="1:21" ht="39" customHeight="1">
      <c r="A102" s="150" t="s">
        <v>228</v>
      </c>
      <c r="B102" s="22" t="s">
        <v>229</v>
      </c>
      <c r="C102" s="135" t="s">
        <v>96</v>
      </c>
      <c r="D102" s="27"/>
      <c r="E102" s="61"/>
      <c r="F102" s="61">
        <v>2</v>
      </c>
      <c r="G102" s="61">
        <v>167.91</v>
      </c>
      <c r="H102" s="77">
        <f t="shared" si="11"/>
        <v>0.33582000000000001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v>0</v>
      </c>
      <c r="P102" s="38">
        <f>G102*2</f>
        <v>335.82</v>
      </c>
      <c r="Q102" s="38">
        <v>0</v>
      </c>
      <c r="R102" s="38">
        <v>0</v>
      </c>
      <c r="S102" s="38">
        <v>0</v>
      </c>
      <c r="T102" s="38">
        <v>0</v>
      </c>
      <c r="U102" s="38">
        <f t="shared" si="14"/>
        <v>335.82</v>
      </c>
    </row>
    <row r="103" spans="1:21" ht="39" customHeight="1">
      <c r="A103" s="135" t="s">
        <v>233</v>
      </c>
      <c r="B103" s="22" t="s">
        <v>231</v>
      </c>
      <c r="C103" s="135" t="s">
        <v>230</v>
      </c>
      <c r="D103" s="27"/>
      <c r="E103" s="61"/>
      <c r="F103" s="61">
        <v>2</v>
      </c>
      <c r="G103" s="61">
        <v>46.98</v>
      </c>
      <c r="H103" s="77">
        <f t="shared" si="11"/>
        <v>9.3959999999999988E-2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f>G103</f>
        <v>46.98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  <c r="T103" s="38">
        <f>G103</f>
        <v>46.98</v>
      </c>
      <c r="U103" s="38">
        <f t="shared" si="14"/>
        <v>93.96</v>
      </c>
    </row>
    <row r="104" spans="1:21" ht="53.25" customHeight="1">
      <c r="A104" s="135" t="s">
        <v>234</v>
      </c>
      <c r="B104" s="22" t="s">
        <v>235</v>
      </c>
      <c r="C104" s="31" t="s">
        <v>232</v>
      </c>
      <c r="D104" s="27"/>
      <c r="E104" s="61"/>
      <c r="F104" s="61">
        <v>1</v>
      </c>
      <c r="G104" s="61">
        <v>133.69999999999999</v>
      </c>
      <c r="H104" s="77">
        <f t="shared" si="11"/>
        <v>0.13369999999999999</v>
      </c>
      <c r="I104" s="38">
        <v>0</v>
      </c>
      <c r="J104" s="38">
        <v>0</v>
      </c>
      <c r="K104" s="38">
        <v>0</v>
      </c>
      <c r="L104" s="38">
        <v>0</v>
      </c>
      <c r="M104" s="38">
        <v>0</v>
      </c>
      <c r="N104" s="38">
        <f>G104</f>
        <v>133.69999999999999</v>
      </c>
      <c r="O104" s="38">
        <v>0</v>
      </c>
      <c r="P104" s="38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f t="shared" si="14"/>
        <v>133.69999999999999</v>
      </c>
    </row>
    <row r="105" spans="1:21" ht="30" customHeight="1">
      <c r="A105" s="135" t="s">
        <v>236</v>
      </c>
      <c r="B105" s="22" t="s">
        <v>237</v>
      </c>
      <c r="C105" s="135" t="s">
        <v>187</v>
      </c>
      <c r="D105" s="27"/>
      <c r="E105" s="61"/>
      <c r="F105" s="61">
        <v>2</v>
      </c>
      <c r="G105" s="61">
        <v>1944.4290000000001</v>
      </c>
      <c r="H105" s="77">
        <f t="shared" si="11"/>
        <v>3.8888580000000004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158">
        <f>G105*2+5031.24</f>
        <v>8920.098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f t="shared" si="14"/>
        <v>8920.098</v>
      </c>
    </row>
    <row r="106" spans="1:21" ht="21.75" customHeight="1">
      <c r="A106" s="135" t="s">
        <v>192</v>
      </c>
      <c r="B106" s="22" t="s">
        <v>238</v>
      </c>
      <c r="C106" s="135" t="s">
        <v>239</v>
      </c>
      <c r="D106" s="27"/>
      <c r="E106" s="61"/>
      <c r="F106" s="61">
        <v>9</v>
      </c>
      <c r="G106" s="61">
        <v>3551.42</v>
      </c>
      <c r="H106" s="77">
        <f t="shared" si="11"/>
        <v>31.962779999999999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0</v>
      </c>
      <c r="O106" s="38">
        <v>0</v>
      </c>
      <c r="P106" s="38">
        <f>G106*9</f>
        <v>31962.78</v>
      </c>
      <c r="Q106" s="38">
        <v>0</v>
      </c>
      <c r="R106" s="38">
        <v>0</v>
      </c>
      <c r="S106" s="38">
        <v>0</v>
      </c>
      <c r="T106" s="38">
        <v>0</v>
      </c>
      <c r="U106" s="38">
        <f t="shared" si="14"/>
        <v>31962.78</v>
      </c>
    </row>
    <row r="107" spans="1:21" ht="30.75" customHeight="1">
      <c r="A107" s="135" t="s">
        <v>242</v>
      </c>
      <c r="B107" s="22" t="s">
        <v>240</v>
      </c>
      <c r="C107" s="135" t="s">
        <v>241</v>
      </c>
      <c r="D107" s="27"/>
      <c r="E107" s="61"/>
      <c r="F107" s="61">
        <v>0.01</v>
      </c>
      <c r="G107" s="61">
        <v>29225.45</v>
      </c>
      <c r="H107" s="77">
        <f t="shared" si="11"/>
        <v>0.29225450000000003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  <c r="O107" s="38">
        <f>G107*0.01</f>
        <v>292.25450000000001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f t="shared" si="14"/>
        <v>292.25450000000001</v>
      </c>
    </row>
    <row r="108" spans="1:21" ht="26.25" customHeight="1">
      <c r="A108" s="147" t="s">
        <v>245</v>
      </c>
      <c r="B108" s="148" t="s">
        <v>243</v>
      </c>
      <c r="C108" s="147" t="s">
        <v>244</v>
      </c>
      <c r="D108" s="27"/>
      <c r="E108" s="61"/>
      <c r="F108" s="61">
        <v>2</v>
      </c>
      <c r="G108" s="61">
        <v>5156.5600000000004</v>
      </c>
      <c r="H108" s="77">
        <f t="shared" si="11"/>
        <v>10.313120000000001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38">
        <f>G108*2</f>
        <v>10313.120000000001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f t="shared" si="14"/>
        <v>10313.120000000001</v>
      </c>
    </row>
    <row r="109" spans="1:21" ht="26.25" customHeight="1">
      <c r="A109" s="135" t="s">
        <v>249</v>
      </c>
      <c r="B109" s="22" t="s">
        <v>248</v>
      </c>
      <c r="C109" s="135" t="s">
        <v>200</v>
      </c>
      <c r="D109" s="27"/>
      <c r="E109" s="61"/>
      <c r="F109" s="61">
        <v>1</v>
      </c>
      <c r="G109" s="61">
        <v>179.12</v>
      </c>
      <c r="H109" s="77">
        <f t="shared" si="11"/>
        <v>0.17912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f>G109</f>
        <v>179.12</v>
      </c>
      <c r="U109" s="38">
        <f>SUM(I109:T109)</f>
        <v>179.12</v>
      </c>
    </row>
    <row r="110" spans="1:21" ht="26.25" customHeight="1">
      <c r="A110" s="149" t="s">
        <v>215</v>
      </c>
      <c r="B110" s="148" t="s">
        <v>251</v>
      </c>
      <c r="C110" s="147" t="s">
        <v>216</v>
      </c>
      <c r="D110" s="27"/>
      <c r="E110" s="61"/>
      <c r="F110" s="61">
        <v>10</v>
      </c>
      <c r="G110" s="61">
        <v>1964</v>
      </c>
      <c r="H110" s="77">
        <f t="shared" ref="H110:H111" si="15">G110*F110/1000</f>
        <v>19.64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0</v>
      </c>
      <c r="O110" s="38">
        <v>0</v>
      </c>
      <c r="P110" s="38">
        <v>0</v>
      </c>
      <c r="Q110" s="38">
        <v>0</v>
      </c>
      <c r="R110" s="38">
        <v>0</v>
      </c>
      <c r="S110" s="38">
        <v>0</v>
      </c>
      <c r="T110" s="38">
        <f>G110*10</f>
        <v>19640</v>
      </c>
      <c r="U110" s="38">
        <f>SUM(I110:T110)</f>
        <v>19640</v>
      </c>
    </row>
    <row r="111" spans="1:21" s="157" customFormat="1" ht="26.25" customHeight="1">
      <c r="A111" s="151" t="s">
        <v>215</v>
      </c>
      <c r="B111" s="152" t="s">
        <v>252</v>
      </c>
      <c r="C111" s="153" t="s">
        <v>218</v>
      </c>
      <c r="D111" s="154"/>
      <c r="E111" s="155"/>
      <c r="F111" s="155">
        <v>1</v>
      </c>
      <c r="G111" s="155">
        <v>43083</v>
      </c>
      <c r="H111" s="156">
        <f t="shared" si="15"/>
        <v>43.082999999999998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0</v>
      </c>
      <c r="O111" s="38">
        <v>0</v>
      </c>
      <c r="P111" s="38">
        <v>0</v>
      </c>
      <c r="Q111" s="38">
        <f>G111</f>
        <v>43083</v>
      </c>
      <c r="R111" s="38">
        <v>0</v>
      </c>
      <c r="S111" s="38">
        <v>0</v>
      </c>
      <c r="T111" s="38">
        <v>0</v>
      </c>
      <c r="U111" s="38">
        <f>SUM(I111:T111)</f>
        <v>43083</v>
      </c>
    </row>
    <row r="112" spans="1:21" s="19" customFormat="1">
      <c r="A112" s="109"/>
      <c r="B112" s="110" t="s">
        <v>136</v>
      </c>
      <c r="C112" s="109"/>
      <c r="D112" s="109"/>
      <c r="E112" s="105"/>
      <c r="F112" s="105"/>
      <c r="G112" s="105"/>
      <c r="H112" s="100">
        <f>SUM(H87:H111)</f>
        <v>1325.4527369000002</v>
      </c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53">
        <f>SUM(U87:U111)</f>
        <v>1330483.9769000004</v>
      </c>
    </row>
    <row r="113" spans="1:21">
      <c r="A113" s="111"/>
      <c r="B113" s="112"/>
      <c r="C113" s="111"/>
      <c r="D113" s="111"/>
      <c r="E113" s="61"/>
      <c r="F113" s="61"/>
      <c r="G113" s="61"/>
      <c r="H113" s="113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145"/>
    </row>
    <row r="114" spans="1:21" ht="12" customHeight="1">
      <c r="A114" s="28"/>
      <c r="B114" s="18" t="s">
        <v>137</v>
      </c>
      <c r="C114" s="76"/>
      <c r="D114" s="27"/>
      <c r="E114" s="61"/>
      <c r="F114" s="61"/>
      <c r="G114" s="61"/>
      <c r="H114" s="114">
        <f>H112/E115/12*1000</f>
        <v>24.057848654309701</v>
      </c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145"/>
    </row>
    <row r="115" spans="1:21" s="19" customFormat="1">
      <c r="A115" s="115"/>
      <c r="B115" s="116" t="s">
        <v>138</v>
      </c>
      <c r="C115" s="117"/>
      <c r="D115" s="116"/>
      <c r="E115" s="118">
        <v>4591.2</v>
      </c>
      <c r="F115" s="119">
        <f>SUM(E115*12)</f>
        <v>55094.399999999994</v>
      </c>
      <c r="G115" s="120">
        <f>H84+H114</f>
        <v>239.87792109406047</v>
      </c>
      <c r="H115" s="121">
        <f>SUM(F115*G115/1000)</f>
        <v>13215.930135924604</v>
      </c>
      <c r="I115" s="105">
        <f t="shared" ref="I115:R115" si="16">SUM(I11:I114)</f>
        <v>96308.276818249986</v>
      </c>
      <c r="J115" s="105">
        <f t="shared" si="16"/>
        <v>113502.18854624999</v>
      </c>
      <c r="K115" s="105">
        <f t="shared" si="16"/>
        <v>87285.029874250016</v>
      </c>
      <c r="L115" s="105">
        <f t="shared" si="16"/>
        <v>107674.38587545001</v>
      </c>
      <c r="M115" s="105">
        <f t="shared" si="16"/>
        <v>221924.97806836665</v>
      </c>
      <c r="N115" s="105">
        <f t="shared" si="16"/>
        <v>1218827.3734102</v>
      </c>
      <c r="O115" s="105">
        <f t="shared" si="16"/>
        <v>108675.10139819999</v>
      </c>
      <c r="P115" s="105">
        <f t="shared" si="16"/>
        <v>123114.6448982</v>
      </c>
      <c r="Q115" s="105">
        <f>SUM(Q11:Q114)</f>
        <v>143587.74217019998</v>
      </c>
      <c r="R115" s="105">
        <f t="shared" si="16"/>
        <v>78070.257299399978</v>
      </c>
      <c r="S115" s="105">
        <f>SUM(S11:S114)</f>
        <v>119567.13547425</v>
      </c>
      <c r="T115" s="105">
        <f>SUM(T11:T114)</f>
        <v>112888.61254624999</v>
      </c>
      <c r="U115" s="53">
        <f>U82+U112</f>
        <v>2531425.7263792669</v>
      </c>
    </row>
    <row r="116" spans="1:21">
      <c r="A116" s="39"/>
      <c r="B116" s="39"/>
      <c r="C116" s="39"/>
      <c r="D116" s="39"/>
      <c r="E116" s="122"/>
      <c r="F116" s="122"/>
      <c r="G116" s="122"/>
      <c r="H116" s="122"/>
      <c r="I116" s="122"/>
      <c r="J116" s="122"/>
      <c r="K116" s="122"/>
      <c r="L116" s="122"/>
      <c r="M116" s="39"/>
      <c r="N116" s="122"/>
      <c r="O116" s="39"/>
      <c r="P116" s="39"/>
      <c r="Q116" s="39"/>
      <c r="R116" s="39"/>
      <c r="S116" s="39"/>
      <c r="T116" s="39"/>
      <c r="U116" s="39"/>
    </row>
    <row r="117" spans="1:21">
      <c r="A117" s="39"/>
      <c r="B117" s="39"/>
      <c r="C117" s="39"/>
      <c r="D117" s="39"/>
      <c r="E117" s="122"/>
      <c r="F117" s="122"/>
      <c r="G117" s="122"/>
      <c r="H117" s="122"/>
      <c r="I117" s="122"/>
      <c r="J117" s="123"/>
      <c r="K117" s="124"/>
      <c r="L117" s="123"/>
      <c r="M117" s="122"/>
      <c r="N117" s="39"/>
      <c r="O117" s="39"/>
      <c r="P117" s="39"/>
      <c r="Q117" s="39"/>
      <c r="R117" s="39"/>
      <c r="S117" s="39"/>
      <c r="T117" s="39"/>
      <c r="U117" s="39"/>
    </row>
    <row r="118" spans="1:21" ht="45">
      <c r="A118" s="39"/>
      <c r="B118" s="125" t="s">
        <v>185</v>
      </c>
      <c r="C118" s="165">
        <v>-614561.12</v>
      </c>
      <c r="D118" s="160"/>
      <c r="E118" s="160"/>
      <c r="F118" s="161"/>
      <c r="G118" s="122"/>
      <c r="H118" s="122"/>
      <c r="I118" s="122"/>
      <c r="J118" s="123"/>
      <c r="K118" s="124"/>
      <c r="L118" s="123"/>
      <c r="M118" s="122"/>
      <c r="N118" s="39"/>
      <c r="O118" s="39"/>
      <c r="P118" s="39"/>
      <c r="Q118" s="39"/>
      <c r="R118" s="39"/>
      <c r="S118" s="39"/>
      <c r="T118" s="39"/>
      <c r="U118" s="39"/>
    </row>
    <row r="119" spans="1:21" ht="30">
      <c r="A119" s="39"/>
      <c r="B119" s="23" t="s">
        <v>220</v>
      </c>
      <c r="C119" s="162">
        <v>1338852.24</v>
      </c>
      <c r="D119" s="163"/>
      <c r="E119" s="163"/>
      <c r="F119" s="164"/>
      <c r="G119" s="122"/>
      <c r="H119" s="122"/>
      <c r="I119" s="122"/>
      <c r="J119" s="123"/>
      <c r="K119" s="124"/>
      <c r="L119" s="123"/>
      <c r="M119" s="122"/>
      <c r="N119" s="39"/>
      <c r="O119" s="39"/>
      <c r="P119" s="39"/>
      <c r="Q119" s="39"/>
      <c r="R119" s="39"/>
      <c r="S119" s="39"/>
      <c r="T119" s="39"/>
      <c r="U119" s="39"/>
    </row>
    <row r="120" spans="1:21" ht="30">
      <c r="A120" s="39"/>
      <c r="B120" s="23" t="s">
        <v>221</v>
      </c>
      <c r="C120" s="162">
        <f>SUM(U115-U112)</f>
        <v>1200941.7494792666</v>
      </c>
      <c r="D120" s="163"/>
      <c r="E120" s="163"/>
      <c r="F120" s="164"/>
      <c r="G120" s="122"/>
      <c r="H120" s="122"/>
      <c r="I120" s="122"/>
      <c r="J120" s="123"/>
      <c r="K120" s="124"/>
      <c r="L120" s="123"/>
      <c r="M120" s="122"/>
      <c r="N120" s="39"/>
      <c r="O120" s="39"/>
      <c r="P120" s="39"/>
      <c r="Q120" s="39"/>
      <c r="R120" s="39"/>
      <c r="S120" s="39"/>
      <c r="T120" s="39"/>
      <c r="U120" s="39"/>
    </row>
    <row r="121" spans="1:21" ht="30">
      <c r="A121" s="39"/>
      <c r="B121" s="23" t="s">
        <v>222</v>
      </c>
      <c r="C121" s="162">
        <f>SUM(U112)</f>
        <v>1330483.9769000004</v>
      </c>
      <c r="D121" s="163"/>
      <c r="E121" s="163"/>
      <c r="F121" s="164"/>
      <c r="G121" s="122"/>
      <c r="H121" s="122"/>
      <c r="I121" s="122"/>
      <c r="J121" s="123"/>
      <c r="K121" s="124"/>
      <c r="L121" s="123"/>
      <c r="M121" s="122"/>
      <c r="N121" s="39"/>
      <c r="O121" s="39"/>
      <c r="P121" s="39"/>
      <c r="Q121" s="39"/>
      <c r="R121" s="39"/>
      <c r="S121" s="39"/>
      <c r="T121" s="39"/>
      <c r="U121" s="39"/>
    </row>
    <row r="122" spans="1:21" ht="18">
      <c r="A122" s="39"/>
      <c r="B122" s="139" t="s">
        <v>223</v>
      </c>
      <c r="C122" s="165">
        <v>1317693.8600000001</v>
      </c>
      <c r="D122" s="160"/>
      <c r="E122" s="160"/>
      <c r="F122" s="161"/>
      <c r="G122" s="39"/>
      <c r="H122" s="126" t="s">
        <v>146</v>
      </c>
      <c r="I122" s="127"/>
      <c r="J122" s="127"/>
      <c r="K122" s="128"/>
      <c r="L122" s="129"/>
      <c r="M122" s="126"/>
      <c r="N122" s="126"/>
      <c r="O122" s="39"/>
      <c r="P122" s="39"/>
      <c r="Q122" s="39"/>
      <c r="R122" s="39"/>
      <c r="S122" s="39"/>
      <c r="T122" s="39"/>
      <c r="U122" s="39"/>
    </row>
    <row r="123" spans="1:21" ht="78.75">
      <c r="A123" s="39"/>
      <c r="B123" s="24" t="s">
        <v>224</v>
      </c>
      <c r="C123" s="166">
        <v>188520.71</v>
      </c>
      <c r="D123" s="167"/>
      <c r="E123" s="167"/>
      <c r="F123" s="168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</row>
    <row r="124" spans="1:21" ht="45">
      <c r="A124" s="39"/>
      <c r="B124" s="130" t="s">
        <v>225</v>
      </c>
      <c r="C124" s="159">
        <f>SUM(U115-C119)+C118</f>
        <v>578012.36637926695</v>
      </c>
      <c r="D124" s="160"/>
      <c r="E124" s="160"/>
      <c r="F124" s="161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</row>
    <row r="126" spans="1:21">
      <c r="J126" s="4"/>
      <c r="K126" s="5"/>
      <c r="L126" s="5"/>
      <c r="M126" s="3"/>
    </row>
    <row r="127" spans="1:21">
      <c r="G127" s="6"/>
      <c r="H127" s="6"/>
    </row>
    <row r="128" spans="1:21">
      <c r="G128" s="7"/>
    </row>
  </sheetData>
  <mergeCells count="11">
    <mergeCell ref="B3:L3"/>
    <mergeCell ref="B4:L4"/>
    <mergeCell ref="B5:L5"/>
    <mergeCell ref="B6:L6"/>
    <mergeCell ref="C118:F118"/>
    <mergeCell ref="C124:F124"/>
    <mergeCell ref="C119:F119"/>
    <mergeCell ref="C120:F120"/>
    <mergeCell ref="C121:F121"/>
    <mergeCell ref="C122:F122"/>
    <mergeCell ref="C123:F123"/>
  </mergeCells>
  <pageMargins left="0.31496062992125984" right="0.31496062992125984" top="0.15748031496062992" bottom="0.19685039370078741" header="0.15748031496062992" footer="0.15748031496062992"/>
  <pageSetup paperSize="9" scale="36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Нефт.13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dcterms:created xsi:type="dcterms:W3CDTF">2014-02-05T12:20:20Z</dcterms:created>
  <dcterms:modified xsi:type="dcterms:W3CDTF">2016-08-17T08:52:53Z</dcterms:modified>
</cp:coreProperties>
</file>