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480" windowHeight="7905"/>
  </bookViews>
  <sheets>
    <sheet name="Стр.,9" sheetId="1" r:id="rId1"/>
    <sheet name="Лист1" sheetId="2" r:id="rId2"/>
  </sheets>
  <definedNames>
    <definedName name="_xlnm.Print_Area" localSheetId="0">'Стр.,9'!$A$1:$U$136</definedName>
  </definedNames>
  <calcPr calcId="124519"/>
</workbook>
</file>

<file path=xl/calcChain.xml><?xml version="1.0" encoding="utf-8"?>
<calcChain xmlns="http://schemas.openxmlformats.org/spreadsheetml/2006/main">
  <c r="S122" i="1"/>
  <c r="T115"/>
  <c r="O115"/>
  <c r="T106"/>
  <c r="T108"/>
  <c r="T101"/>
  <c r="S120"/>
  <c r="U120" s="1"/>
  <c r="H120"/>
  <c r="Q62" l="1"/>
  <c r="U122"/>
  <c r="H122"/>
  <c r="S87"/>
  <c r="P119"/>
  <c r="U119" s="1"/>
  <c r="H119"/>
  <c r="O62"/>
  <c r="C134"/>
  <c r="T92"/>
  <c r="F92"/>
  <c r="C131"/>
  <c r="T123"/>
  <c r="U123" s="1"/>
  <c r="H123"/>
  <c r="T91" l="1"/>
  <c r="U99"/>
  <c r="U75"/>
  <c r="U73"/>
  <c r="U63"/>
  <c r="U59"/>
  <c r="U55"/>
  <c r="U57"/>
  <c r="U35"/>
  <c r="U29"/>
  <c r="U30"/>
  <c r="S91"/>
  <c r="S62"/>
  <c r="S121"/>
  <c r="U121" s="1"/>
  <c r="H121"/>
  <c r="S89"/>
  <c r="P62"/>
  <c r="M109"/>
  <c r="U109" s="1"/>
  <c r="M110"/>
  <c r="U110" s="1"/>
  <c r="H110"/>
  <c r="P71"/>
  <c r="P92"/>
  <c r="P90"/>
  <c r="U115" l="1"/>
  <c r="O103"/>
  <c r="O108"/>
  <c r="O106"/>
  <c r="M108"/>
  <c r="U108" s="1"/>
  <c r="M107"/>
  <c r="U107" s="1"/>
  <c r="M106"/>
  <c r="M104"/>
  <c r="U104" s="1"/>
  <c r="M103"/>
  <c r="M105"/>
  <c r="U105" s="1"/>
  <c r="M101"/>
  <c r="U101" s="1"/>
  <c r="H108"/>
  <c r="H107"/>
  <c r="H106"/>
  <c r="H105"/>
  <c r="H104"/>
  <c r="H103"/>
  <c r="O102"/>
  <c r="O118"/>
  <c r="U118" s="1"/>
  <c r="H118"/>
  <c r="O71"/>
  <c r="O117"/>
  <c r="U117" s="1"/>
  <c r="H117"/>
  <c r="O116"/>
  <c r="U116" s="1"/>
  <c r="H116"/>
  <c r="M111"/>
  <c r="U111" s="1"/>
  <c r="H109"/>
  <c r="H111"/>
  <c r="M114"/>
  <c r="U114" s="1"/>
  <c r="H114"/>
  <c r="U103" l="1"/>
  <c r="U106"/>
  <c r="H115"/>
  <c r="M71"/>
  <c r="M93"/>
  <c r="M72"/>
  <c r="U72" s="1"/>
  <c r="M113"/>
  <c r="U113" s="1"/>
  <c r="H113"/>
  <c r="M112"/>
  <c r="U112" s="1"/>
  <c r="F112"/>
  <c r="H112" s="1"/>
  <c r="M91"/>
  <c r="M102"/>
  <c r="U102" s="1"/>
  <c r="H102" l="1"/>
  <c r="H101"/>
  <c r="M100" l="1"/>
  <c r="U100" s="1"/>
  <c r="H100"/>
  <c r="L92"/>
  <c r="I51"/>
  <c r="P51"/>
  <c r="L51"/>
  <c r="Q50"/>
  <c r="L47"/>
  <c r="M21"/>
  <c r="U21" s="1"/>
  <c r="L62"/>
  <c r="L90"/>
  <c r="U51" l="1"/>
  <c r="K62"/>
  <c r="H99"/>
  <c r="J98"/>
  <c r="U98" s="1"/>
  <c r="H98"/>
  <c r="J97"/>
  <c r="U97" s="1"/>
  <c r="H97"/>
  <c r="J71"/>
  <c r="U71" s="1"/>
  <c r="J96"/>
  <c r="U96" s="1"/>
  <c r="H96"/>
  <c r="J95"/>
  <c r="U95" s="1"/>
  <c r="H95"/>
  <c r="J93"/>
  <c r="J91"/>
  <c r="J90"/>
  <c r="J62"/>
  <c r="U62" s="1"/>
  <c r="J87"/>
  <c r="I94"/>
  <c r="U94" s="1"/>
  <c r="H94"/>
  <c r="I92"/>
  <c r="U92" s="1"/>
  <c r="H92"/>
  <c r="I93"/>
  <c r="U93" s="1"/>
  <c r="I91" l="1"/>
  <c r="U91" s="1"/>
  <c r="H91"/>
  <c r="I90"/>
  <c r="U90" s="1"/>
  <c r="H90"/>
  <c r="I87" l="1"/>
  <c r="U87" s="1"/>
  <c r="I89"/>
  <c r="U89" s="1"/>
  <c r="H89"/>
  <c r="I88"/>
  <c r="U88" s="1"/>
  <c r="H88"/>
  <c r="U124" l="1"/>
  <c r="H87"/>
  <c r="Q77" l="1"/>
  <c r="U77" s="1"/>
  <c r="T40" l="1"/>
  <c r="S40"/>
  <c r="T34"/>
  <c r="S34"/>
  <c r="Q69"/>
  <c r="U69" s="1"/>
  <c r="F27" l="1"/>
  <c r="L40"/>
  <c r="L34"/>
  <c r="K40"/>
  <c r="K34"/>
  <c r="H77"/>
  <c r="H93"/>
  <c r="H124" s="1"/>
  <c r="J50"/>
  <c r="U50" s="1"/>
  <c r="J40"/>
  <c r="J34"/>
  <c r="F51"/>
  <c r="I40"/>
  <c r="I34"/>
  <c r="M27" l="1"/>
  <c r="H27"/>
  <c r="U34"/>
  <c r="U40"/>
  <c r="Q27"/>
  <c r="O27"/>
  <c r="R27"/>
  <c r="P27"/>
  <c r="N27"/>
  <c r="F59"/>
  <c r="H59" s="1"/>
  <c r="H57"/>
  <c r="F56"/>
  <c r="H35"/>
  <c r="U27" l="1"/>
  <c r="T56"/>
  <c r="S56"/>
  <c r="L56"/>
  <c r="I56"/>
  <c r="K56"/>
  <c r="J56"/>
  <c r="H56"/>
  <c r="F38"/>
  <c r="F19"/>
  <c r="F16"/>
  <c r="U56" l="1"/>
  <c r="O16"/>
  <c r="S16"/>
  <c r="Q16"/>
  <c r="M19"/>
  <c r="U19" s="1"/>
  <c r="M16"/>
  <c r="I16"/>
  <c r="K16"/>
  <c r="T38"/>
  <c r="S38"/>
  <c r="I38"/>
  <c r="L38"/>
  <c r="K38"/>
  <c r="J38"/>
  <c r="F36"/>
  <c r="F55"/>
  <c r="H55" s="1"/>
  <c r="H21"/>
  <c r="F20"/>
  <c r="F60"/>
  <c r="F54"/>
  <c r="F49"/>
  <c r="U38" l="1"/>
  <c r="U16"/>
  <c r="Q49"/>
  <c r="L49"/>
  <c r="M20"/>
  <c r="U20" s="1"/>
  <c r="H49"/>
  <c r="H60"/>
  <c r="T60"/>
  <c r="R60"/>
  <c r="P60"/>
  <c r="N60"/>
  <c r="S60"/>
  <c r="Q60"/>
  <c r="O60"/>
  <c r="M60"/>
  <c r="K60"/>
  <c r="J60"/>
  <c r="L60"/>
  <c r="I60"/>
  <c r="T36"/>
  <c r="S36"/>
  <c r="L36"/>
  <c r="K36"/>
  <c r="J36"/>
  <c r="I36"/>
  <c r="T54"/>
  <c r="S54"/>
  <c r="L54"/>
  <c r="J54"/>
  <c r="I54"/>
  <c r="K54"/>
  <c r="F44"/>
  <c r="U54" l="1"/>
  <c r="U49"/>
  <c r="U36"/>
  <c r="U60"/>
  <c r="Q44"/>
  <c r="M44"/>
  <c r="F15"/>
  <c r="H36"/>
  <c r="H73"/>
  <c r="U44" l="1"/>
  <c r="S15"/>
  <c r="Q15"/>
  <c r="O15"/>
  <c r="M15"/>
  <c r="T15"/>
  <c r="R15"/>
  <c r="P15"/>
  <c r="N15"/>
  <c r="L15"/>
  <c r="K15"/>
  <c r="J15"/>
  <c r="I15"/>
  <c r="H72"/>
  <c r="U15" l="1"/>
  <c r="F14"/>
  <c r="M14" s="1"/>
  <c r="U14" s="1"/>
  <c r="F17"/>
  <c r="F18"/>
  <c r="M18" l="1"/>
  <c r="U18" s="1"/>
  <c r="M17"/>
  <c r="U17" s="1"/>
  <c r="F127"/>
  <c r="H126"/>
  <c r="E80"/>
  <c r="H83" s="1"/>
  <c r="F78"/>
  <c r="H75"/>
  <c r="H71"/>
  <c r="H69"/>
  <c r="F68"/>
  <c r="F67"/>
  <c r="F66"/>
  <c r="F65"/>
  <c r="F64"/>
  <c r="H63"/>
  <c r="H62"/>
  <c r="H54"/>
  <c r="H51"/>
  <c r="H50"/>
  <c r="F48"/>
  <c r="F47"/>
  <c r="F46"/>
  <c r="F45"/>
  <c r="H44"/>
  <c r="F43"/>
  <c r="H40"/>
  <c r="F39"/>
  <c r="H38"/>
  <c r="F37"/>
  <c r="H34"/>
  <c r="F31"/>
  <c r="H31" s="1"/>
  <c r="H30"/>
  <c r="H29"/>
  <c r="F28"/>
  <c r="F26"/>
  <c r="F25"/>
  <c r="F24"/>
  <c r="H20"/>
  <c r="H18"/>
  <c r="H17"/>
  <c r="H14"/>
  <c r="F13"/>
  <c r="F12"/>
  <c r="F11"/>
  <c r="T11" l="1"/>
  <c r="R11"/>
  <c r="P11"/>
  <c r="N11"/>
  <c r="S11"/>
  <c r="Q11"/>
  <c r="O11"/>
  <c r="M11"/>
  <c r="T13"/>
  <c r="R13"/>
  <c r="P13"/>
  <c r="N13"/>
  <c r="S13"/>
  <c r="Q13"/>
  <c r="O13"/>
  <c r="M13"/>
  <c r="Q43"/>
  <c r="M43"/>
  <c r="U43" s="1"/>
  <c r="Q45"/>
  <c r="M45"/>
  <c r="U45" s="1"/>
  <c r="T47"/>
  <c r="M47"/>
  <c r="Q47"/>
  <c r="T12"/>
  <c r="R12"/>
  <c r="P12"/>
  <c r="N12"/>
  <c r="S12"/>
  <c r="Q12"/>
  <c r="O12"/>
  <c r="M12"/>
  <c r="Q46"/>
  <c r="M46"/>
  <c r="Q48"/>
  <c r="L48"/>
  <c r="L13"/>
  <c r="K13"/>
  <c r="J13"/>
  <c r="I13"/>
  <c r="L12"/>
  <c r="K12"/>
  <c r="J12"/>
  <c r="I12"/>
  <c r="H24"/>
  <c r="R24"/>
  <c r="P24"/>
  <c r="N24"/>
  <c r="Q24"/>
  <c r="O24"/>
  <c r="M24"/>
  <c r="U24" s="1"/>
  <c r="H26"/>
  <c r="M26"/>
  <c r="U26" s="1"/>
  <c r="S28"/>
  <c r="R28"/>
  <c r="P28"/>
  <c r="N28"/>
  <c r="T28"/>
  <c r="Q28"/>
  <c r="O28"/>
  <c r="M28"/>
  <c r="L28"/>
  <c r="K28"/>
  <c r="J28"/>
  <c r="I28"/>
  <c r="U28" s="1"/>
  <c r="H46"/>
  <c r="H48"/>
  <c r="H64"/>
  <c r="M64"/>
  <c r="U64" s="1"/>
  <c r="H66"/>
  <c r="M66"/>
  <c r="U66" s="1"/>
  <c r="H68"/>
  <c r="M68"/>
  <c r="U68" s="1"/>
  <c r="L11"/>
  <c r="K11"/>
  <c r="J11"/>
  <c r="I11"/>
  <c r="U11" s="1"/>
  <c r="H25"/>
  <c r="Q25"/>
  <c r="O25"/>
  <c r="R25"/>
  <c r="P25"/>
  <c r="N25"/>
  <c r="M25"/>
  <c r="S31"/>
  <c r="Q31"/>
  <c r="O31"/>
  <c r="T31"/>
  <c r="R31"/>
  <c r="P31"/>
  <c r="N31"/>
  <c r="M31"/>
  <c r="L31"/>
  <c r="K31"/>
  <c r="J31"/>
  <c r="I31"/>
  <c r="H37"/>
  <c r="T37"/>
  <c r="S37"/>
  <c r="L37"/>
  <c r="K37"/>
  <c r="J37"/>
  <c r="I37"/>
  <c r="H39"/>
  <c r="T39"/>
  <c r="S39"/>
  <c r="L39"/>
  <c r="K39"/>
  <c r="J39"/>
  <c r="I39"/>
  <c r="H43"/>
  <c r="H45"/>
  <c r="I47"/>
  <c r="J47"/>
  <c r="H65"/>
  <c r="M65"/>
  <c r="U65" s="1"/>
  <c r="H67"/>
  <c r="M67"/>
  <c r="U67" s="1"/>
  <c r="T78"/>
  <c r="R78"/>
  <c r="P78"/>
  <c r="N78"/>
  <c r="M78"/>
  <c r="S78"/>
  <c r="Q78"/>
  <c r="O78"/>
  <c r="L78"/>
  <c r="I78"/>
  <c r="K78"/>
  <c r="J78"/>
  <c r="H78"/>
  <c r="H79" s="1"/>
  <c r="H28"/>
  <c r="H47"/>
  <c r="H11"/>
  <c r="H12"/>
  <c r="H16"/>
  <c r="H13"/>
  <c r="H15"/>
  <c r="F80"/>
  <c r="H19"/>
  <c r="H76"/>
  <c r="U78" l="1"/>
  <c r="U39"/>
  <c r="H41"/>
  <c r="U31"/>
  <c r="H32"/>
  <c r="U47"/>
  <c r="U37"/>
  <c r="U25"/>
  <c r="U12"/>
  <c r="U13"/>
  <c r="U48"/>
  <c r="U46"/>
  <c r="H52"/>
  <c r="U79"/>
  <c r="U76"/>
  <c r="T80"/>
  <c r="Q80"/>
  <c r="Q127" s="1"/>
  <c r="O80"/>
  <c r="S80"/>
  <c r="R80"/>
  <c r="R127" s="1"/>
  <c r="P80"/>
  <c r="N80"/>
  <c r="N127" s="1"/>
  <c r="M80"/>
  <c r="M127" s="1"/>
  <c r="K80"/>
  <c r="J80"/>
  <c r="J127" s="1"/>
  <c r="L80"/>
  <c r="L127" s="1"/>
  <c r="I80"/>
  <c r="U80" s="1"/>
  <c r="K127"/>
  <c r="O127"/>
  <c r="S127"/>
  <c r="P127"/>
  <c r="T127"/>
  <c r="H22"/>
  <c r="U22"/>
  <c r="H80"/>
  <c r="H81" s="1"/>
  <c r="U81"/>
  <c r="C133"/>
  <c r="U32"/>
  <c r="U52" l="1"/>
  <c r="U41"/>
  <c r="I127"/>
  <c r="U82"/>
  <c r="U127" s="1"/>
  <c r="H82"/>
  <c r="H84" s="1"/>
  <c r="G127" s="1"/>
  <c r="H127" s="1"/>
  <c r="C132" l="1"/>
  <c r="C136"/>
</calcChain>
</file>

<file path=xl/sharedStrings.xml><?xml version="1.0" encoding="utf-8"?>
<sst xmlns="http://schemas.openxmlformats.org/spreadsheetml/2006/main" count="389" uniqueCount="276">
  <si>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</si>
  <si>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</si>
  <si>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</si>
  <si>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</si>
  <si>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</si>
  <si>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</si>
  <si>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</si>
  <si>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</si>
  <si>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</si>
  <si>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</si>
  <si>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</si>
  <si>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</si>
  <si>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</si>
  <si>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</si>
  <si>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</si>
  <si>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</si>
  <si>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</si>
  <si>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Мытье лестничных  площадок и маршей 1-5 этаж.</t>
  </si>
  <si>
    <t xml:space="preserve">2 раза в месяц   24 раза в год </t>
  </si>
  <si>
    <t>Мытье окон</t>
  </si>
  <si>
    <t>10м2</t>
  </si>
  <si>
    <t>Влажная протирка перил</t>
  </si>
  <si>
    <t>Влажная протирка почтовых ящиков</t>
  </si>
  <si>
    <t xml:space="preserve">Влажная уборка стен </t>
  </si>
  <si>
    <t>100 м2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</si>
  <si>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</si>
  <si>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</si>
  <si>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</si>
  <si>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итого:</t>
  </si>
  <si>
    <t>Летняя уборка</t>
  </si>
  <si>
    <t>2 раза в неделю 52 раза в сезон</t>
  </si>
  <si>
    <t>1000м2</t>
  </si>
  <si>
    <t>3 раза в неделю 78 раз за сезон</t>
  </si>
  <si>
    <t>Уборка газонов сильной загрязненности</t>
  </si>
  <si>
    <t>1 раз в год</t>
  </si>
  <si>
    <t xml:space="preserve"> - Уборка контейнерной площадки (16 кв.м.)</t>
  </si>
  <si>
    <t>шт.</t>
  </si>
  <si>
    <t>155 раз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</si>
  <si>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</si>
  <si>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</si>
  <si>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</si>
  <si>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</si>
  <si>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</si>
  <si>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</si>
  <si>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</si>
  <si>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</si>
  <si>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</si>
  <si>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</si>
  <si>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1000 м2</t>
  </si>
  <si>
    <t>155 раз за сезон</t>
  </si>
  <si>
    <t>45 раз за сезон</t>
  </si>
  <si>
    <t xml:space="preserve"> II. Плановые осмотры</t>
  </si>
  <si>
    <t>2 раза в год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</si>
  <si>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</si>
  <si>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</si>
  <si>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</si>
  <si>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</si>
  <si>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1 раз в месяц (5 раз за сезон)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</si>
  <si>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</si>
  <si>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</si>
  <si>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лест.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</si>
  <si>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</si>
  <si>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</si>
  <si>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</si>
  <si>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</si>
  <si>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</si>
  <si>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</si>
  <si>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</si>
  <si>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>Чердак, подвал, технический этаж</t>
  </si>
  <si>
    <t>м2</t>
  </si>
  <si>
    <t>1м3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</si>
  <si>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</si>
  <si>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</si>
  <si>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</si>
  <si>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</si>
  <si>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100м3</t>
  </si>
  <si>
    <t>Спуск воды и наполнение системы без осмотра</t>
  </si>
  <si>
    <t>1000м3</t>
  </si>
  <si>
    <t>Гидравлическое испытание СО</t>
  </si>
  <si>
    <t>100м</t>
  </si>
  <si>
    <t>Проверка на прогрев отопительных приборов</t>
  </si>
  <si>
    <t>прибор</t>
  </si>
  <si>
    <t>Электроснабжение</t>
  </si>
  <si>
    <t>Смена ламп накаливания</t>
  </si>
  <si>
    <t>10 шт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</si>
  <si>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</si>
  <si>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</si>
  <si>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</si>
  <si>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</si>
  <si>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</si>
  <si>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</si>
  <si>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</si>
  <si>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</si>
  <si>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</si>
  <si>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</si>
  <si>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</si>
  <si>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</si>
  <si>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</si>
  <si>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</si>
  <si>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</si>
  <si>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</si>
  <si>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>Вода для промывки СО</t>
  </si>
  <si>
    <t>Сброс воды после промывки СО в канализацию</t>
  </si>
  <si>
    <t>Смена плавкой вставки в электрощите</t>
  </si>
  <si>
    <t>Генеральный директор ООО "Жилсервис"_______Ю.Л.Куканов</t>
  </si>
  <si>
    <t>Замена ламп ДРЛ</t>
  </si>
  <si>
    <t xml:space="preserve">1 раз в месяц </t>
  </si>
  <si>
    <t>1 раз в месяц</t>
  </si>
  <si>
    <t>Дератизация</t>
  </si>
  <si>
    <t>Очистка  от мусора</t>
  </si>
  <si>
    <t>Влажная протирка шкафов для щитов и слаботочн.ус.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</si>
  <si>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</si>
  <si>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</si>
  <si>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</si>
  <si>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</si>
  <si>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</si>
  <si>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</si>
  <si>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</si>
  <si>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</si>
  <si>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</si>
  <si>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</si>
  <si>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</si>
  <si>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1 раз в 2  месяца</t>
  </si>
  <si>
    <t>30 раз за сезон</t>
  </si>
  <si>
    <t>35 раз за сезон</t>
  </si>
  <si>
    <t>Вывоз снега с придомовой территории</t>
  </si>
  <si>
    <t xml:space="preserve">Осмотр рулонной кровли </t>
  </si>
  <si>
    <t>Очистка водостоков от наледи</t>
  </si>
  <si>
    <t>Очистка внутреннего водостока</t>
  </si>
  <si>
    <t>водосток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</si>
  <si>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</si>
  <si>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</si>
  <si>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</si>
  <si>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</si>
  <si>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</si>
  <si>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</si>
  <si>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</si>
  <si>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</si>
  <si>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</si>
  <si>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</si>
  <si>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</si>
  <si>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</si>
  <si>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3 раза в год</t>
  </si>
  <si>
    <t>Ремонт групповых щитков на лестничной клетке без ремонта автоматов</t>
  </si>
  <si>
    <t>калькуляция</t>
  </si>
  <si>
    <t>5 этажей, 2 подъезда</t>
  </si>
  <si>
    <t>Стоимость (руб.)</t>
  </si>
  <si>
    <t>договор</t>
  </si>
  <si>
    <t>ТО внутридомового газ.оборудования</t>
  </si>
  <si>
    <t>Баланс выполненных работ на 01.01.2016 г. ( -долг за предприятием, +долг за населением)</t>
  </si>
  <si>
    <t>Выполнено работ по текущему ремонту за 2016 г.</t>
  </si>
  <si>
    <t>Фактически оплачено за 2016 г.</t>
  </si>
  <si>
    <t>место</t>
  </si>
  <si>
    <t xml:space="preserve">Смена сгонов у трубопроводов диаметром до 20 мм </t>
  </si>
  <si>
    <t>1 сгон</t>
  </si>
  <si>
    <t>Смена арматуры - вентилей и клапанов обратных муфтовых диаметром до 20 мм</t>
  </si>
  <si>
    <t>1 шт</t>
  </si>
  <si>
    <t>смета</t>
  </si>
  <si>
    <t>м</t>
  </si>
  <si>
    <t>Подключение и отключение сварочного аппарата</t>
  </si>
  <si>
    <t>Внеплановый осмотр электросетей, армазуры и электрооборудования на лестничных клетках</t>
  </si>
  <si>
    <t>Мелкий ремонт электропроводки</t>
  </si>
  <si>
    <t>1 м</t>
  </si>
  <si>
    <t>Смена отдельных участков внутренней проводки</t>
  </si>
  <si>
    <t>Смена выключателей</t>
  </si>
  <si>
    <t>Смена частей водосточных труб - отливы</t>
  </si>
  <si>
    <t>тыс.руб.</t>
  </si>
  <si>
    <t>Ремонт квартиры после затопления ГВС (кв.36)</t>
  </si>
  <si>
    <r>
      <t xml:space="preserve">по адресу:  </t>
    </r>
    <r>
      <rPr>
        <b/>
        <sz val="14"/>
        <color indexed="10"/>
        <rFont val="Arial"/>
        <family val="2"/>
        <charset val="204"/>
      </rPr>
      <t>ул. Строительная, 9</t>
    </r>
    <r>
      <rPr>
        <b/>
        <sz val="14"/>
        <rFont val="Arial"/>
        <family val="2"/>
        <charset val="204"/>
      </rPr>
      <t xml:space="preserve">  (п. Ярега)  </t>
    </r>
    <r>
      <rPr>
        <b/>
        <sz val="14"/>
        <color indexed="10"/>
        <rFont val="Arial"/>
        <family val="2"/>
        <charset val="204"/>
      </rPr>
      <t>за 2016 год</t>
    </r>
  </si>
  <si>
    <t>Начислено за содержание и текущий ремонт за 2016 г.</t>
  </si>
  <si>
    <t>Выполнено работ по содержанию за 2016 г.</t>
  </si>
  <si>
    <t>Смена трубопроводов на металл-полимерные трубы диаметром до 20мм</t>
  </si>
  <si>
    <t xml:space="preserve"> - Уборка газонов</t>
  </si>
  <si>
    <t xml:space="preserve"> - Подметание территории с усовершенствованным покрытием асф.: крыльца, контейнерн пл., проезд, тротуар</t>
  </si>
  <si>
    <t xml:space="preserve">Погрузка травы, ветвей </t>
  </si>
  <si>
    <t>Вывоз смета, травы, ветвей и т.п.- м/ч</t>
  </si>
  <si>
    <t>Сдвигание снега в дни снегопада (крыльца, тротуары)</t>
  </si>
  <si>
    <t xml:space="preserve">Подметание снега с тротуара, крылец, конт. площадок 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</si>
  <si>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</si>
  <si>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Пескопосыпка территории: крыльца и тротуары </t>
  </si>
  <si>
    <t>Стоимость песка -100м2-0,002м3</t>
  </si>
  <si>
    <t>Очистка края кровли от слежавшегося снега со сбрасыванием сосулек (10% от S кровли и козырьки)</t>
  </si>
  <si>
    <t>Установка железной двери (вход на крышу 2п.)</t>
  </si>
  <si>
    <t>Смена вентилей диаметром до 32 мм (без материалов)</t>
  </si>
  <si>
    <t>Настройка таймера освещения ТО-2</t>
  </si>
  <si>
    <t>100шт</t>
  </si>
  <si>
    <t>Ремонт силового предохранительного шкафа (без стоимости материалов)</t>
  </si>
  <si>
    <t>Устройство хомута диаметром до 50 мм</t>
  </si>
  <si>
    <t>Ремонт ограждений контейнерной площадки</t>
  </si>
  <si>
    <t>Смена отдельных участков наружной проводки</t>
  </si>
  <si>
    <t>Смена патронов</t>
  </si>
  <si>
    <t>Смена дверных приборов (замки навесные)</t>
  </si>
  <si>
    <t xml:space="preserve">Смена полиэтиленовых канализационных труб 110×2000 мм </t>
  </si>
  <si>
    <t>счёт</t>
  </si>
  <si>
    <t>Манжета 100</t>
  </si>
  <si>
    <t>Муфта 100</t>
  </si>
  <si>
    <r>
      <t>Отвод 100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90°</t>
    </r>
  </si>
  <si>
    <r>
      <t>Отвод 100</t>
    </r>
    <r>
      <rPr>
        <sz val="10"/>
        <rFont val="Calibri"/>
        <family val="2"/>
        <charset val="204"/>
      </rPr>
      <t>×</t>
    </r>
    <r>
      <rPr>
        <sz val="10"/>
        <rFont val="Arial"/>
        <family val="2"/>
        <charset val="204"/>
      </rPr>
      <t>45°</t>
    </r>
  </si>
  <si>
    <t>Переход чугун-пластик 100</t>
  </si>
  <si>
    <t xml:space="preserve">Смена полиэтиленовых канализационных труб 110×1000 мм </t>
  </si>
  <si>
    <t>Патрубок компенсационный 100</t>
  </si>
  <si>
    <t xml:space="preserve">Герметизация стыков трубопроводов    </t>
  </si>
  <si>
    <t>1 место</t>
  </si>
  <si>
    <t>ТЕР 51-001</t>
  </si>
  <si>
    <t>ТЕР 51-009</t>
  </si>
  <si>
    <t>ТЕР 51-031</t>
  </si>
  <si>
    <t>ТЕР 51-025</t>
  </si>
  <si>
    <t>ТЕР 51-023</t>
  </si>
  <si>
    <t>ТЕР 51-018</t>
  </si>
  <si>
    <t>ТЕР 51-019</t>
  </si>
  <si>
    <t>ТЕР 51-020</t>
  </si>
  <si>
    <t>ТЕР 51-024</t>
  </si>
  <si>
    <t>ТЕР 51-022</t>
  </si>
  <si>
    <t>ТЕР 53-020</t>
  </si>
  <si>
    <t>ТЕР 53-001</t>
  </si>
  <si>
    <t>ТЕР 53-021</t>
  </si>
  <si>
    <t>ТЕР 52-033</t>
  </si>
  <si>
    <t>пр.ТЕР 52-003</t>
  </si>
  <si>
    <t>ТЕР 53-030</t>
  </si>
  <si>
    <t>ТЕР 54-013</t>
  </si>
  <si>
    <t>ТЕР 54-003</t>
  </si>
  <si>
    <t>ТЕР 54-022</t>
  </si>
  <si>
    <t>ТЕР 54-025</t>
  </si>
  <si>
    <t>ТЕР 42-007</t>
  </si>
  <si>
    <t>ТЕР 42-009</t>
  </si>
  <si>
    <t>ТЕР 42-010</t>
  </si>
  <si>
    <t>ТЕР 42-002</t>
  </si>
  <si>
    <t>ТЕР 42-011</t>
  </si>
  <si>
    <t>ТЕР 42-013</t>
  </si>
  <si>
    <t>ТЕР 42-012</t>
  </si>
  <si>
    <t>ТЕР 42-014</t>
  </si>
  <si>
    <t>пр.ТЕР 54-041</t>
  </si>
  <si>
    <t>ТЕР 17-071</t>
  </si>
  <si>
    <t>ТЕР 31-066</t>
  </si>
  <si>
    <t>ТЕР 51-034</t>
  </si>
  <si>
    <t>ТЕР 31-065</t>
  </si>
  <si>
    <t>ТЕР 31-064</t>
  </si>
  <si>
    <t>ТЕР 31-052</t>
  </si>
  <si>
    <t>ТЕР 31-043</t>
  </si>
  <si>
    <t>ТЕР 31-068</t>
  </si>
  <si>
    <t>ТЕР 31-045</t>
  </si>
  <si>
    <t>ТЕР 33-019</t>
  </si>
  <si>
    <t>ТЕР 33-043</t>
  </si>
  <si>
    <t>ТЕР 33-049</t>
  </si>
  <si>
    <t>пр.ТЕР 32-098</t>
  </si>
  <si>
    <t>ТЕР 31-009</t>
  </si>
  <si>
    <t>ТЕР 32-027</t>
  </si>
  <si>
    <t>ТЕР 33-060</t>
  </si>
  <si>
    <t>ТЕР 33-030</t>
  </si>
  <si>
    <t>ТЕР Q2-2-1-3-3</t>
  </si>
  <si>
    <t>ТЕР 33-033</t>
  </si>
  <si>
    <t>ТЕР 33-025</t>
  </si>
  <si>
    <t>ТЕР 17-029</t>
  </si>
  <si>
    <t>пр.ТЕР 32-028</t>
  </si>
  <si>
    <t>пр.ТЕР 32-083</t>
  </si>
  <si>
    <t>пр.ТЕР 42-014</t>
  </si>
  <si>
    <t>ТЕР 33-032</t>
  </si>
  <si>
    <t>пр.ТЕР 2-2-1-2-17</t>
  </si>
  <si>
    <t>ТЕР 33-034</t>
  </si>
  <si>
    <t>ТЕР 33-028</t>
  </si>
  <si>
    <t>ТЕР 15-051</t>
  </si>
  <si>
    <t>Смена трубопроводов на полиропиленовые трубы PN25 диаметром 25 мм</t>
  </si>
  <si>
    <t>Смена трубопроводов на полиропиленовые трубы PN20 диаметром 25 мм</t>
  </si>
  <si>
    <t>Смена трубопроводов на полиропиленовые трубы PN25 диаметром 20 мм</t>
  </si>
  <si>
    <t>Смена внутренних трубопроводов из стальных труб диаметром до 32 мм</t>
  </si>
  <si>
    <t>ТЕР 32-087</t>
  </si>
  <si>
    <t>ТЕР 2-1-1б</t>
  </si>
  <si>
    <t xml:space="preserve">Внеплановая проверка вентканалов </t>
  </si>
  <si>
    <t>Просроченная задолженность по Вашему дому по статье "Содержание и текущий ремонт МКД" на конец декабря 2016 г., составляет:</t>
  </si>
  <si>
    <t>Баланс выполненных работ на 01.01.2017 г. ( -долг за предприятием, +долг за населением)</t>
  </si>
  <si>
    <t>Ремонт лотка ливневки</t>
  </si>
  <si>
    <t>1 мЗ</t>
  </si>
  <si>
    <t>Утепление трубопроводов минеральной ватой</t>
  </si>
  <si>
    <t>пр.ТЕР 31-057</t>
  </si>
  <si>
    <t>Ремонт и регулировка доводчика (со стоимостью доводчика)</t>
  </si>
  <si>
    <t>1шт.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</si>
</sst>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name val="Arial"/>
      <family val="2"/>
      <charset val="204"/>
    </font>
    <font>
      <sz val="14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1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center" vertical="center"/>
    </xf>
    <xf numFmtId="4" fontId="1" fillId="4" borderId="13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3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3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" fillId="12" borderId="3" xfId="0" applyNumberFormat="1" applyFont="1" applyFill="1" applyBorder="1" applyAlignment="1" applyProtection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8" fillId="0" borderId="0" xfId="0" applyFont="1" applyAlignment="1"/>
    <xf numFmtId="4" fontId="3" fillId="10" borderId="3" xfId="0" applyNumberFormat="1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/>
    </xf>
    <xf numFmtId="4" fontId="13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 applyProtection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0" borderId="19" xfId="0" applyFont="1" applyBorder="1"/>
    <xf numFmtId="0" fontId="1" fillId="5" borderId="19" xfId="0" applyFont="1" applyFill="1" applyBorder="1"/>
    <xf numFmtId="0" fontId="1" fillId="4" borderId="20" xfId="0" applyFont="1" applyFill="1" applyBorder="1" applyAlignment="1">
      <alignment horizontal="center" vertical="center"/>
    </xf>
    <xf numFmtId="4" fontId="1" fillId="2" borderId="21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vertical="center"/>
    </xf>
    <xf numFmtId="0" fontId="0" fillId="0" borderId="0" xfId="0" applyFill="1"/>
    <xf numFmtId="0" fontId="1" fillId="4" borderId="18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K17" totalsRowShown="0">
  <autoFilter ref="A1:K17"/>
  <tableColumns count="11">
    <tableColumn id="1" name="Столбец1"/>
    <tableColumn id="2" name="Столбец2"/>
    <tableColumn id="3" name="Столбец3"/>
    <tableColumn id="4" name="Столбец4"/>
    <tableColumn id="5" name="Столбец5"/>
    <tableColumn id="6" name="Столбец6"/>
    <tableColumn id="7" name="Столбец7"/>
    <tableColumn id="8" name="Столбец8"/>
    <tableColumn id="9" name="Столбец9"/>
    <tableColumn id="10" name="Столбец10"/>
    <tableColumn id="11" name="Столбец1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W140"/>
  <sheetViews>
    <sheetView tabSelected="1" view="pageBreakPreview" topLeftCell="J1" zoomScaleNormal="75" zoomScaleSheetLayoutView="100" workbookViewId="0">
      <pane ySplit="7" topLeftCell="A115" activePane="bottomLeft" state="frozen"/>
      <selection activeCell="B1" sqref="B1"/>
      <selection pane="bottomLeft" activeCell="T123" sqref="T123"/>
    </sheetView>
  </sheetViews>
  <sheetFormatPr defaultRowHeight="12.75"/>
  <cols>
    <col min="1" max="1" width="13.7109375" customWidth="1"/>
    <col min="2" max="2" width="42.85546875" customWidth="1"/>
    <col min="3" max="3" width="9.140625" customWidth="1"/>
    <col min="4" max="4" width="22" customWidth="1"/>
    <col min="5" max="7" width="10.140625" customWidth="1"/>
    <col min="8" max="8" width="10.7109375" customWidth="1"/>
    <col min="9" max="12" width="9.85546875" customWidth="1"/>
    <col min="13" max="13" width="10.42578125" customWidth="1"/>
    <col min="14" max="15" width="9.85546875" customWidth="1"/>
    <col min="16" max="16" width="10.5703125" customWidth="1"/>
    <col min="17" max="20" width="9.85546875" customWidth="1"/>
    <col min="21" max="21" width="12.28515625" customWidth="1"/>
  </cols>
  <sheetData>
    <row r="1" spans="1:21" ht="14.25" customHeight="1">
      <c r="A1" s="134"/>
    </row>
    <row r="3" spans="1:21" ht="18">
      <c r="A3" s="117"/>
      <c r="B3" s="153" t="s">
        <v>0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24"/>
      <c r="N3" s="24"/>
      <c r="O3" s="24"/>
      <c r="P3" s="24"/>
      <c r="Q3" s="24"/>
      <c r="R3" s="24"/>
      <c r="S3" s="24"/>
      <c r="T3" s="24"/>
      <c r="U3" s="24"/>
    </row>
    <row r="4" spans="1:21" ht="33" customHeight="1">
      <c r="A4" s="24"/>
      <c r="B4" s="154" t="s">
        <v>1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24"/>
      <c r="N4" s="24"/>
      <c r="O4" s="24"/>
      <c r="P4" s="24"/>
      <c r="Q4" s="24"/>
      <c r="R4" s="24"/>
      <c r="S4" s="24"/>
      <c r="T4" s="24"/>
      <c r="U4" s="24"/>
    </row>
    <row r="5" spans="1:21" ht="18">
      <c r="A5" s="24"/>
      <c r="B5" s="154" t="s">
        <v>168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24"/>
      <c r="N5" s="24"/>
      <c r="O5" s="24"/>
      <c r="P5" s="24"/>
      <c r="Q5" s="24"/>
      <c r="R5" s="24"/>
      <c r="S5" s="24"/>
      <c r="T5" s="24"/>
      <c r="U5" s="24"/>
    </row>
    <row r="6" spans="1:21" ht="14.25">
      <c r="A6" s="24"/>
      <c r="B6" s="155" t="s">
        <v>145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24"/>
      <c r="N6" s="24"/>
      <c r="O6" s="24"/>
      <c r="P6" s="24"/>
      <c r="Q6" s="24"/>
      <c r="R6" s="24"/>
      <c r="S6" s="24"/>
      <c r="T6" s="24"/>
      <c r="U6" s="24"/>
    </row>
    <row r="7" spans="1:21" ht="54.75" customHeight="1">
      <c r="A7" s="135" t="s">
        <v>2</v>
      </c>
      <c r="B7" s="136" t="s">
        <v>3</v>
      </c>
      <c r="C7" s="136" t="s">
        <v>4</v>
      </c>
      <c r="D7" s="136" t="s">
        <v>5</v>
      </c>
      <c r="E7" s="136" t="s">
        <v>6</v>
      </c>
      <c r="F7" s="136" t="s">
        <v>7</v>
      </c>
      <c r="G7" s="136" t="s">
        <v>8</v>
      </c>
      <c r="H7" s="137" t="s">
        <v>9</v>
      </c>
      <c r="I7" s="23" t="s">
        <v>130</v>
      </c>
      <c r="J7" s="23" t="s">
        <v>131</v>
      </c>
      <c r="K7" s="23" t="s">
        <v>132</v>
      </c>
      <c r="L7" s="23" t="s">
        <v>133</v>
      </c>
      <c r="M7" s="23" t="s">
        <v>134</v>
      </c>
      <c r="N7" s="23" t="s">
        <v>135</v>
      </c>
      <c r="O7" s="23" t="s">
        <v>136</v>
      </c>
      <c r="P7" s="23" t="s">
        <v>137</v>
      </c>
      <c r="Q7" s="23" t="s">
        <v>138</v>
      </c>
      <c r="R7" s="23" t="s">
        <v>139</v>
      </c>
      <c r="S7" s="23" t="s">
        <v>140</v>
      </c>
      <c r="T7" s="23" t="s">
        <v>141</v>
      </c>
      <c r="U7" s="23" t="s">
        <v>146</v>
      </c>
    </row>
    <row r="8" spans="1:21">
      <c r="A8" s="138">
        <v>1</v>
      </c>
      <c r="B8" s="7">
        <v>2</v>
      </c>
      <c r="C8" s="25">
        <v>3</v>
      </c>
      <c r="D8" s="7">
        <v>4</v>
      </c>
      <c r="E8" s="7">
        <v>5</v>
      </c>
      <c r="F8" s="25">
        <v>6</v>
      </c>
      <c r="G8" s="25">
        <v>7</v>
      </c>
      <c r="H8" s="26">
        <v>8</v>
      </c>
      <c r="I8" s="27">
        <v>9</v>
      </c>
      <c r="J8" s="27">
        <v>10</v>
      </c>
      <c r="K8" s="27">
        <v>11</v>
      </c>
      <c r="L8" s="27">
        <v>12</v>
      </c>
      <c r="M8" s="27">
        <v>13</v>
      </c>
      <c r="N8" s="27">
        <v>14</v>
      </c>
      <c r="O8" s="27">
        <v>15</v>
      </c>
      <c r="P8" s="27">
        <v>16</v>
      </c>
      <c r="Q8" s="27">
        <v>17</v>
      </c>
      <c r="R8" s="27">
        <v>18</v>
      </c>
      <c r="S8" s="27">
        <v>19</v>
      </c>
      <c r="T8" s="27">
        <v>20</v>
      </c>
      <c r="U8" s="27">
        <v>21</v>
      </c>
    </row>
    <row r="9" spans="1:21" ht="38.25">
      <c r="A9" s="138"/>
      <c r="B9" s="9" t="s">
        <v>10</v>
      </c>
      <c r="C9" s="25"/>
      <c r="D9" s="10"/>
      <c r="E9" s="10"/>
      <c r="F9" s="25"/>
      <c r="G9" s="25"/>
      <c r="H9" s="28"/>
      <c r="I9" s="29"/>
      <c r="J9" s="29"/>
      <c r="K9" s="29"/>
      <c r="L9" s="29"/>
      <c r="M9" s="30"/>
      <c r="N9" s="31"/>
      <c r="O9" s="31"/>
      <c r="P9" s="31"/>
      <c r="Q9" s="31"/>
      <c r="R9" s="31"/>
      <c r="S9" s="31"/>
      <c r="T9" s="31"/>
      <c r="U9" s="31"/>
    </row>
    <row r="10" spans="1:21">
      <c r="A10" s="138"/>
      <c r="B10" s="9" t="s">
        <v>11</v>
      </c>
      <c r="C10" s="25"/>
      <c r="D10" s="10"/>
      <c r="E10" s="10"/>
      <c r="F10" s="25"/>
      <c r="G10" s="25"/>
      <c r="H10" s="28"/>
      <c r="I10" s="29"/>
      <c r="J10" s="29"/>
      <c r="K10" s="29"/>
      <c r="L10" s="29"/>
      <c r="M10" s="30"/>
      <c r="N10" s="31"/>
      <c r="O10" s="31"/>
      <c r="P10" s="31"/>
      <c r="Q10" s="31"/>
      <c r="R10" s="31"/>
      <c r="S10" s="31"/>
      <c r="T10" s="31"/>
      <c r="U10" s="31"/>
    </row>
    <row r="11" spans="1:21" ht="25.5">
      <c r="A11" s="138" t="s">
        <v>203</v>
      </c>
      <c r="B11" s="10" t="s">
        <v>12</v>
      </c>
      <c r="C11" s="25" t="s">
        <v>13</v>
      </c>
      <c r="D11" s="10" t="s">
        <v>14</v>
      </c>
      <c r="E11" s="32">
        <v>67.900000000000006</v>
      </c>
      <c r="F11" s="33">
        <f>SUM(E11*156/100)</f>
        <v>105.92400000000002</v>
      </c>
      <c r="G11" s="33">
        <v>187.48</v>
      </c>
      <c r="H11" s="34">
        <f t="shared" ref="H11:H20" si="0">SUM(F11*G11/1000)</f>
        <v>19.858631520000003</v>
      </c>
      <c r="I11" s="35">
        <f>F11/12*G11</f>
        <v>1654.8859600000003</v>
      </c>
      <c r="J11" s="35">
        <f>F11/12*G11</f>
        <v>1654.8859600000003</v>
      </c>
      <c r="K11" s="35">
        <f>F11/12*G11</f>
        <v>1654.8859600000003</v>
      </c>
      <c r="L11" s="35">
        <f>F11/12*G11</f>
        <v>1654.8859600000003</v>
      </c>
      <c r="M11" s="35">
        <f>F11/12*G11</f>
        <v>1654.8859600000003</v>
      </c>
      <c r="N11" s="35">
        <f>F11/12*G11</f>
        <v>1654.8859600000003</v>
      </c>
      <c r="O11" s="35">
        <f>F11/12*G11</f>
        <v>1654.8859600000003</v>
      </c>
      <c r="P11" s="35">
        <f>F11/12*G11</f>
        <v>1654.8859600000003</v>
      </c>
      <c r="Q11" s="35">
        <f>F11/12*G11</f>
        <v>1654.8859600000003</v>
      </c>
      <c r="R11" s="35">
        <f>F11/12*G11</f>
        <v>1654.8859600000003</v>
      </c>
      <c r="S11" s="35">
        <f>F11/12*G11</f>
        <v>1654.8859600000003</v>
      </c>
      <c r="T11" s="35">
        <f>F11/12*G11</f>
        <v>1654.8859600000003</v>
      </c>
      <c r="U11" s="35">
        <f>SUM(I11:T11)</f>
        <v>19858.631519999999</v>
      </c>
    </row>
    <row r="12" spans="1:21" ht="25.5">
      <c r="A12" s="138" t="s">
        <v>203</v>
      </c>
      <c r="B12" s="10" t="s">
        <v>15</v>
      </c>
      <c r="C12" s="25" t="s">
        <v>13</v>
      </c>
      <c r="D12" s="10" t="s">
        <v>16</v>
      </c>
      <c r="E12" s="32">
        <v>271.60000000000002</v>
      </c>
      <c r="F12" s="33">
        <f>SUM(E12*104/100)</f>
        <v>282.464</v>
      </c>
      <c r="G12" s="33">
        <v>187.48</v>
      </c>
      <c r="H12" s="34">
        <f t="shared" si="0"/>
        <v>52.956350719999996</v>
      </c>
      <c r="I12" s="35">
        <f>F12/12*G12</f>
        <v>4413.0292266666665</v>
      </c>
      <c r="J12" s="35">
        <f>F12/12*G12</f>
        <v>4413.0292266666665</v>
      </c>
      <c r="K12" s="35">
        <f>F12/12*G12</f>
        <v>4413.0292266666665</v>
      </c>
      <c r="L12" s="35">
        <f>F12/12*G12</f>
        <v>4413.0292266666665</v>
      </c>
      <c r="M12" s="35">
        <f>F12/12*G12</f>
        <v>4413.0292266666665</v>
      </c>
      <c r="N12" s="35">
        <f>F12/12*G12</f>
        <v>4413.0292266666665</v>
      </c>
      <c r="O12" s="35">
        <f>F12/12*G12</f>
        <v>4413.0292266666665</v>
      </c>
      <c r="P12" s="35">
        <f>F12/12*G12</f>
        <v>4413.0292266666665</v>
      </c>
      <c r="Q12" s="35">
        <f>F12/12*G12</f>
        <v>4413.0292266666665</v>
      </c>
      <c r="R12" s="35">
        <f>F12/12*G12</f>
        <v>4413.0292266666665</v>
      </c>
      <c r="S12" s="35">
        <f>F12/12*G12</f>
        <v>4413.0292266666665</v>
      </c>
      <c r="T12" s="35">
        <f>F12/12*G12</f>
        <v>4413.0292266666665</v>
      </c>
      <c r="U12" s="35">
        <f t="shared" ref="U12:U21" si="1">SUM(I12:T12)</f>
        <v>52956.350719999995</v>
      </c>
    </row>
    <row r="13" spans="1:21" ht="25.5">
      <c r="A13" s="138" t="s">
        <v>204</v>
      </c>
      <c r="B13" s="10" t="s">
        <v>17</v>
      </c>
      <c r="C13" s="25" t="s">
        <v>13</v>
      </c>
      <c r="D13" s="10" t="s">
        <v>18</v>
      </c>
      <c r="E13" s="32">
        <v>339.5</v>
      </c>
      <c r="F13" s="33">
        <f>SUM(E13*24/100)</f>
        <v>81.48</v>
      </c>
      <c r="G13" s="33">
        <v>539.30999999999995</v>
      </c>
      <c r="H13" s="34">
        <f t="shared" si="0"/>
        <v>43.942978799999999</v>
      </c>
      <c r="I13" s="35">
        <f>F13/12*G13</f>
        <v>3661.9148999999998</v>
      </c>
      <c r="J13" s="35">
        <f>F13/12*G13</f>
        <v>3661.9148999999998</v>
      </c>
      <c r="K13" s="35">
        <f>F13/12*G13</f>
        <v>3661.9148999999998</v>
      </c>
      <c r="L13" s="35">
        <f>F13/12*G13</f>
        <v>3661.9148999999998</v>
      </c>
      <c r="M13" s="35">
        <f>F13/12*G13</f>
        <v>3661.9148999999998</v>
      </c>
      <c r="N13" s="35">
        <f>F13/12*G13</f>
        <v>3661.9148999999998</v>
      </c>
      <c r="O13" s="35">
        <f>F13/12*G13</f>
        <v>3661.9148999999998</v>
      </c>
      <c r="P13" s="35">
        <f>F13/12*G13</f>
        <v>3661.9148999999998</v>
      </c>
      <c r="Q13" s="35">
        <f>F13/12*G13</f>
        <v>3661.9148999999998</v>
      </c>
      <c r="R13" s="35">
        <f>F13/12*G13</f>
        <v>3661.9148999999998</v>
      </c>
      <c r="S13" s="35">
        <f>F13/12*G13</f>
        <v>3661.9148999999998</v>
      </c>
      <c r="T13" s="35">
        <f>F13/12*G13</f>
        <v>3661.9148999999998</v>
      </c>
      <c r="U13" s="35">
        <f t="shared" si="1"/>
        <v>43942.978800000012</v>
      </c>
    </row>
    <row r="14" spans="1:21">
      <c r="A14" s="138" t="s">
        <v>205</v>
      </c>
      <c r="B14" s="10" t="s">
        <v>19</v>
      </c>
      <c r="C14" s="25" t="s">
        <v>20</v>
      </c>
      <c r="D14" s="10" t="s">
        <v>100</v>
      </c>
      <c r="E14" s="32">
        <v>21.1</v>
      </c>
      <c r="F14" s="33">
        <f>SUM(E14/10)</f>
        <v>2.1100000000000003</v>
      </c>
      <c r="G14" s="33">
        <v>181.91</v>
      </c>
      <c r="H14" s="34">
        <f t="shared" si="0"/>
        <v>0.38383010000000006</v>
      </c>
      <c r="I14" s="35">
        <v>0</v>
      </c>
      <c r="J14" s="35">
        <v>0</v>
      </c>
      <c r="K14" s="35">
        <v>0</v>
      </c>
      <c r="L14" s="35">
        <v>0</v>
      </c>
      <c r="M14" s="35">
        <f>F14/2*G14</f>
        <v>191.91505000000004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f t="shared" si="1"/>
        <v>191.91505000000004</v>
      </c>
    </row>
    <row r="15" spans="1:21">
      <c r="A15" s="138" t="s">
        <v>206</v>
      </c>
      <c r="B15" s="10" t="s">
        <v>21</v>
      </c>
      <c r="C15" s="25" t="s">
        <v>13</v>
      </c>
      <c r="D15" s="10" t="s">
        <v>106</v>
      </c>
      <c r="E15" s="32">
        <v>7</v>
      </c>
      <c r="F15" s="33">
        <f>SUM(E15*12/100)</f>
        <v>0.84</v>
      </c>
      <c r="G15" s="33">
        <v>232.92</v>
      </c>
      <c r="H15" s="34">
        <f t="shared" si="0"/>
        <v>0.19565279999999999</v>
      </c>
      <c r="I15" s="35">
        <f>F15/12*G15</f>
        <v>16.304399999999998</v>
      </c>
      <c r="J15" s="35">
        <f>F15/12*G15</f>
        <v>16.304399999999998</v>
      </c>
      <c r="K15" s="35">
        <f>F15/12*G15</f>
        <v>16.304399999999998</v>
      </c>
      <c r="L15" s="35">
        <f>F15/12*G15</f>
        <v>16.304399999999998</v>
      </c>
      <c r="M15" s="35">
        <f>F15/12*G15</f>
        <v>16.304399999999998</v>
      </c>
      <c r="N15" s="35">
        <f>F15/12*G15</f>
        <v>16.304399999999998</v>
      </c>
      <c r="O15" s="35">
        <f>F15/12*G15</f>
        <v>16.304399999999998</v>
      </c>
      <c r="P15" s="35">
        <f>F15/12*G15</f>
        <v>16.304399999999998</v>
      </c>
      <c r="Q15" s="35">
        <f>F15/12*G15</f>
        <v>16.304399999999998</v>
      </c>
      <c r="R15" s="35">
        <f>F15/12*G15</f>
        <v>16.304399999999998</v>
      </c>
      <c r="S15" s="35">
        <f>F15/12*G15</f>
        <v>16.304399999999998</v>
      </c>
      <c r="T15" s="35">
        <f>F15/12*G15</f>
        <v>16.304399999999998</v>
      </c>
      <c r="U15" s="35">
        <f t="shared" si="1"/>
        <v>195.65279999999993</v>
      </c>
    </row>
    <row r="16" spans="1:21">
      <c r="A16" s="138" t="s">
        <v>207</v>
      </c>
      <c r="B16" s="10" t="s">
        <v>22</v>
      </c>
      <c r="C16" s="25" t="s">
        <v>13</v>
      </c>
      <c r="D16" s="10" t="s">
        <v>122</v>
      </c>
      <c r="E16" s="32">
        <v>2.4</v>
      </c>
      <c r="F16" s="33">
        <f>SUM(E16*6/100)</f>
        <v>0.14399999999999999</v>
      </c>
      <c r="G16" s="33">
        <v>231.03</v>
      </c>
      <c r="H16" s="34">
        <f t="shared" si="0"/>
        <v>3.3268319999999997E-2</v>
      </c>
      <c r="I16" s="35">
        <f>F16/6*G16</f>
        <v>5.544719999999999</v>
      </c>
      <c r="J16" s="35">
        <v>0</v>
      </c>
      <c r="K16" s="35">
        <f>F16/6*G16</f>
        <v>5.544719999999999</v>
      </c>
      <c r="L16" s="35">
        <v>0</v>
      </c>
      <c r="M16" s="35">
        <f>F16/6*G16</f>
        <v>5.544719999999999</v>
      </c>
      <c r="N16" s="35">
        <v>0</v>
      </c>
      <c r="O16" s="35">
        <f>F16/6*G16</f>
        <v>5.544719999999999</v>
      </c>
      <c r="P16" s="35">
        <v>0</v>
      </c>
      <c r="Q16" s="35">
        <f>F16/6*G16</f>
        <v>5.544719999999999</v>
      </c>
      <c r="R16" s="35">
        <v>0</v>
      </c>
      <c r="S16" s="35">
        <f>F16/6*G16</f>
        <v>5.544719999999999</v>
      </c>
      <c r="T16" s="35">
        <v>0</v>
      </c>
      <c r="U16" s="35">
        <f t="shared" si="1"/>
        <v>33.268319999999996</v>
      </c>
    </row>
    <row r="17" spans="1:21">
      <c r="A17" s="138" t="s">
        <v>208</v>
      </c>
      <c r="B17" s="10" t="s">
        <v>23</v>
      </c>
      <c r="C17" s="25" t="s">
        <v>24</v>
      </c>
      <c r="D17" s="10" t="s">
        <v>100</v>
      </c>
      <c r="E17" s="32">
        <v>317</v>
      </c>
      <c r="F17" s="33">
        <f>SUM(E17/100)</f>
        <v>3.17</v>
      </c>
      <c r="G17" s="33">
        <v>287.83999999999997</v>
      </c>
      <c r="H17" s="34">
        <f t="shared" si="0"/>
        <v>0.91245279999999995</v>
      </c>
      <c r="I17" s="35">
        <v>0</v>
      </c>
      <c r="J17" s="35">
        <v>0</v>
      </c>
      <c r="K17" s="35">
        <v>0</v>
      </c>
      <c r="L17" s="35">
        <v>0</v>
      </c>
      <c r="M17" s="35">
        <f>F17*G17</f>
        <v>912.45279999999991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f t="shared" si="1"/>
        <v>912.45279999999991</v>
      </c>
    </row>
    <row r="18" spans="1:21">
      <c r="A18" s="138" t="s">
        <v>209</v>
      </c>
      <c r="B18" s="10" t="s">
        <v>25</v>
      </c>
      <c r="C18" s="25" t="s">
        <v>24</v>
      </c>
      <c r="D18" s="10" t="s">
        <v>100</v>
      </c>
      <c r="E18" s="37">
        <v>24.15</v>
      </c>
      <c r="F18" s="33">
        <f>SUM(E18/100)</f>
        <v>0.24149999999999999</v>
      </c>
      <c r="G18" s="33">
        <v>47.34</v>
      </c>
      <c r="H18" s="34">
        <f t="shared" si="0"/>
        <v>1.1432610000000001E-2</v>
      </c>
      <c r="I18" s="35">
        <v>0</v>
      </c>
      <c r="J18" s="35">
        <v>0</v>
      </c>
      <c r="K18" s="35">
        <v>0</v>
      </c>
      <c r="L18" s="35">
        <v>0</v>
      </c>
      <c r="M18" s="35">
        <f>F18*G18</f>
        <v>11.43261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f t="shared" si="1"/>
        <v>11.43261</v>
      </c>
    </row>
    <row r="19" spans="1:21">
      <c r="A19" s="138" t="s">
        <v>210</v>
      </c>
      <c r="B19" s="10" t="s">
        <v>26</v>
      </c>
      <c r="C19" s="25" t="s">
        <v>24</v>
      </c>
      <c r="D19" s="10" t="s">
        <v>34</v>
      </c>
      <c r="E19" s="32">
        <v>10</v>
      </c>
      <c r="F19" s="33">
        <f>E19/100</f>
        <v>0.1</v>
      </c>
      <c r="G19" s="33">
        <v>416.62</v>
      </c>
      <c r="H19" s="34">
        <f t="shared" si="0"/>
        <v>4.1662000000000005E-2</v>
      </c>
      <c r="I19" s="35">
        <v>0</v>
      </c>
      <c r="J19" s="35">
        <v>0</v>
      </c>
      <c r="K19" s="35">
        <v>0</v>
      </c>
      <c r="L19" s="35">
        <v>0</v>
      </c>
      <c r="M19" s="35">
        <f t="shared" ref="M19:M21" si="2">F19*G19</f>
        <v>41.662000000000006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f t="shared" si="1"/>
        <v>41.662000000000006</v>
      </c>
    </row>
    <row r="20" spans="1:21">
      <c r="A20" s="138" t="s">
        <v>211</v>
      </c>
      <c r="B20" s="10" t="s">
        <v>27</v>
      </c>
      <c r="C20" s="25" t="s">
        <v>24</v>
      </c>
      <c r="D20" s="10" t="s">
        <v>34</v>
      </c>
      <c r="E20" s="32">
        <v>4.25</v>
      </c>
      <c r="F20" s="33">
        <f>SUM(E20/100)</f>
        <v>4.2500000000000003E-2</v>
      </c>
      <c r="G20" s="33">
        <v>556.74</v>
      </c>
      <c r="H20" s="34">
        <f t="shared" si="0"/>
        <v>2.3661450000000001E-2</v>
      </c>
      <c r="I20" s="35">
        <v>0</v>
      </c>
      <c r="J20" s="35">
        <v>0</v>
      </c>
      <c r="K20" s="35">
        <v>0</v>
      </c>
      <c r="L20" s="35">
        <v>0</v>
      </c>
      <c r="M20" s="35">
        <f t="shared" si="2"/>
        <v>23.661450000000002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f t="shared" si="1"/>
        <v>23.661450000000002</v>
      </c>
    </row>
    <row r="21" spans="1:21" ht="25.5">
      <c r="A21" s="138" t="s">
        <v>212</v>
      </c>
      <c r="B21" s="10" t="s">
        <v>110</v>
      </c>
      <c r="C21" s="25" t="s">
        <v>24</v>
      </c>
      <c r="D21" s="10" t="s">
        <v>34</v>
      </c>
      <c r="E21" s="32">
        <v>9.5</v>
      </c>
      <c r="F21" s="33">
        <v>9.5000000000000001E-2</v>
      </c>
      <c r="G21" s="33">
        <v>231.03</v>
      </c>
      <c r="H21" s="34">
        <f>G21*F21/1000</f>
        <v>2.1947849999999998E-2</v>
      </c>
      <c r="I21" s="35">
        <v>0</v>
      </c>
      <c r="J21" s="35">
        <v>0</v>
      </c>
      <c r="K21" s="35">
        <v>0</v>
      </c>
      <c r="L21" s="35">
        <v>0</v>
      </c>
      <c r="M21" s="35">
        <f t="shared" si="2"/>
        <v>21.947849999999999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f t="shared" si="1"/>
        <v>21.947849999999999</v>
      </c>
    </row>
    <row r="22" spans="1:21" s="18" customFormat="1">
      <c r="A22" s="139"/>
      <c r="B22" s="19" t="s">
        <v>28</v>
      </c>
      <c r="C22" s="38"/>
      <c r="D22" s="19"/>
      <c r="E22" s="39"/>
      <c r="F22" s="40"/>
      <c r="G22" s="40"/>
      <c r="H22" s="41">
        <f>SUM(H11:H21)</f>
        <v>118.38186897000001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>
        <f>SUM(U11:U21)</f>
        <v>118189.95392</v>
      </c>
    </row>
    <row r="23" spans="1:21">
      <c r="A23" s="138"/>
      <c r="B23" s="11" t="s">
        <v>29</v>
      </c>
      <c r="C23" s="25"/>
      <c r="D23" s="10"/>
      <c r="E23" s="32"/>
      <c r="F23" s="33"/>
      <c r="G23" s="33"/>
      <c r="H23" s="34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</row>
    <row r="24" spans="1:21" ht="25.5" customHeight="1">
      <c r="A24" s="138" t="s">
        <v>213</v>
      </c>
      <c r="B24" s="10" t="s">
        <v>172</v>
      </c>
      <c r="C24" s="25" t="s">
        <v>31</v>
      </c>
      <c r="D24" s="10" t="s">
        <v>30</v>
      </c>
      <c r="E24" s="33">
        <v>372.4</v>
      </c>
      <c r="F24" s="33">
        <f>SUM(E24*52/1000)</f>
        <v>19.364799999999999</v>
      </c>
      <c r="G24" s="33">
        <v>166.65</v>
      </c>
      <c r="H24" s="34">
        <f t="shared" ref="H24:H30" si="3">SUM(F24*G24/1000)</f>
        <v>3.2271439200000001</v>
      </c>
      <c r="I24" s="35">
        <v>0</v>
      </c>
      <c r="J24" s="35">
        <v>0</v>
      </c>
      <c r="K24" s="35">
        <v>0</v>
      </c>
      <c r="L24" s="35">
        <v>0</v>
      </c>
      <c r="M24" s="35">
        <f>F24/6*G24</f>
        <v>537.85731999999996</v>
      </c>
      <c r="N24" s="35">
        <f>F24/6*G24</f>
        <v>537.85731999999996</v>
      </c>
      <c r="O24" s="35">
        <f>F24/6*G24</f>
        <v>537.85731999999996</v>
      </c>
      <c r="P24" s="35">
        <f>F24/6*G24</f>
        <v>537.85731999999996</v>
      </c>
      <c r="Q24" s="35">
        <f>F24/6*G24</f>
        <v>537.85731999999996</v>
      </c>
      <c r="R24" s="35">
        <f>F24/6*G24</f>
        <v>537.85731999999996</v>
      </c>
      <c r="S24" s="35">
        <v>0</v>
      </c>
      <c r="T24" s="35">
        <v>0</v>
      </c>
      <c r="U24" s="35">
        <f>SUM(I24:T24)</f>
        <v>3227.14392</v>
      </c>
    </row>
    <row r="25" spans="1:21" ht="38.25" customHeight="1">
      <c r="A25" s="138" t="s">
        <v>214</v>
      </c>
      <c r="B25" s="10" t="s">
        <v>173</v>
      </c>
      <c r="C25" s="25" t="s">
        <v>31</v>
      </c>
      <c r="D25" s="10" t="s">
        <v>32</v>
      </c>
      <c r="E25" s="33">
        <v>195.5</v>
      </c>
      <c r="F25" s="33">
        <f>SUM(E25*78/1000)</f>
        <v>15.249000000000001</v>
      </c>
      <c r="G25" s="33">
        <v>276.48</v>
      </c>
      <c r="H25" s="34">
        <f t="shared" si="3"/>
        <v>4.2160435200000004</v>
      </c>
      <c r="I25" s="35">
        <v>0</v>
      </c>
      <c r="J25" s="35">
        <v>0</v>
      </c>
      <c r="K25" s="35">
        <v>0</v>
      </c>
      <c r="L25" s="35">
        <v>0</v>
      </c>
      <c r="M25" s="35">
        <f>F25/6*G25</f>
        <v>702.67392000000007</v>
      </c>
      <c r="N25" s="35">
        <f>F25/6*G25</f>
        <v>702.67392000000007</v>
      </c>
      <c r="O25" s="35">
        <f>F25/6*G25</f>
        <v>702.67392000000007</v>
      </c>
      <c r="P25" s="35">
        <f>F25/6*G25</f>
        <v>702.67392000000007</v>
      </c>
      <c r="Q25" s="35">
        <f>F25/6*G25</f>
        <v>702.67392000000007</v>
      </c>
      <c r="R25" s="35">
        <f>F25/6*G25</f>
        <v>702.67392000000007</v>
      </c>
      <c r="S25" s="35">
        <v>0</v>
      </c>
      <c r="T25" s="35">
        <v>0</v>
      </c>
      <c r="U25" s="35">
        <f t="shared" ref="U25:U31" si="4">SUM(I25:T25)</f>
        <v>4216.0435200000002</v>
      </c>
    </row>
    <row r="26" spans="1:21">
      <c r="A26" s="138" t="s">
        <v>215</v>
      </c>
      <c r="B26" s="10" t="s">
        <v>33</v>
      </c>
      <c r="C26" s="25" t="s">
        <v>31</v>
      </c>
      <c r="D26" s="10" t="s">
        <v>34</v>
      </c>
      <c r="E26" s="33">
        <v>372.4</v>
      </c>
      <c r="F26" s="33">
        <f>SUM(E26/1000)</f>
        <v>0.37239999999999995</v>
      </c>
      <c r="G26" s="33">
        <v>3228.73</v>
      </c>
      <c r="H26" s="34">
        <f t="shared" si="3"/>
        <v>1.2023790519999997</v>
      </c>
      <c r="I26" s="35">
        <v>0</v>
      </c>
      <c r="J26" s="35">
        <v>0</v>
      </c>
      <c r="K26" s="35">
        <v>0</v>
      </c>
      <c r="L26" s="35">
        <v>0</v>
      </c>
      <c r="M26" s="35">
        <f>F26*G26</f>
        <v>1202.3790519999998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f t="shared" si="4"/>
        <v>1202.3790519999998</v>
      </c>
    </row>
    <row r="27" spans="1:21">
      <c r="A27" s="138" t="s">
        <v>216</v>
      </c>
      <c r="B27" s="10" t="s">
        <v>35</v>
      </c>
      <c r="C27" s="25" t="s">
        <v>36</v>
      </c>
      <c r="D27" s="10" t="s">
        <v>37</v>
      </c>
      <c r="E27" s="44">
        <v>0.33333333333333331</v>
      </c>
      <c r="F27" s="33">
        <f>155/3</f>
        <v>51.666666666666664</v>
      </c>
      <c r="G27" s="33">
        <v>60.6</v>
      </c>
      <c r="H27" s="34">
        <f t="shared" si="3"/>
        <v>3.1309999999999998</v>
      </c>
      <c r="I27" s="35">
        <v>0</v>
      </c>
      <c r="J27" s="35">
        <v>0</v>
      </c>
      <c r="K27" s="35">
        <v>0</v>
      </c>
      <c r="L27" s="35">
        <v>0</v>
      </c>
      <c r="M27" s="35">
        <f>F27/6*G27</f>
        <v>521.83333333333337</v>
      </c>
      <c r="N27" s="35">
        <f>F27/6*G27</f>
        <v>521.83333333333337</v>
      </c>
      <c r="O27" s="35">
        <f>F27/6*G27</f>
        <v>521.83333333333337</v>
      </c>
      <c r="P27" s="35">
        <f>F27/6*G27</f>
        <v>521.83333333333337</v>
      </c>
      <c r="Q27" s="35">
        <f>F27/6*G27</f>
        <v>521.83333333333337</v>
      </c>
      <c r="R27" s="35">
        <f>F27/6*G27</f>
        <v>521.83333333333337</v>
      </c>
      <c r="S27" s="35">
        <v>0</v>
      </c>
      <c r="T27" s="35">
        <v>0</v>
      </c>
      <c r="U27" s="35">
        <f t="shared" si="4"/>
        <v>3131.0000000000005</v>
      </c>
    </row>
    <row r="28" spans="1:21" ht="12.75" customHeight="1">
      <c r="A28" s="138" t="s">
        <v>217</v>
      </c>
      <c r="B28" s="10" t="s">
        <v>38</v>
      </c>
      <c r="C28" s="25" t="s">
        <v>39</v>
      </c>
      <c r="D28" s="10" t="s">
        <v>40</v>
      </c>
      <c r="E28" s="45">
        <v>0.1</v>
      </c>
      <c r="F28" s="33">
        <f>SUM(E28*365)</f>
        <v>36.5</v>
      </c>
      <c r="G28" s="33">
        <v>157.18</v>
      </c>
      <c r="H28" s="34">
        <f t="shared" si="3"/>
        <v>5.737070000000001</v>
      </c>
      <c r="I28" s="35">
        <f>F28/12*G28</f>
        <v>478.08916666666664</v>
      </c>
      <c r="J28" s="35">
        <f>F28/12*G28</f>
        <v>478.08916666666664</v>
      </c>
      <c r="K28" s="35">
        <f>F28/12*G28</f>
        <v>478.08916666666664</v>
      </c>
      <c r="L28" s="35">
        <f>F28/12*G28</f>
        <v>478.08916666666664</v>
      </c>
      <c r="M28" s="35">
        <f>F28/12*G28</f>
        <v>478.08916666666664</v>
      </c>
      <c r="N28" s="35">
        <f>F28/12*G28</f>
        <v>478.08916666666664</v>
      </c>
      <c r="O28" s="35">
        <f>F28/12*G28</f>
        <v>478.08916666666664</v>
      </c>
      <c r="P28" s="35">
        <f>F28/12*G28</f>
        <v>478.08916666666664</v>
      </c>
      <c r="Q28" s="35">
        <f>F28/12*G28</f>
        <v>478.08916666666664</v>
      </c>
      <c r="R28" s="35">
        <f>F28/12*G28</f>
        <v>478.08916666666664</v>
      </c>
      <c r="S28" s="35">
        <f>F28/12*G28</f>
        <v>478.08916666666664</v>
      </c>
      <c r="T28" s="35">
        <f>F28/12*G28</f>
        <v>478.08916666666664</v>
      </c>
      <c r="U28" s="35">
        <f t="shared" si="4"/>
        <v>5737.07</v>
      </c>
    </row>
    <row r="29" spans="1:21" ht="12.75" customHeight="1">
      <c r="A29" s="138" t="s">
        <v>218</v>
      </c>
      <c r="B29" s="10" t="s">
        <v>174</v>
      </c>
      <c r="C29" s="25" t="s">
        <v>39</v>
      </c>
      <c r="D29" s="10" t="s">
        <v>41</v>
      </c>
      <c r="E29" s="32"/>
      <c r="F29" s="33">
        <v>3</v>
      </c>
      <c r="G29" s="33">
        <v>204.52</v>
      </c>
      <c r="H29" s="34">
        <f t="shared" si="3"/>
        <v>0.61356000000000011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f t="shared" si="4"/>
        <v>0</v>
      </c>
    </row>
    <row r="30" spans="1:21" ht="12.75" customHeight="1">
      <c r="A30" s="138" t="s">
        <v>144</v>
      </c>
      <c r="B30" s="10" t="s">
        <v>175</v>
      </c>
      <c r="C30" s="25" t="s">
        <v>42</v>
      </c>
      <c r="D30" s="10" t="s">
        <v>41</v>
      </c>
      <c r="E30" s="32"/>
      <c r="F30" s="33">
        <v>2</v>
      </c>
      <c r="G30" s="33">
        <v>1214.73</v>
      </c>
      <c r="H30" s="34">
        <f t="shared" si="3"/>
        <v>2.4294600000000002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f t="shared" si="4"/>
        <v>0</v>
      </c>
    </row>
    <row r="31" spans="1:21">
      <c r="A31" s="138"/>
      <c r="B31" s="46" t="s">
        <v>43</v>
      </c>
      <c r="C31" s="25" t="s">
        <v>44</v>
      </c>
      <c r="D31" s="46" t="s">
        <v>45</v>
      </c>
      <c r="E31" s="32">
        <v>2409</v>
      </c>
      <c r="F31" s="33">
        <f>SUM(E31*12)</f>
        <v>28908</v>
      </c>
      <c r="G31" s="33">
        <v>4.72</v>
      </c>
      <c r="H31" s="34">
        <f>SUM(F31*G31/1000)</f>
        <v>136.44575999999998</v>
      </c>
      <c r="I31" s="35">
        <f>F31/12*G31</f>
        <v>11370.48</v>
      </c>
      <c r="J31" s="35">
        <f>F31/12*G31</f>
        <v>11370.48</v>
      </c>
      <c r="K31" s="35">
        <f>F31/12*G31</f>
        <v>11370.48</v>
      </c>
      <c r="L31" s="35">
        <f>F31/12*G31</f>
        <v>11370.48</v>
      </c>
      <c r="M31" s="35">
        <f>F31/12*G31</f>
        <v>11370.48</v>
      </c>
      <c r="N31" s="35">
        <f>F31/12*G31</f>
        <v>11370.48</v>
      </c>
      <c r="O31" s="35">
        <f>F31/12*G31</f>
        <v>11370.48</v>
      </c>
      <c r="P31" s="35">
        <f>F31/12*G31</f>
        <v>11370.48</v>
      </c>
      <c r="Q31" s="35">
        <f>F31/12*G31</f>
        <v>11370.48</v>
      </c>
      <c r="R31" s="35">
        <f>F31/12*G31</f>
        <v>11370.48</v>
      </c>
      <c r="S31" s="35">
        <f>F31/12*G31</f>
        <v>11370.48</v>
      </c>
      <c r="T31" s="35">
        <f>F31/12*G31</f>
        <v>11370.48</v>
      </c>
      <c r="U31" s="35">
        <f t="shared" si="4"/>
        <v>136445.75999999998</v>
      </c>
    </row>
    <row r="32" spans="1:21" s="18" customFormat="1">
      <c r="A32" s="139"/>
      <c r="B32" s="19" t="s">
        <v>28</v>
      </c>
      <c r="C32" s="38"/>
      <c r="D32" s="19"/>
      <c r="E32" s="39"/>
      <c r="F32" s="40"/>
      <c r="G32" s="40"/>
      <c r="H32" s="47">
        <f>SUM(H24:H31)</f>
        <v>157.00241649199998</v>
      </c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>
        <f>SUM(U24:U31)</f>
        <v>153959.39649199997</v>
      </c>
    </row>
    <row r="33" spans="1:21">
      <c r="A33" s="138"/>
      <c r="B33" s="11" t="s">
        <v>46</v>
      </c>
      <c r="C33" s="25"/>
      <c r="D33" s="10"/>
      <c r="E33" s="32"/>
      <c r="F33" s="33"/>
      <c r="G33" s="33"/>
      <c r="H33" s="34" t="s">
        <v>45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</row>
    <row r="34" spans="1:21" ht="12.75" customHeight="1">
      <c r="A34" s="138" t="s">
        <v>144</v>
      </c>
      <c r="B34" s="12" t="s">
        <v>47</v>
      </c>
      <c r="C34" s="25" t="s">
        <v>42</v>
      </c>
      <c r="D34" s="10"/>
      <c r="E34" s="32"/>
      <c r="F34" s="33">
        <v>5</v>
      </c>
      <c r="G34" s="33">
        <v>1632.6</v>
      </c>
      <c r="H34" s="34">
        <f t="shared" ref="H34:H40" si="5">SUM(F34*G34/1000)</f>
        <v>8.1630000000000003</v>
      </c>
      <c r="I34" s="35">
        <f>F34/6*G34</f>
        <v>1360.5</v>
      </c>
      <c r="J34" s="35">
        <f>F34/6*G34</f>
        <v>1360.5</v>
      </c>
      <c r="K34" s="35">
        <f>F34/6*G34</f>
        <v>1360.5</v>
      </c>
      <c r="L34" s="35">
        <f>F34/6*G34</f>
        <v>1360.5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f>F34/6*G34</f>
        <v>1360.5</v>
      </c>
      <c r="T34" s="35">
        <f>F34/6*G34</f>
        <v>1360.5</v>
      </c>
      <c r="U34" s="35">
        <f>SUM(I34:T34)</f>
        <v>8163</v>
      </c>
    </row>
    <row r="35" spans="1:21">
      <c r="A35" s="138" t="s">
        <v>144</v>
      </c>
      <c r="B35" s="10" t="s">
        <v>125</v>
      </c>
      <c r="C35" s="25" t="s">
        <v>70</v>
      </c>
      <c r="D35" s="10" t="s">
        <v>41</v>
      </c>
      <c r="E35" s="32"/>
      <c r="F35" s="48">
        <v>120</v>
      </c>
      <c r="G35" s="33">
        <v>213.2</v>
      </c>
      <c r="H35" s="34">
        <f>G35*F35/1000</f>
        <v>25.584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f t="shared" ref="U35:U40" si="6">SUM(I35:T35)</f>
        <v>0</v>
      </c>
    </row>
    <row r="36" spans="1:21" ht="25.5">
      <c r="A36" s="140" t="s">
        <v>219</v>
      </c>
      <c r="B36" s="12" t="s">
        <v>176</v>
      </c>
      <c r="C36" s="49" t="s">
        <v>48</v>
      </c>
      <c r="D36" s="10" t="s">
        <v>123</v>
      </c>
      <c r="E36" s="32">
        <v>88</v>
      </c>
      <c r="F36" s="48">
        <f>E36*26/1000</f>
        <v>2.2879999999999998</v>
      </c>
      <c r="G36" s="33">
        <v>2247.8000000000002</v>
      </c>
      <c r="H36" s="34">
        <f>G36*F36/1000</f>
        <v>5.1429664000000006</v>
      </c>
      <c r="I36" s="35">
        <f>F36/6*G36</f>
        <v>857.16106666666667</v>
      </c>
      <c r="J36" s="35">
        <f>F36/6*G36</f>
        <v>857.16106666666667</v>
      </c>
      <c r="K36" s="35">
        <f>F36/6*G36</f>
        <v>857.16106666666667</v>
      </c>
      <c r="L36" s="35">
        <f>F36/6*G36</f>
        <v>857.16106666666667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f>F36/6*G36</f>
        <v>857.16106666666667</v>
      </c>
      <c r="T36" s="35">
        <f>F36/6*G36</f>
        <v>857.16106666666667</v>
      </c>
      <c r="U36" s="35">
        <f t="shared" si="6"/>
        <v>5142.9664000000002</v>
      </c>
    </row>
    <row r="37" spans="1:21" ht="24.75" customHeight="1">
      <c r="A37" s="138" t="s">
        <v>220</v>
      </c>
      <c r="B37" s="10" t="s">
        <v>177</v>
      </c>
      <c r="C37" s="25" t="s">
        <v>48</v>
      </c>
      <c r="D37" s="10" t="s">
        <v>49</v>
      </c>
      <c r="E37" s="33">
        <v>93.3</v>
      </c>
      <c r="F37" s="48">
        <f>SUM(E37*155/1000)</f>
        <v>14.461499999999999</v>
      </c>
      <c r="G37" s="33">
        <v>374.95</v>
      </c>
      <c r="H37" s="34">
        <f t="shared" si="5"/>
        <v>5.4223394249999988</v>
      </c>
      <c r="I37" s="35">
        <f>F37/6*G37</f>
        <v>903.72323749999998</v>
      </c>
      <c r="J37" s="35">
        <f>F37/6*G37</f>
        <v>903.72323749999998</v>
      </c>
      <c r="K37" s="35">
        <f>F37/6*G37</f>
        <v>903.72323749999998</v>
      </c>
      <c r="L37" s="35">
        <f>F37/6*G37</f>
        <v>903.72323749999998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f>F37/6*G37</f>
        <v>903.72323749999998</v>
      </c>
      <c r="T37" s="35">
        <f>F37/6*G37</f>
        <v>903.72323749999998</v>
      </c>
      <c r="U37" s="35">
        <f t="shared" si="6"/>
        <v>5422.3394250000001</v>
      </c>
    </row>
    <row r="38" spans="1:21" ht="51" customHeight="1">
      <c r="A38" s="138" t="s">
        <v>221</v>
      </c>
      <c r="B38" s="10" t="s">
        <v>178</v>
      </c>
      <c r="C38" s="25" t="s">
        <v>31</v>
      </c>
      <c r="D38" s="10" t="s">
        <v>124</v>
      </c>
      <c r="E38" s="33">
        <v>34.130000000000003</v>
      </c>
      <c r="F38" s="48">
        <f>SUM(E38*35/1000)</f>
        <v>1.1945500000000002</v>
      </c>
      <c r="G38" s="33">
        <v>6203.7</v>
      </c>
      <c r="H38" s="34">
        <f t="shared" si="5"/>
        <v>7.4106298350000017</v>
      </c>
      <c r="I38" s="35">
        <f>F38/6*G38</f>
        <v>1235.1049725</v>
      </c>
      <c r="J38" s="35">
        <f>F38/6*G38</f>
        <v>1235.1049725</v>
      </c>
      <c r="K38" s="35">
        <f>F38/6*G38</f>
        <v>1235.1049725</v>
      </c>
      <c r="L38" s="35">
        <f>F38/6*G38</f>
        <v>1235.1049725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f>F38/6*G38</f>
        <v>1235.1049725</v>
      </c>
      <c r="T38" s="35">
        <f>F38/6*G38</f>
        <v>1235.1049725</v>
      </c>
      <c r="U38" s="35">
        <f t="shared" si="6"/>
        <v>7410.6298350000006</v>
      </c>
    </row>
    <row r="39" spans="1:21" ht="12.75" customHeight="1">
      <c r="A39" s="138" t="s">
        <v>222</v>
      </c>
      <c r="B39" s="10" t="s">
        <v>179</v>
      </c>
      <c r="C39" s="25" t="s">
        <v>31</v>
      </c>
      <c r="D39" s="10" t="s">
        <v>50</v>
      </c>
      <c r="E39" s="33">
        <v>72</v>
      </c>
      <c r="F39" s="48">
        <f>SUM(E39*45/1000)</f>
        <v>3.24</v>
      </c>
      <c r="G39" s="33">
        <v>458.28</v>
      </c>
      <c r="H39" s="34">
        <f t="shared" si="5"/>
        <v>1.4848272</v>
      </c>
      <c r="I39" s="35">
        <f>F39/6*G39</f>
        <v>247.47120000000001</v>
      </c>
      <c r="J39" s="35">
        <f>F39/6*G39</f>
        <v>247.47120000000001</v>
      </c>
      <c r="K39" s="35">
        <f>F39/6*G39</f>
        <v>247.47120000000001</v>
      </c>
      <c r="L39" s="35">
        <f>F39/6*G39</f>
        <v>247.47120000000001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f>F39/6*G39</f>
        <v>247.47120000000001</v>
      </c>
      <c r="T39" s="35">
        <f>F39/6*G39</f>
        <v>247.47120000000001</v>
      </c>
      <c r="U39" s="35">
        <f t="shared" si="6"/>
        <v>1484.8271999999999</v>
      </c>
    </row>
    <row r="40" spans="1:21" s="1" customFormat="1">
      <c r="A40" s="140"/>
      <c r="B40" s="12" t="s">
        <v>180</v>
      </c>
      <c r="C40" s="49" t="s">
        <v>39</v>
      </c>
      <c r="D40" s="12"/>
      <c r="E40" s="45"/>
      <c r="F40" s="48">
        <v>0.9</v>
      </c>
      <c r="G40" s="48">
        <v>853.06</v>
      </c>
      <c r="H40" s="34">
        <f t="shared" si="5"/>
        <v>0.76775400000000005</v>
      </c>
      <c r="I40" s="50">
        <f>F40/6*G40</f>
        <v>127.95899999999999</v>
      </c>
      <c r="J40" s="50">
        <f>F40/6*G40</f>
        <v>127.95899999999999</v>
      </c>
      <c r="K40" s="50">
        <f>F40/6*G40</f>
        <v>127.95899999999999</v>
      </c>
      <c r="L40" s="50">
        <f>F40/6*G40</f>
        <v>127.95899999999999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f>F40/6*G40</f>
        <v>127.95899999999999</v>
      </c>
      <c r="T40" s="50">
        <f>F40/6*G40</f>
        <v>127.95899999999999</v>
      </c>
      <c r="U40" s="35">
        <f t="shared" si="6"/>
        <v>767.75399999999991</v>
      </c>
    </row>
    <row r="41" spans="1:21" s="18" customFormat="1">
      <c r="A41" s="139"/>
      <c r="B41" s="19" t="s">
        <v>28</v>
      </c>
      <c r="C41" s="38"/>
      <c r="D41" s="19"/>
      <c r="E41" s="39"/>
      <c r="F41" s="40" t="s">
        <v>45</v>
      </c>
      <c r="G41" s="40"/>
      <c r="H41" s="47">
        <f>SUM(H34:H40)</f>
        <v>53.975516859999999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>
        <f>SUM(U34:U40)</f>
        <v>28391.516860000003</v>
      </c>
    </row>
    <row r="42" spans="1:21">
      <c r="A42" s="138"/>
      <c r="B42" s="13" t="s">
        <v>51</v>
      </c>
      <c r="C42" s="25"/>
      <c r="D42" s="10"/>
      <c r="E42" s="32"/>
      <c r="F42" s="33"/>
      <c r="G42" s="33"/>
      <c r="H42" s="34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</row>
    <row r="43" spans="1:21">
      <c r="A43" s="138" t="s">
        <v>226</v>
      </c>
      <c r="B43" s="10" t="s">
        <v>126</v>
      </c>
      <c r="C43" s="25" t="s">
        <v>31</v>
      </c>
      <c r="D43" s="10" t="s">
        <v>52</v>
      </c>
      <c r="E43" s="32">
        <v>670.4</v>
      </c>
      <c r="F43" s="33">
        <f>SUM(E43*2/1000)</f>
        <v>1.3408</v>
      </c>
      <c r="G43" s="51">
        <v>908.11</v>
      </c>
      <c r="H43" s="34">
        <f t="shared" ref="H43:H51" si="7">SUM(F43*G43/1000)</f>
        <v>1.2175938880000001</v>
      </c>
      <c r="I43" s="35">
        <v>0</v>
      </c>
      <c r="J43" s="35">
        <v>0</v>
      </c>
      <c r="K43" s="35">
        <v>0</v>
      </c>
      <c r="L43" s="35">
        <v>0</v>
      </c>
      <c r="M43" s="35">
        <f>F43/2*G43</f>
        <v>608.79694400000005</v>
      </c>
      <c r="N43" s="35">
        <v>0</v>
      </c>
      <c r="O43" s="35">
        <v>0</v>
      </c>
      <c r="P43" s="35">
        <v>0</v>
      </c>
      <c r="Q43" s="35">
        <f>F43/2*G43</f>
        <v>608.79694400000005</v>
      </c>
      <c r="R43" s="35">
        <v>0</v>
      </c>
      <c r="S43" s="35">
        <v>0</v>
      </c>
      <c r="T43" s="35">
        <v>0</v>
      </c>
      <c r="U43" s="35">
        <f>SUM(I43:T43)</f>
        <v>1217.5938880000001</v>
      </c>
    </row>
    <row r="44" spans="1:21">
      <c r="A44" s="138" t="s">
        <v>223</v>
      </c>
      <c r="B44" s="10" t="s">
        <v>53</v>
      </c>
      <c r="C44" s="25" t="s">
        <v>31</v>
      </c>
      <c r="D44" s="10" t="s">
        <v>52</v>
      </c>
      <c r="E44" s="32">
        <v>26</v>
      </c>
      <c r="F44" s="33">
        <f>E44*2/1000</f>
        <v>5.1999999999999998E-2</v>
      </c>
      <c r="G44" s="51">
        <v>619.46</v>
      </c>
      <c r="H44" s="34">
        <f t="shared" si="7"/>
        <v>3.2211919999999998E-2</v>
      </c>
      <c r="I44" s="35">
        <v>0</v>
      </c>
      <c r="J44" s="35">
        <v>0</v>
      </c>
      <c r="K44" s="35">
        <v>0</v>
      </c>
      <c r="L44" s="35">
        <v>0</v>
      </c>
      <c r="M44" s="35">
        <f t="shared" ref="M44:M46" si="8">F44/2*G44</f>
        <v>16.10596</v>
      </c>
      <c r="N44" s="35">
        <v>0</v>
      </c>
      <c r="O44" s="35">
        <v>0</v>
      </c>
      <c r="P44" s="35">
        <v>0</v>
      </c>
      <c r="Q44" s="35">
        <f>F44/2*G44</f>
        <v>16.10596</v>
      </c>
      <c r="R44" s="35">
        <v>0</v>
      </c>
      <c r="S44" s="35">
        <v>0</v>
      </c>
      <c r="T44" s="35">
        <v>0</v>
      </c>
      <c r="U44" s="35">
        <f t="shared" ref="U44:U51" si="9">SUM(I44:T44)</f>
        <v>32.211919999999999</v>
      </c>
    </row>
    <row r="45" spans="1:21" ht="12.75" customHeight="1">
      <c r="A45" s="138" t="s">
        <v>224</v>
      </c>
      <c r="B45" s="10" t="s">
        <v>54</v>
      </c>
      <c r="C45" s="25" t="s">
        <v>31</v>
      </c>
      <c r="D45" s="10" t="s">
        <v>52</v>
      </c>
      <c r="E45" s="32">
        <v>760.4</v>
      </c>
      <c r="F45" s="33">
        <f>SUM(E45*2/1000)</f>
        <v>1.5207999999999999</v>
      </c>
      <c r="G45" s="51">
        <v>619.46</v>
      </c>
      <c r="H45" s="34">
        <f t="shared" si="7"/>
        <v>0.94207476800000012</v>
      </c>
      <c r="I45" s="35">
        <v>0</v>
      </c>
      <c r="J45" s="35">
        <v>0</v>
      </c>
      <c r="K45" s="35">
        <v>0</v>
      </c>
      <c r="L45" s="35">
        <v>0</v>
      </c>
      <c r="M45" s="35">
        <f t="shared" si="8"/>
        <v>471.03738400000003</v>
      </c>
      <c r="N45" s="35">
        <v>0</v>
      </c>
      <c r="O45" s="35">
        <v>0</v>
      </c>
      <c r="P45" s="35">
        <v>0</v>
      </c>
      <c r="Q45" s="35">
        <f>F45/2*G45</f>
        <v>471.03738400000003</v>
      </c>
      <c r="R45" s="35">
        <v>0</v>
      </c>
      <c r="S45" s="35">
        <v>0</v>
      </c>
      <c r="T45" s="35">
        <v>0</v>
      </c>
      <c r="U45" s="35">
        <f t="shared" si="9"/>
        <v>942.07476800000006</v>
      </c>
    </row>
    <row r="46" spans="1:21">
      <c r="A46" s="138" t="s">
        <v>225</v>
      </c>
      <c r="B46" s="10" t="s">
        <v>55</v>
      </c>
      <c r="C46" s="25" t="s">
        <v>31</v>
      </c>
      <c r="D46" s="10" t="s">
        <v>52</v>
      </c>
      <c r="E46" s="32">
        <v>1440</v>
      </c>
      <c r="F46" s="33">
        <f>SUM(E46*2/1000)</f>
        <v>2.88</v>
      </c>
      <c r="G46" s="51">
        <v>648.64</v>
      </c>
      <c r="H46" s="34">
        <f t="shared" si="7"/>
        <v>1.8680831999999998</v>
      </c>
      <c r="I46" s="35">
        <v>0</v>
      </c>
      <c r="J46" s="35">
        <v>0</v>
      </c>
      <c r="K46" s="35">
        <v>0</v>
      </c>
      <c r="L46" s="35">
        <v>0</v>
      </c>
      <c r="M46" s="35">
        <f t="shared" si="8"/>
        <v>934.0415999999999</v>
      </c>
      <c r="N46" s="35">
        <v>0</v>
      </c>
      <c r="O46" s="35">
        <v>0</v>
      </c>
      <c r="P46" s="35">
        <v>0</v>
      </c>
      <c r="Q46" s="35">
        <f>F46/2*G46</f>
        <v>934.0415999999999</v>
      </c>
      <c r="R46" s="35">
        <v>0</v>
      </c>
      <c r="S46" s="35">
        <v>0</v>
      </c>
      <c r="T46" s="35">
        <v>0</v>
      </c>
      <c r="U46" s="35">
        <f t="shared" si="9"/>
        <v>1868.0831999999998</v>
      </c>
    </row>
    <row r="47" spans="1:21" ht="25.5">
      <c r="A47" s="138" t="s">
        <v>227</v>
      </c>
      <c r="B47" s="10" t="s">
        <v>56</v>
      </c>
      <c r="C47" s="25" t="s">
        <v>31</v>
      </c>
      <c r="D47" s="10" t="s">
        <v>57</v>
      </c>
      <c r="E47" s="32">
        <v>1340.8</v>
      </c>
      <c r="F47" s="33">
        <f>SUM(E47*5/1000)</f>
        <v>6.7039999999999997</v>
      </c>
      <c r="G47" s="51">
        <v>1297.28</v>
      </c>
      <c r="H47" s="34">
        <f t="shared" si="7"/>
        <v>8.6969651199999998</v>
      </c>
      <c r="I47" s="35">
        <f>F47/5*G47</f>
        <v>1739.393024</v>
      </c>
      <c r="J47" s="35">
        <f>F47/5*G47</f>
        <v>1739.393024</v>
      </c>
      <c r="K47" s="35">
        <v>0</v>
      </c>
      <c r="L47" s="35">
        <f>0</f>
        <v>0</v>
      </c>
      <c r="M47" s="35">
        <f>F47/5*G47</f>
        <v>1739.393024</v>
      </c>
      <c r="N47" s="35">
        <v>0</v>
      </c>
      <c r="O47" s="35">
        <v>0</v>
      </c>
      <c r="P47" s="35">
        <v>0</v>
      </c>
      <c r="Q47" s="35">
        <f>F47/5*G47</f>
        <v>1739.393024</v>
      </c>
      <c r="R47" s="35">
        <v>0</v>
      </c>
      <c r="S47" s="35">
        <v>0</v>
      </c>
      <c r="T47" s="35">
        <f>F47/5*G47</f>
        <v>1739.393024</v>
      </c>
      <c r="U47" s="35">
        <f t="shared" si="9"/>
        <v>8696.9651200000008</v>
      </c>
    </row>
    <row r="48" spans="1:21" ht="38.25" customHeight="1">
      <c r="A48" s="138" t="s">
        <v>228</v>
      </c>
      <c r="B48" s="10" t="s">
        <v>58</v>
      </c>
      <c r="C48" s="25" t="s">
        <v>31</v>
      </c>
      <c r="D48" s="10" t="s">
        <v>52</v>
      </c>
      <c r="E48" s="32">
        <v>1340.8</v>
      </c>
      <c r="F48" s="33">
        <f>SUM(E48*2/1000)</f>
        <v>2.6816</v>
      </c>
      <c r="G48" s="51">
        <v>1297.28</v>
      </c>
      <c r="H48" s="34">
        <f t="shared" si="7"/>
        <v>3.4787860479999999</v>
      </c>
      <c r="I48" s="35">
        <v>0</v>
      </c>
      <c r="J48" s="35">
        <v>0</v>
      </c>
      <c r="K48" s="35">
        <v>0</v>
      </c>
      <c r="L48" s="35">
        <f>F48/2*G48</f>
        <v>1739.393024</v>
      </c>
      <c r="M48" s="35">
        <v>0</v>
      </c>
      <c r="N48" s="35">
        <v>0</v>
      </c>
      <c r="O48" s="35">
        <v>0</v>
      </c>
      <c r="P48" s="35">
        <v>0</v>
      </c>
      <c r="Q48" s="35">
        <f>F48/2*G48</f>
        <v>1739.393024</v>
      </c>
      <c r="R48" s="35">
        <v>0</v>
      </c>
      <c r="S48" s="35">
        <v>0</v>
      </c>
      <c r="T48" s="35">
        <v>0</v>
      </c>
      <c r="U48" s="35">
        <f t="shared" si="9"/>
        <v>3478.7860479999999</v>
      </c>
    </row>
    <row r="49" spans="1:21" ht="25.5" customHeight="1">
      <c r="A49" s="138" t="s">
        <v>229</v>
      </c>
      <c r="B49" s="10" t="s">
        <v>59</v>
      </c>
      <c r="C49" s="25" t="s">
        <v>60</v>
      </c>
      <c r="D49" s="10" t="s">
        <v>52</v>
      </c>
      <c r="E49" s="32">
        <v>10</v>
      </c>
      <c r="F49" s="33">
        <f>SUM(E49*2/100)</f>
        <v>0.2</v>
      </c>
      <c r="G49" s="51">
        <v>2918.89</v>
      </c>
      <c r="H49" s="34">
        <f>SUM(F49*G49/1000)</f>
        <v>0.58377800000000002</v>
      </c>
      <c r="I49" s="35">
        <v>0</v>
      </c>
      <c r="J49" s="35">
        <v>0</v>
      </c>
      <c r="K49" s="35">
        <v>0</v>
      </c>
      <c r="L49" s="35">
        <f>F49/2*G49</f>
        <v>291.88900000000001</v>
      </c>
      <c r="M49" s="35">
        <v>0</v>
      </c>
      <c r="N49" s="35">
        <v>0</v>
      </c>
      <c r="O49" s="35">
        <v>0</v>
      </c>
      <c r="P49" s="35">
        <v>0</v>
      </c>
      <c r="Q49" s="35">
        <f>F49/2*G49</f>
        <v>291.88900000000001</v>
      </c>
      <c r="R49" s="35">
        <v>0</v>
      </c>
      <c r="S49" s="35">
        <v>0</v>
      </c>
      <c r="T49" s="35">
        <v>0</v>
      </c>
      <c r="U49" s="35">
        <f t="shared" si="9"/>
        <v>583.77800000000002</v>
      </c>
    </row>
    <row r="50" spans="1:21">
      <c r="A50" s="138" t="s">
        <v>230</v>
      </c>
      <c r="B50" s="10" t="s">
        <v>61</v>
      </c>
      <c r="C50" s="25" t="s">
        <v>62</v>
      </c>
      <c r="D50" s="10" t="s">
        <v>52</v>
      </c>
      <c r="E50" s="32">
        <v>1</v>
      </c>
      <c r="F50" s="33">
        <v>0.02</v>
      </c>
      <c r="G50" s="51">
        <v>6042.12</v>
      </c>
      <c r="H50" s="34">
        <f t="shared" si="7"/>
        <v>0.1208424</v>
      </c>
      <c r="I50" s="35">
        <v>0</v>
      </c>
      <c r="J50" s="35">
        <f>F50/2*G50</f>
        <v>60.421199999999999</v>
      </c>
      <c r="K50" s="35">
        <v>0</v>
      </c>
      <c r="L50" s="35">
        <v>0</v>
      </c>
      <c r="M50" s="35">
        <v>0</v>
      </c>
      <c r="N50" s="35">
        <v>0</v>
      </c>
      <c r="O50" s="35">
        <v>0</v>
      </c>
      <c r="P50" s="35">
        <v>0</v>
      </c>
      <c r="Q50" s="35">
        <f>F50/2*G50</f>
        <v>60.421199999999999</v>
      </c>
      <c r="R50" s="35">
        <v>0</v>
      </c>
      <c r="S50" s="35">
        <v>0</v>
      </c>
      <c r="T50" s="35">
        <v>0</v>
      </c>
      <c r="U50" s="35">
        <f t="shared" si="9"/>
        <v>120.8424</v>
      </c>
    </row>
    <row r="51" spans="1:21" ht="13.5" customHeight="1">
      <c r="A51" s="138" t="s">
        <v>64</v>
      </c>
      <c r="B51" s="10" t="s">
        <v>65</v>
      </c>
      <c r="C51" s="25" t="s">
        <v>63</v>
      </c>
      <c r="D51" s="10" t="s">
        <v>142</v>
      </c>
      <c r="E51" s="32">
        <v>80</v>
      </c>
      <c r="F51" s="33">
        <f>SUM(E51)*3</f>
        <v>240</v>
      </c>
      <c r="G51" s="52">
        <v>70.209999999999994</v>
      </c>
      <c r="H51" s="34">
        <f t="shared" si="7"/>
        <v>16.850399999999997</v>
      </c>
      <c r="I51" s="35">
        <f>E51*G51</f>
        <v>5616.7999999999993</v>
      </c>
      <c r="J51" s="35">
        <v>0</v>
      </c>
      <c r="K51" s="35">
        <v>0</v>
      </c>
      <c r="L51" s="35">
        <f>E51*G51</f>
        <v>5616.7999999999993</v>
      </c>
      <c r="M51" s="35">
        <v>0</v>
      </c>
      <c r="N51" s="35">
        <v>0</v>
      </c>
      <c r="O51" s="35">
        <v>0</v>
      </c>
      <c r="P51" s="35">
        <f>E51*G51</f>
        <v>5616.7999999999993</v>
      </c>
      <c r="Q51" s="35">
        <v>0</v>
      </c>
      <c r="R51" s="35">
        <v>0</v>
      </c>
      <c r="S51" s="35">
        <v>0</v>
      </c>
      <c r="T51" s="35">
        <v>0</v>
      </c>
      <c r="U51" s="35">
        <f t="shared" si="9"/>
        <v>16850.399999999998</v>
      </c>
    </row>
    <row r="52" spans="1:21" s="20" customFormat="1">
      <c r="A52" s="141"/>
      <c r="B52" s="19" t="s">
        <v>28</v>
      </c>
      <c r="C52" s="53"/>
      <c r="D52" s="19"/>
      <c r="E52" s="54"/>
      <c r="F52" s="55"/>
      <c r="G52" s="55"/>
      <c r="H52" s="47">
        <f>SUM(H43:H51)</f>
        <v>33.790735343999998</v>
      </c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>
        <f>SUM(U43:U51)</f>
        <v>33790.735344000001</v>
      </c>
    </row>
    <row r="53" spans="1:21">
      <c r="A53" s="138"/>
      <c r="B53" s="11" t="s">
        <v>66</v>
      </c>
      <c r="C53" s="25"/>
      <c r="D53" s="10"/>
      <c r="E53" s="32"/>
      <c r="F53" s="33"/>
      <c r="G53" s="33"/>
      <c r="H53" s="34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</row>
    <row r="54" spans="1:21" ht="38.25" customHeight="1">
      <c r="A54" s="150" t="s">
        <v>231</v>
      </c>
      <c r="B54" s="10" t="s">
        <v>181</v>
      </c>
      <c r="C54" s="25" t="s">
        <v>13</v>
      </c>
      <c r="D54" s="10" t="s">
        <v>67</v>
      </c>
      <c r="E54" s="32">
        <v>79.040000000000006</v>
      </c>
      <c r="F54" s="33">
        <f>SUM(E54*6/100)</f>
        <v>4.7423999999999999</v>
      </c>
      <c r="G54" s="51">
        <v>1654.04</v>
      </c>
      <c r="H54" s="34">
        <f>SUM(F54*G54/1000)</f>
        <v>7.8441192959999997</v>
      </c>
      <c r="I54" s="35">
        <f>F54/6*G54</f>
        <v>1307.353216</v>
      </c>
      <c r="J54" s="35">
        <f>F54/6*G54</f>
        <v>1307.353216</v>
      </c>
      <c r="K54" s="35">
        <f>F54/6*G54</f>
        <v>1307.353216</v>
      </c>
      <c r="L54" s="35">
        <f>F54/6*G54</f>
        <v>1307.353216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f>F54/6*G54</f>
        <v>1307.353216</v>
      </c>
      <c r="T54" s="35">
        <f>F54/6*G54</f>
        <v>1307.353216</v>
      </c>
      <c r="U54" s="35">
        <f>SUM(I54:T54)</f>
        <v>7844.1192959999989</v>
      </c>
    </row>
    <row r="55" spans="1:21" ht="12.75" customHeight="1">
      <c r="A55" s="142" t="s">
        <v>232</v>
      </c>
      <c r="B55" s="21" t="s">
        <v>109</v>
      </c>
      <c r="C55" s="57" t="s">
        <v>24</v>
      </c>
      <c r="D55" s="21" t="s">
        <v>34</v>
      </c>
      <c r="E55" s="58">
        <v>670.4</v>
      </c>
      <c r="F55" s="59">
        <f>E55/100</f>
        <v>6.7039999999999997</v>
      </c>
      <c r="G55" s="51">
        <v>505.2</v>
      </c>
      <c r="H55" s="34">
        <f>SUM(F55*G55/1000)</f>
        <v>3.3868608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f t="shared" ref="U55:U57" si="10">SUM(I55:T55)</f>
        <v>0</v>
      </c>
    </row>
    <row r="56" spans="1:21" ht="12.75" customHeight="1">
      <c r="A56" s="150" t="s">
        <v>231</v>
      </c>
      <c r="B56" s="10" t="s">
        <v>127</v>
      </c>
      <c r="C56" s="25" t="s">
        <v>13</v>
      </c>
      <c r="D56" s="10" t="s">
        <v>67</v>
      </c>
      <c r="E56" s="32">
        <v>3.8</v>
      </c>
      <c r="F56" s="33">
        <f>SUM(E56*6/100)</f>
        <v>0.22799999999999998</v>
      </c>
      <c r="G56" s="51">
        <v>1654.04</v>
      </c>
      <c r="H56" s="34">
        <f>SUM(F56*G56/1000)</f>
        <v>0.37712111999999998</v>
      </c>
      <c r="I56" s="35">
        <f>F56/6*G56</f>
        <v>62.853519999999996</v>
      </c>
      <c r="J56" s="35">
        <f>F56/6*G56</f>
        <v>62.853519999999996</v>
      </c>
      <c r="K56" s="35">
        <f>F56/6*G56</f>
        <v>62.853519999999996</v>
      </c>
      <c r="L56" s="35">
        <f>F56/6*G56</f>
        <v>62.853519999999996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f t="shared" ref="S56" si="11">F56/6*G56</f>
        <v>62.853519999999996</v>
      </c>
      <c r="T56" s="35">
        <f t="shared" ref="T56" si="12">F56/6*G56</f>
        <v>62.853519999999996</v>
      </c>
      <c r="U56" s="35">
        <f t="shared" si="10"/>
        <v>377.12111999999996</v>
      </c>
    </row>
    <row r="57" spans="1:21" ht="12.75" customHeight="1">
      <c r="A57" s="142" t="s">
        <v>233</v>
      </c>
      <c r="B57" s="21" t="s">
        <v>128</v>
      </c>
      <c r="C57" s="57" t="s">
        <v>129</v>
      </c>
      <c r="D57" s="21" t="s">
        <v>52</v>
      </c>
      <c r="E57" s="58">
        <v>2</v>
      </c>
      <c r="F57" s="59">
        <v>4</v>
      </c>
      <c r="G57" s="51">
        <v>193.25</v>
      </c>
      <c r="H57" s="60">
        <f>F57*G57/1000</f>
        <v>0.77300000000000002</v>
      </c>
      <c r="I57" s="35">
        <v>0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f t="shared" si="10"/>
        <v>0</v>
      </c>
    </row>
    <row r="58" spans="1:21" ht="12.75" customHeight="1">
      <c r="A58" s="142"/>
      <c r="B58" s="22" t="s">
        <v>68</v>
      </c>
      <c r="C58" s="57"/>
      <c r="D58" s="21"/>
      <c r="E58" s="58"/>
      <c r="F58" s="59"/>
      <c r="G58" s="51"/>
      <c r="H58" s="60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</row>
    <row r="59" spans="1:21" ht="12.75" customHeight="1">
      <c r="A59" s="138" t="s">
        <v>234</v>
      </c>
      <c r="B59" s="21" t="s">
        <v>109</v>
      </c>
      <c r="C59" s="57" t="s">
        <v>24</v>
      </c>
      <c r="D59" s="21" t="s">
        <v>34</v>
      </c>
      <c r="E59" s="58">
        <v>1096</v>
      </c>
      <c r="F59" s="59">
        <f>E59/100</f>
        <v>10.96</v>
      </c>
      <c r="G59" s="51">
        <v>848.37</v>
      </c>
      <c r="H59" s="60">
        <f>F59*G59/1000</f>
        <v>9.2981352000000008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f>SUM(I59:T59)</f>
        <v>0</v>
      </c>
    </row>
    <row r="60" spans="1:21" ht="12.75" customHeight="1">
      <c r="A60" s="138"/>
      <c r="B60" s="21" t="s">
        <v>108</v>
      </c>
      <c r="C60" s="57" t="s">
        <v>69</v>
      </c>
      <c r="D60" s="21" t="s">
        <v>107</v>
      </c>
      <c r="E60" s="58">
        <v>110</v>
      </c>
      <c r="F60" s="61">
        <f>E60*12</f>
        <v>1320</v>
      </c>
      <c r="G60" s="62">
        <v>2.6</v>
      </c>
      <c r="H60" s="59">
        <f>F60*G60/1000</f>
        <v>3.4319999999999999</v>
      </c>
      <c r="I60" s="35">
        <f>F60/12*G60</f>
        <v>286</v>
      </c>
      <c r="J60" s="35">
        <f>F60/12*G60</f>
        <v>286</v>
      </c>
      <c r="K60" s="35">
        <f>F60/12*G60</f>
        <v>286</v>
      </c>
      <c r="L60" s="35">
        <f>F60/12*G60</f>
        <v>286</v>
      </c>
      <c r="M60" s="35">
        <f>F60/12*G60</f>
        <v>286</v>
      </c>
      <c r="N60" s="35">
        <f>F60/12*G60</f>
        <v>286</v>
      </c>
      <c r="O60" s="35">
        <f>F60/12*G60</f>
        <v>286</v>
      </c>
      <c r="P60" s="35">
        <f>F60/12*G60</f>
        <v>286</v>
      </c>
      <c r="Q60" s="35">
        <f>F60/12*G60</f>
        <v>286</v>
      </c>
      <c r="R60" s="35">
        <f>F60/12*G60</f>
        <v>286</v>
      </c>
      <c r="S60" s="35">
        <f>F60/12*G60</f>
        <v>286</v>
      </c>
      <c r="T60" s="35">
        <f>F60/12*G60</f>
        <v>286</v>
      </c>
      <c r="U60" s="35">
        <f>SUM(I60:T60)</f>
        <v>3432</v>
      </c>
    </row>
    <row r="61" spans="1:21">
      <c r="A61" s="142"/>
      <c r="B61" s="14" t="s">
        <v>71</v>
      </c>
      <c r="C61" s="57"/>
      <c r="D61" s="21"/>
      <c r="E61" s="58"/>
      <c r="F61" s="61"/>
      <c r="G61" s="61"/>
      <c r="H61" s="59" t="s">
        <v>45</v>
      </c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</row>
    <row r="62" spans="1:21" ht="12.75" customHeight="1">
      <c r="A62" s="63" t="s">
        <v>235</v>
      </c>
      <c r="B62" s="15" t="s">
        <v>72</v>
      </c>
      <c r="C62" s="63" t="s">
        <v>63</v>
      </c>
      <c r="D62" s="8" t="s">
        <v>41</v>
      </c>
      <c r="E62" s="64">
        <v>6</v>
      </c>
      <c r="F62" s="33">
        <v>6</v>
      </c>
      <c r="G62" s="51">
        <v>237.74</v>
      </c>
      <c r="H62" s="65">
        <f t="shared" ref="H62:H75" si="13">SUM(F62*G62/1000)</f>
        <v>1.4264400000000002</v>
      </c>
      <c r="I62" s="35">
        <v>0</v>
      </c>
      <c r="J62" s="35">
        <f>G62*3</f>
        <v>713.22</v>
      </c>
      <c r="K62" s="35">
        <f>G62</f>
        <v>237.74</v>
      </c>
      <c r="L62" s="35">
        <f>G62</f>
        <v>237.74</v>
      </c>
      <c r="M62" s="35">
        <v>0</v>
      </c>
      <c r="N62" s="35">
        <v>0</v>
      </c>
      <c r="O62" s="35">
        <f>G62</f>
        <v>237.74</v>
      </c>
      <c r="P62" s="35">
        <f>G62</f>
        <v>237.74</v>
      </c>
      <c r="Q62" s="35">
        <f>G62*3</f>
        <v>713.22</v>
      </c>
      <c r="R62" s="35">
        <v>0</v>
      </c>
      <c r="S62" s="35">
        <f>G62</f>
        <v>237.74</v>
      </c>
      <c r="T62" s="35">
        <v>0</v>
      </c>
      <c r="U62" s="35">
        <f>SUM(I62:T62)</f>
        <v>2615.1400000000003</v>
      </c>
    </row>
    <row r="63" spans="1:21" ht="12.75" customHeight="1">
      <c r="A63" s="63" t="s">
        <v>236</v>
      </c>
      <c r="B63" s="15" t="s">
        <v>73</v>
      </c>
      <c r="C63" s="63" t="s">
        <v>63</v>
      </c>
      <c r="D63" s="8" t="s">
        <v>41</v>
      </c>
      <c r="E63" s="64">
        <v>2</v>
      </c>
      <c r="F63" s="33">
        <v>2</v>
      </c>
      <c r="G63" s="51">
        <v>81.510000000000005</v>
      </c>
      <c r="H63" s="65">
        <f t="shared" si="13"/>
        <v>0.16302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f t="shared" ref="U63:U69" si="14">SUM(I63:T63)</f>
        <v>0</v>
      </c>
    </row>
    <row r="64" spans="1:21" s="1" customFormat="1">
      <c r="A64" s="66" t="s">
        <v>237</v>
      </c>
      <c r="B64" s="15" t="s">
        <v>74</v>
      </c>
      <c r="C64" s="66" t="s">
        <v>75</v>
      </c>
      <c r="D64" s="8" t="s">
        <v>34</v>
      </c>
      <c r="E64" s="32">
        <v>9962</v>
      </c>
      <c r="F64" s="52">
        <f>SUM(E64/100)</f>
        <v>99.62</v>
      </c>
      <c r="G64" s="51">
        <v>226.79</v>
      </c>
      <c r="H64" s="65">
        <f t="shared" si="13"/>
        <v>22.592819800000001</v>
      </c>
      <c r="I64" s="50">
        <v>0</v>
      </c>
      <c r="J64" s="50">
        <v>0</v>
      </c>
      <c r="K64" s="50">
        <v>0</v>
      </c>
      <c r="L64" s="50">
        <v>0</v>
      </c>
      <c r="M64" s="50">
        <f>F64*G64</f>
        <v>22592.819800000001</v>
      </c>
      <c r="N64" s="50">
        <v>0</v>
      </c>
      <c r="O64" s="50">
        <v>0</v>
      </c>
      <c r="P64" s="50">
        <v>0</v>
      </c>
      <c r="Q64" s="50">
        <v>0</v>
      </c>
      <c r="R64" s="50">
        <v>0</v>
      </c>
      <c r="S64" s="50">
        <v>0</v>
      </c>
      <c r="T64" s="50">
        <v>0</v>
      </c>
      <c r="U64" s="35">
        <f t="shared" si="14"/>
        <v>22592.819800000001</v>
      </c>
    </row>
    <row r="65" spans="1:21" ht="12.75" customHeight="1">
      <c r="A65" s="63" t="s">
        <v>238</v>
      </c>
      <c r="B65" s="15" t="s">
        <v>76</v>
      </c>
      <c r="C65" s="63" t="s">
        <v>77</v>
      </c>
      <c r="D65" s="8"/>
      <c r="E65" s="32">
        <v>9962</v>
      </c>
      <c r="F65" s="51">
        <f>SUM(E65/1000)</f>
        <v>9.9619999999999997</v>
      </c>
      <c r="G65" s="51">
        <v>176.61</v>
      </c>
      <c r="H65" s="65">
        <f t="shared" si="13"/>
        <v>1.7593888200000001</v>
      </c>
      <c r="I65" s="35">
        <v>0</v>
      </c>
      <c r="J65" s="35">
        <v>0</v>
      </c>
      <c r="K65" s="35">
        <v>0</v>
      </c>
      <c r="L65" s="35">
        <v>0</v>
      </c>
      <c r="M65" s="35">
        <f>F65*G65</f>
        <v>1759.3888200000001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f t="shared" si="14"/>
        <v>1759.3888200000001</v>
      </c>
    </row>
    <row r="66" spans="1:21">
      <c r="A66" s="63" t="s">
        <v>239</v>
      </c>
      <c r="B66" s="15" t="s">
        <v>78</v>
      </c>
      <c r="C66" s="63" t="s">
        <v>79</v>
      </c>
      <c r="D66" s="8" t="s">
        <v>34</v>
      </c>
      <c r="E66" s="32">
        <v>1062</v>
      </c>
      <c r="F66" s="51">
        <f>SUM(E66/100)</f>
        <v>10.62</v>
      </c>
      <c r="G66" s="51">
        <v>2217.7800000000002</v>
      </c>
      <c r="H66" s="65">
        <f t="shared" si="13"/>
        <v>23.5528236</v>
      </c>
      <c r="I66" s="35">
        <v>0</v>
      </c>
      <c r="J66" s="35">
        <v>0</v>
      </c>
      <c r="K66" s="35">
        <v>0</v>
      </c>
      <c r="L66" s="35">
        <v>0</v>
      </c>
      <c r="M66" s="35">
        <f>F66*G66</f>
        <v>23552.8236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f t="shared" si="14"/>
        <v>23552.8236</v>
      </c>
    </row>
    <row r="67" spans="1:21">
      <c r="A67" s="63"/>
      <c r="B67" s="16" t="s">
        <v>101</v>
      </c>
      <c r="C67" s="63" t="s">
        <v>39</v>
      </c>
      <c r="D67" s="8"/>
      <c r="E67" s="32">
        <v>9</v>
      </c>
      <c r="F67" s="51">
        <f>SUM(E67)</f>
        <v>9</v>
      </c>
      <c r="G67" s="51">
        <v>42.67</v>
      </c>
      <c r="H67" s="65">
        <f t="shared" si="13"/>
        <v>0.38403000000000004</v>
      </c>
      <c r="I67" s="35">
        <v>0</v>
      </c>
      <c r="J67" s="35">
        <v>0</v>
      </c>
      <c r="K67" s="35">
        <v>0</v>
      </c>
      <c r="L67" s="35">
        <v>0</v>
      </c>
      <c r="M67" s="35">
        <f>F67*G67</f>
        <v>384.03000000000003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f t="shared" si="14"/>
        <v>384.03000000000003</v>
      </c>
    </row>
    <row r="68" spans="1:21" ht="12.75" customHeight="1">
      <c r="A68" s="143"/>
      <c r="B68" s="16" t="s">
        <v>102</v>
      </c>
      <c r="C68" s="63" t="s">
        <v>39</v>
      </c>
      <c r="D68" s="8"/>
      <c r="E68" s="32">
        <v>9</v>
      </c>
      <c r="F68" s="51">
        <f>SUM(E68)</f>
        <v>9</v>
      </c>
      <c r="G68" s="51">
        <v>39.81</v>
      </c>
      <c r="H68" s="65">
        <f t="shared" si="13"/>
        <v>0.35829</v>
      </c>
      <c r="I68" s="35">
        <v>0</v>
      </c>
      <c r="J68" s="35">
        <v>0</v>
      </c>
      <c r="K68" s="35">
        <v>0</v>
      </c>
      <c r="L68" s="35">
        <v>0</v>
      </c>
      <c r="M68" s="35">
        <f>F68*G68</f>
        <v>358.29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f t="shared" si="14"/>
        <v>358.29</v>
      </c>
    </row>
    <row r="69" spans="1:21">
      <c r="A69" s="63" t="s">
        <v>240</v>
      </c>
      <c r="B69" s="8" t="s">
        <v>80</v>
      </c>
      <c r="C69" s="63" t="s">
        <v>81</v>
      </c>
      <c r="D69" s="8" t="s">
        <v>34</v>
      </c>
      <c r="E69" s="64">
        <v>2</v>
      </c>
      <c r="F69" s="33">
        <v>2</v>
      </c>
      <c r="G69" s="51">
        <v>53.32</v>
      </c>
      <c r="H69" s="65">
        <f t="shared" si="13"/>
        <v>0.10664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f>F69*G69</f>
        <v>106.64</v>
      </c>
      <c r="R69" s="35">
        <v>0</v>
      </c>
      <c r="S69" s="35">
        <v>0</v>
      </c>
      <c r="T69" s="35">
        <v>0</v>
      </c>
      <c r="U69" s="35">
        <f t="shared" si="14"/>
        <v>106.64</v>
      </c>
    </row>
    <row r="70" spans="1:21">
      <c r="A70" s="143"/>
      <c r="B70" s="17" t="s">
        <v>82</v>
      </c>
      <c r="C70" s="63"/>
      <c r="D70" s="8"/>
      <c r="E70" s="64"/>
      <c r="F70" s="51"/>
      <c r="G70" s="51"/>
      <c r="H70" s="65" t="s">
        <v>45</v>
      </c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</row>
    <row r="71" spans="1:21">
      <c r="A71" s="63" t="s">
        <v>241</v>
      </c>
      <c r="B71" s="8" t="s">
        <v>83</v>
      </c>
      <c r="C71" s="63" t="s">
        <v>84</v>
      </c>
      <c r="D71" s="8"/>
      <c r="E71" s="64">
        <v>4</v>
      </c>
      <c r="F71" s="51">
        <v>0.4</v>
      </c>
      <c r="G71" s="51">
        <v>536.23</v>
      </c>
      <c r="H71" s="65">
        <f t="shared" si="13"/>
        <v>0.21449200000000002</v>
      </c>
      <c r="I71" s="35">
        <v>0</v>
      </c>
      <c r="J71" s="35">
        <f>G71*0.5</f>
        <v>268.11500000000001</v>
      </c>
      <c r="K71" s="35">
        <v>0</v>
      </c>
      <c r="L71" s="35">
        <v>0</v>
      </c>
      <c r="M71" s="35">
        <f>G71*0.2</f>
        <v>107.24600000000001</v>
      </c>
      <c r="N71" s="35">
        <v>0</v>
      </c>
      <c r="O71" s="35">
        <f>G71*0.3</f>
        <v>160.869</v>
      </c>
      <c r="P71" s="35">
        <f>G71*0.1</f>
        <v>53.623000000000005</v>
      </c>
      <c r="Q71" s="35">
        <v>0</v>
      </c>
      <c r="R71" s="35">
        <v>0</v>
      </c>
      <c r="S71" s="35">
        <v>0</v>
      </c>
      <c r="T71" s="35">
        <v>0</v>
      </c>
      <c r="U71" s="35">
        <f>SUM(I71:T71)</f>
        <v>589.85300000000007</v>
      </c>
    </row>
    <row r="72" spans="1:21">
      <c r="A72" s="63" t="s">
        <v>242</v>
      </c>
      <c r="B72" s="8" t="s">
        <v>103</v>
      </c>
      <c r="C72" s="63" t="s">
        <v>36</v>
      </c>
      <c r="D72" s="8"/>
      <c r="E72" s="64">
        <v>1</v>
      </c>
      <c r="F72" s="62">
        <v>1</v>
      </c>
      <c r="G72" s="51">
        <v>911.85</v>
      </c>
      <c r="H72" s="65">
        <f>F72*G72/1000</f>
        <v>0.91185000000000005</v>
      </c>
      <c r="I72" s="35">
        <v>0</v>
      </c>
      <c r="J72" s="35">
        <v>0</v>
      </c>
      <c r="K72" s="35">
        <v>0</v>
      </c>
      <c r="L72" s="35">
        <v>0</v>
      </c>
      <c r="M72" s="35">
        <f>G72*2</f>
        <v>1823.7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f t="shared" ref="U72:U73" si="15">SUM(I72:T72)</f>
        <v>1823.7</v>
      </c>
    </row>
    <row r="73" spans="1:21">
      <c r="A73" s="63" t="s">
        <v>243</v>
      </c>
      <c r="B73" s="8" t="s">
        <v>105</v>
      </c>
      <c r="C73" s="63" t="s">
        <v>36</v>
      </c>
      <c r="D73" s="8"/>
      <c r="E73" s="64">
        <v>1</v>
      </c>
      <c r="F73" s="51">
        <v>1</v>
      </c>
      <c r="G73" s="51">
        <v>383.25</v>
      </c>
      <c r="H73" s="65">
        <f>G73*F73/1000</f>
        <v>0.38324999999999998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f t="shared" si="15"/>
        <v>0</v>
      </c>
    </row>
    <row r="74" spans="1:21">
      <c r="A74" s="143"/>
      <c r="B74" s="67" t="s">
        <v>85</v>
      </c>
      <c r="C74" s="63"/>
      <c r="D74" s="8"/>
      <c r="E74" s="64"/>
      <c r="F74" s="51"/>
      <c r="G74" s="51" t="s">
        <v>45</v>
      </c>
      <c r="H74" s="65" t="s">
        <v>45</v>
      </c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</row>
    <row r="75" spans="1:21" s="1" customFormat="1">
      <c r="A75" s="66" t="s">
        <v>86</v>
      </c>
      <c r="B75" s="68" t="s">
        <v>87</v>
      </c>
      <c r="C75" s="66" t="s">
        <v>79</v>
      </c>
      <c r="D75" s="15"/>
      <c r="E75" s="69"/>
      <c r="F75" s="52">
        <v>0.1</v>
      </c>
      <c r="G75" s="52">
        <v>2949.85</v>
      </c>
      <c r="H75" s="65">
        <f t="shared" si="13"/>
        <v>0.294985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35">
        <f>SUM(I75:T75)</f>
        <v>0</v>
      </c>
    </row>
    <row r="76" spans="1:21" s="20" customFormat="1">
      <c r="A76" s="144"/>
      <c r="B76" s="19" t="s">
        <v>28</v>
      </c>
      <c r="C76" s="70"/>
      <c r="D76" s="71"/>
      <c r="E76" s="72"/>
      <c r="F76" s="56"/>
      <c r="G76" s="56"/>
      <c r="H76" s="73">
        <f>SUM(H54:H75)</f>
        <v>77.259265635999995</v>
      </c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>
        <f>SUM(U54:U75)</f>
        <v>65435.925635999993</v>
      </c>
    </row>
    <row r="77" spans="1:21">
      <c r="A77" s="145" t="s">
        <v>147</v>
      </c>
      <c r="B77" s="10" t="s">
        <v>148</v>
      </c>
      <c r="C77" s="75"/>
      <c r="D77" s="76"/>
      <c r="E77" s="122"/>
      <c r="F77" s="77">
        <v>1</v>
      </c>
      <c r="G77" s="78">
        <v>7140.7</v>
      </c>
      <c r="H77" s="65">
        <f>G77*F77/1000</f>
        <v>7.1406999999999998</v>
      </c>
      <c r="I77" s="35">
        <v>0</v>
      </c>
      <c r="J77" s="35">
        <v>0</v>
      </c>
      <c r="K77" s="35">
        <v>0</v>
      </c>
      <c r="L77" s="35">
        <v>0</v>
      </c>
      <c r="M77" s="36">
        <v>0</v>
      </c>
      <c r="N77" s="35">
        <v>0</v>
      </c>
      <c r="O77" s="35">
        <v>0</v>
      </c>
      <c r="P77" s="35">
        <v>0</v>
      </c>
      <c r="Q77" s="35">
        <f>G77</f>
        <v>7140.7</v>
      </c>
      <c r="R77" s="35">
        <v>0</v>
      </c>
      <c r="S77" s="35">
        <v>0</v>
      </c>
      <c r="T77" s="35">
        <v>0</v>
      </c>
      <c r="U77" s="35">
        <f>SUM(I77:T77)</f>
        <v>7140.7</v>
      </c>
    </row>
    <row r="78" spans="1:21" ht="12.75" customHeight="1">
      <c r="A78" s="63"/>
      <c r="B78" s="74" t="s">
        <v>88</v>
      </c>
      <c r="C78" s="63" t="s">
        <v>89</v>
      </c>
      <c r="D78" s="79"/>
      <c r="E78" s="51">
        <v>2409</v>
      </c>
      <c r="F78" s="51">
        <f>SUM(E78*12)</f>
        <v>28908</v>
      </c>
      <c r="G78" s="80">
        <v>2.54</v>
      </c>
      <c r="H78" s="65">
        <f>SUM(F78*G78/1000)</f>
        <v>73.426320000000004</v>
      </c>
      <c r="I78" s="35">
        <f>F78/12*G78</f>
        <v>6118.86</v>
      </c>
      <c r="J78" s="35">
        <f>F78/12*G78</f>
        <v>6118.86</v>
      </c>
      <c r="K78" s="35">
        <f>F78/12*G78</f>
        <v>6118.86</v>
      </c>
      <c r="L78" s="35">
        <f>F78/12*G78</f>
        <v>6118.86</v>
      </c>
      <c r="M78" s="35">
        <f>F78/12*G78</f>
        <v>6118.86</v>
      </c>
      <c r="N78" s="35">
        <f>F78/12*G78</f>
        <v>6118.86</v>
      </c>
      <c r="O78" s="35">
        <f>F78/12*G78</f>
        <v>6118.86</v>
      </c>
      <c r="P78" s="35">
        <f>F78/12*G78</f>
        <v>6118.86</v>
      </c>
      <c r="Q78" s="35">
        <f>F78/12*G78</f>
        <v>6118.86</v>
      </c>
      <c r="R78" s="35">
        <f>F78/12*G78</f>
        <v>6118.86</v>
      </c>
      <c r="S78" s="35">
        <f>F78/12*G78</f>
        <v>6118.86</v>
      </c>
      <c r="T78" s="35">
        <f>F78/12*G78</f>
        <v>6118.86</v>
      </c>
      <c r="U78" s="35">
        <f>SUM(I78:T78)</f>
        <v>73426.319999999992</v>
      </c>
    </row>
    <row r="79" spans="1:21" s="18" customFormat="1">
      <c r="A79" s="81"/>
      <c r="B79" s="19" t="s">
        <v>28</v>
      </c>
      <c r="C79" s="82"/>
      <c r="D79" s="83"/>
      <c r="E79" s="84"/>
      <c r="F79" s="42"/>
      <c r="G79" s="85"/>
      <c r="H79" s="43">
        <f>SUM(H77:H78)</f>
        <v>80.567019999999999</v>
      </c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>
        <f>SUM(U77:U78)</f>
        <v>80567.01999999999</v>
      </c>
    </row>
    <row r="80" spans="1:21" ht="25.5" customHeight="1">
      <c r="A80" s="143"/>
      <c r="B80" s="8" t="s">
        <v>90</v>
      </c>
      <c r="C80" s="63"/>
      <c r="D80" s="86"/>
      <c r="E80" s="32">
        <f>E78</f>
        <v>2409</v>
      </c>
      <c r="F80" s="51">
        <f>E80*12</f>
        <v>28908</v>
      </c>
      <c r="G80" s="51">
        <v>3.05</v>
      </c>
      <c r="H80" s="65">
        <f>F80*G80/1000</f>
        <v>88.169399999999996</v>
      </c>
      <c r="I80" s="35">
        <f>F80/12*G80</f>
        <v>7347.45</v>
      </c>
      <c r="J80" s="35">
        <f>F80/12*G80</f>
        <v>7347.45</v>
      </c>
      <c r="K80" s="35">
        <f>F80/12*G80</f>
        <v>7347.45</v>
      </c>
      <c r="L80" s="35">
        <f>F80/12*G80</f>
        <v>7347.45</v>
      </c>
      <c r="M80" s="35">
        <f>F80/12*G80</f>
        <v>7347.45</v>
      </c>
      <c r="N80" s="35">
        <f>F80/12*G80</f>
        <v>7347.45</v>
      </c>
      <c r="O80" s="35">
        <f>F80/12*G80</f>
        <v>7347.45</v>
      </c>
      <c r="P80" s="35">
        <f>F80/12*G80</f>
        <v>7347.45</v>
      </c>
      <c r="Q80" s="35">
        <f>F80/12*G80</f>
        <v>7347.45</v>
      </c>
      <c r="R80" s="35">
        <f>F80/12*G80</f>
        <v>7347.45</v>
      </c>
      <c r="S80" s="35">
        <f>F80/12*G80</f>
        <v>7347.45</v>
      </c>
      <c r="T80" s="35">
        <f>F80/12*G80</f>
        <v>7347.45</v>
      </c>
      <c r="U80" s="35">
        <f>SUM(I80:T80)</f>
        <v>88169.39999999998</v>
      </c>
    </row>
    <row r="81" spans="1:21" s="18" customFormat="1">
      <c r="A81" s="81"/>
      <c r="B81" s="87" t="s">
        <v>91</v>
      </c>
      <c r="C81" s="88"/>
      <c r="D81" s="87"/>
      <c r="E81" s="42"/>
      <c r="F81" s="42"/>
      <c r="G81" s="42"/>
      <c r="H81" s="73">
        <f>H80</f>
        <v>88.169399999999996</v>
      </c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118">
        <f>U80</f>
        <v>88169.39999999998</v>
      </c>
    </row>
    <row r="82" spans="1:21" s="18" customFormat="1">
      <c r="A82" s="81"/>
      <c r="B82" s="87" t="s">
        <v>92</v>
      </c>
      <c r="C82" s="89"/>
      <c r="D82" s="90"/>
      <c r="E82" s="91"/>
      <c r="F82" s="91"/>
      <c r="G82" s="91"/>
      <c r="H82" s="73">
        <f>SUM(H81+H79+H76+H52+H41+H32+H22)</f>
        <v>609.14622330199995</v>
      </c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118">
        <f>SUM(U81+U79+U76+U52+U41+U32+U22)</f>
        <v>568503.94825199991</v>
      </c>
    </row>
    <row r="83" spans="1:21">
      <c r="A83" s="143"/>
      <c r="B83" s="86" t="s">
        <v>93</v>
      </c>
      <c r="C83" s="63"/>
      <c r="D83" s="86"/>
      <c r="E83" s="51"/>
      <c r="F83" s="51"/>
      <c r="G83" s="51" t="s">
        <v>94</v>
      </c>
      <c r="H83" s="92">
        <f>E80</f>
        <v>2409</v>
      </c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</row>
    <row r="84" spans="1:21" s="18" customFormat="1">
      <c r="A84" s="81"/>
      <c r="B84" s="90" t="s">
        <v>95</v>
      </c>
      <c r="C84" s="89"/>
      <c r="D84" s="90"/>
      <c r="E84" s="91"/>
      <c r="F84" s="91"/>
      <c r="G84" s="91"/>
      <c r="H84" s="93">
        <f>SUM(H82/H83/12*1000)</f>
        <v>21.071890940293343</v>
      </c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119"/>
    </row>
    <row r="85" spans="1:21">
      <c r="A85" s="94"/>
      <c r="B85" s="86"/>
      <c r="C85" s="63"/>
      <c r="D85" s="86"/>
      <c r="E85" s="51"/>
      <c r="F85" s="51"/>
      <c r="G85" s="51"/>
      <c r="H85" s="9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20"/>
    </row>
    <row r="86" spans="1:21">
      <c r="A86" s="143"/>
      <c r="B86" s="67" t="s">
        <v>96</v>
      </c>
      <c r="C86" s="63"/>
      <c r="D86" s="86"/>
      <c r="E86" s="51"/>
      <c r="F86" s="51"/>
      <c r="G86" s="51"/>
      <c r="H86" s="5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</row>
    <row r="87" spans="1:21">
      <c r="A87" s="123" t="s">
        <v>244</v>
      </c>
      <c r="B87" s="124" t="s">
        <v>187</v>
      </c>
      <c r="C87" s="123" t="s">
        <v>152</v>
      </c>
      <c r="D87" s="8"/>
      <c r="E87" s="64"/>
      <c r="F87" s="51">
        <v>5</v>
      </c>
      <c r="G87" s="51">
        <v>185.81</v>
      </c>
      <c r="H87" s="65">
        <f>G87*F87/1000</f>
        <v>0.92904999999999993</v>
      </c>
      <c r="I87" s="35">
        <f>G87*3</f>
        <v>557.43000000000006</v>
      </c>
      <c r="J87" s="35">
        <f>G87</f>
        <v>185.81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f>G87</f>
        <v>185.81</v>
      </c>
      <c r="T87" s="35">
        <v>0</v>
      </c>
      <c r="U87" s="35">
        <f>SUM(I87:T87)</f>
        <v>929.05</v>
      </c>
    </row>
    <row r="88" spans="1:21" ht="25.5">
      <c r="A88" s="123" t="s">
        <v>245</v>
      </c>
      <c r="B88" s="124" t="s">
        <v>153</v>
      </c>
      <c r="C88" s="123" t="s">
        <v>154</v>
      </c>
      <c r="D88" s="8"/>
      <c r="E88" s="64"/>
      <c r="F88" s="51">
        <v>1</v>
      </c>
      <c r="G88" s="51">
        <v>195.95</v>
      </c>
      <c r="H88" s="65">
        <f>G88*F88/1000</f>
        <v>0.19594999999999999</v>
      </c>
      <c r="I88" s="35">
        <f>G88</f>
        <v>195.95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f t="shared" ref="U88:U123" si="16">SUM(I88:T88)</f>
        <v>195.95</v>
      </c>
    </row>
    <row r="89" spans="1:21" ht="25.5">
      <c r="A89" s="125" t="s">
        <v>246</v>
      </c>
      <c r="B89" s="124" t="s">
        <v>155</v>
      </c>
      <c r="C89" s="123" t="s">
        <v>156</v>
      </c>
      <c r="D89" s="8"/>
      <c r="E89" s="64"/>
      <c r="F89" s="51">
        <v>3</v>
      </c>
      <c r="G89" s="51">
        <v>559.62</v>
      </c>
      <c r="H89" s="65">
        <f>G89*F89/1000</f>
        <v>1.67886</v>
      </c>
      <c r="I89" s="35">
        <f>G89</f>
        <v>559.62</v>
      </c>
      <c r="J89" s="35">
        <v>0</v>
      </c>
      <c r="K89" s="35">
        <v>0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f>G89*2</f>
        <v>1119.24</v>
      </c>
      <c r="T89" s="35">
        <v>0</v>
      </c>
      <c r="U89" s="35">
        <f t="shared" si="16"/>
        <v>1678.8600000000001</v>
      </c>
    </row>
    <row r="90" spans="1:21" ht="25.5">
      <c r="A90" s="126" t="s">
        <v>157</v>
      </c>
      <c r="B90" s="127" t="s">
        <v>171</v>
      </c>
      <c r="C90" s="128" t="s">
        <v>158</v>
      </c>
      <c r="D90" s="129"/>
      <c r="E90" s="130"/>
      <c r="F90" s="130">
        <v>11</v>
      </c>
      <c r="G90" s="130">
        <v>2057</v>
      </c>
      <c r="H90" s="131">
        <f t="shared" ref="H90:H92" si="17">G90*F90/1000</f>
        <v>22.626999999999999</v>
      </c>
      <c r="I90" s="35">
        <f>G90*5.5</f>
        <v>11313.5</v>
      </c>
      <c r="J90" s="35">
        <f>G90*1.5</f>
        <v>3085.5</v>
      </c>
      <c r="K90" s="35">
        <v>0</v>
      </c>
      <c r="L90" s="35">
        <f>G90*2</f>
        <v>4114</v>
      </c>
      <c r="M90" s="35">
        <v>0</v>
      </c>
      <c r="N90" s="35">
        <v>0</v>
      </c>
      <c r="O90" s="35">
        <v>0</v>
      </c>
      <c r="P90" s="35">
        <f>G90*2</f>
        <v>4114</v>
      </c>
      <c r="Q90" s="35">
        <v>0</v>
      </c>
      <c r="R90" s="35">
        <v>0</v>
      </c>
      <c r="S90" s="35">
        <v>0</v>
      </c>
      <c r="T90" s="35">
        <v>0</v>
      </c>
      <c r="U90" s="35">
        <f t="shared" si="16"/>
        <v>22627</v>
      </c>
    </row>
    <row r="91" spans="1:21" ht="25.5">
      <c r="A91" s="128" t="s">
        <v>247</v>
      </c>
      <c r="B91" s="127" t="s">
        <v>159</v>
      </c>
      <c r="C91" s="115" t="s">
        <v>63</v>
      </c>
      <c r="D91" s="86"/>
      <c r="E91" s="51"/>
      <c r="F91" s="51">
        <v>8</v>
      </c>
      <c r="G91" s="51">
        <v>180.15</v>
      </c>
      <c r="H91" s="65">
        <f t="shared" si="17"/>
        <v>1.4412</v>
      </c>
      <c r="I91" s="35">
        <f>G91*2</f>
        <v>360.3</v>
      </c>
      <c r="J91" s="35">
        <f>G91*3</f>
        <v>540.45000000000005</v>
      </c>
      <c r="K91" s="35">
        <v>0</v>
      </c>
      <c r="L91" s="35">
        <v>0</v>
      </c>
      <c r="M91" s="35">
        <f>G91</f>
        <v>180.15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f>G91</f>
        <v>180.15</v>
      </c>
      <c r="T91" s="35">
        <f>G91</f>
        <v>180.15</v>
      </c>
      <c r="U91" s="35">
        <f t="shared" si="16"/>
        <v>1441.2000000000003</v>
      </c>
    </row>
    <row r="92" spans="1:21" ht="25.5" customHeight="1">
      <c r="A92" s="123" t="s">
        <v>229</v>
      </c>
      <c r="B92" s="124" t="s">
        <v>160</v>
      </c>
      <c r="C92" s="123" t="s">
        <v>60</v>
      </c>
      <c r="D92" s="86"/>
      <c r="E92" s="51"/>
      <c r="F92" s="51">
        <f>7/100</f>
        <v>7.0000000000000007E-2</v>
      </c>
      <c r="G92" s="51">
        <v>3397.65</v>
      </c>
      <c r="H92" s="65">
        <f t="shared" si="17"/>
        <v>0.23783550000000003</v>
      </c>
      <c r="I92" s="35">
        <f>G92*0.04</f>
        <v>135.90600000000001</v>
      </c>
      <c r="J92" s="35">
        <v>0</v>
      </c>
      <c r="K92" s="35">
        <v>0</v>
      </c>
      <c r="L92" s="35">
        <f>G92*0.01</f>
        <v>33.976500000000001</v>
      </c>
      <c r="M92" s="35">
        <v>0</v>
      </c>
      <c r="N92" s="35">
        <v>0</v>
      </c>
      <c r="O92" s="35">
        <v>0</v>
      </c>
      <c r="P92" s="35">
        <f>G92*0.01</f>
        <v>33.976500000000001</v>
      </c>
      <c r="Q92" s="35">
        <v>0</v>
      </c>
      <c r="R92" s="35">
        <v>0</v>
      </c>
      <c r="S92" s="35">
        <v>0</v>
      </c>
      <c r="T92" s="35">
        <f>G92*0.01</f>
        <v>33.976500000000001</v>
      </c>
      <c r="U92" s="35">
        <f t="shared" si="16"/>
        <v>237.83549999999997</v>
      </c>
    </row>
    <row r="93" spans="1:21" ht="25.5">
      <c r="A93" s="126" t="s">
        <v>248</v>
      </c>
      <c r="B93" s="127" t="s">
        <v>143</v>
      </c>
      <c r="C93" s="115" t="s">
        <v>63</v>
      </c>
      <c r="D93" s="86"/>
      <c r="E93" s="51"/>
      <c r="F93" s="51">
        <v>4</v>
      </c>
      <c r="G93" s="51">
        <v>79.09</v>
      </c>
      <c r="H93" s="65">
        <f t="shared" ref="H93:H112" si="18">G93*F93/1000</f>
        <v>0.31636000000000003</v>
      </c>
      <c r="I93" s="35">
        <f>G93</f>
        <v>79.09</v>
      </c>
      <c r="J93" s="35">
        <f>G93</f>
        <v>79.09</v>
      </c>
      <c r="K93" s="35">
        <v>0</v>
      </c>
      <c r="L93" s="35">
        <v>0</v>
      </c>
      <c r="M93" s="35">
        <f>G93*2</f>
        <v>158.18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f t="shared" si="16"/>
        <v>316.36</v>
      </c>
    </row>
    <row r="94" spans="1:21">
      <c r="A94" s="123" t="s">
        <v>249</v>
      </c>
      <c r="B94" s="124" t="s">
        <v>161</v>
      </c>
      <c r="C94" s="125" t="s">
        <v>162</v>
      </c>
      <c r="D94" s="86"/>
      <c r="E94" s="51"/>
      <c r="F94" s="51">
        <v>1</v>
      </c>
      <c r="G94" s="51">
        <v>18</v>
      </c>
      <c r="H94" s="65">
        <f t="shared" si="18"/>
        <v>1.7999999999999999E-2</v>
      </c>
      <c r="I94" s="35">
        <f>G94</f>
        <v>18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f t="shared" si="16"/>
        <v>18</v>
      </c>
    </row>
    <row r="95" spans="1:21" ht="25.5">
      <c r="A95" s="125" t="s">
        <v>250</v>
      </c>
      <c r="B95" s="124" t="s">
        <v>163</v>
      </c>
      <c r="C95" s="123" t="s">
        <v>158</v>
      </c>
      <c r="D95" s="86"/>
      <c r="E95" s="51"/>
      <c r="F95" s="51">
        <v>5</v>
      </c>
      <c r="G95" s="51">
        <v>129.04</v>
      </c>
      <c r="H95" s="65">
        <f t="shared" si="18"/>
        <v>0.64519999999999988</v>
      </c>
      <c r="I95" s="35">
        <v>0</v>
      </c>
      <c r="J95" s="35">
        <f>G95*5</f>
        <v>645.19999999999993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f t="shared" si="16"/>
        <v>645.19999999999993</v>
      </c>
    </row>
    <row r="96" spans="1:21">
      <c r="A96" s="125" t="s">
        <v>251</v>
      </c>
      <c r="B96" s="124" t="s">
        <v>164</v>
      </c>
      <c r="C96" s="123" t="s">
        <v>63</v>
      </c>
      <c r="D96" s="86"/>
      <c r="E96" s="51"/>
      <c r="F96" s="51">
        <v>1</v>
      </c>
      <c r="G96" s="51">
        <v>124.25</v>
      </c>
      <c r="H96" s="65">
        <f t="shared" si="18"/>
        <v>0.12425</v>
      </c>
      <c r="I96" s="35">
        <v>0</v>
      </c>
      <c r="J96" s="35">
        <f>G96</f>
        <v>124.25</v>
      </c>
      <c r="K96" s="35">
        <v>0</v>
      </c>
      <c r="L96" s="35">
        <v>0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f t="shared" si="16"/>
        <v>124.25</v>
      </c>
    </row>
    <row r="97" spans="1:21">
      <c r="A97" s="123" t="s">
        <v>252</v>
      </c>
      <c r="B97" s="132" t="s">
        <v>165</v>
      </c>
      <c r="C97" s="123" t="s">
        <v>156</v>
      </c>
      <c r="D97" s="86"/>
      <c r="E97" s="51"/>
      <c r="F97" s="51">
        <v>1</v>
      </c>
      <c r="G97" s="51">
        <v>2292.96</v>
      </c>
      <c r="H97" s="65">
        <f t="shared" si="18"/>
        <v>2.2929599999999999</v>
      </c>
      <c r="I97" s="35">
        <v>0</v>
      </c>
      <c r="J97" s="35">
        <f>G97</f>
        <v>2292.96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f t="shared" si="16"/>
        <v>2292.96</v>
      </c>
    </row>
    <row r="98" spans="1:21" ht="12.75" customHeight="1">
      <c r="A98" s="123" t="s">
        <v>157</v>
      </c>
      <c r="B98" s="124" t="s">
        <v>182</v>
      </c>
      <c r="C98" s="123" t="s">
        <v>166</v>
      </c>
      <c r="D98" s="86"/>
      <c r="E98" s="51"/>
      <c r="F98" s="51">
        <v>1</v>
      </c>
      <c r="G98" s="51">
        <v>8279</v>
      </c>
      <c r="H98" s="65">
        <f t="shared" si="18"/>
        <v>8.2789999999999999</v>
      </c>
      <c r="I98" s="35">
        <v>0</v>
      </c>
      <c r="J98" s="35">
        <f>G98</f>
        <v>8279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f t="shared" si="16"/>
        <v>8279</v>
      </c>
    </row>
    <row r="99" spans="1:21" ht="12.75" customHeight="1">
      <c r="A99" s="123" t="s">
        <v>157</v>
      </c>
      <c r="B99" s="124" t="s">
        <v>167</v>
      </c>
      <c r="C99" s="123" t="s">
        <v>166</v>
      </c>
      <c r="D99" s="86"/>
      <c r="E99" s="51"/>
      <c r="F99" s="51">
        <v>1</v>
      </c>
      <c r="G99" s="51">
        <v>7522</v>
      </c>
      <c r="H99" s="65">
        <f t="shared" si="18"/>
        <v>7.5220000000000002</v>
      </c>
      <c r="I99" s="35"/>
      <c r="J99" s="35"/>
      <c r="K99" s="35"/>
      <c r="L99" s="35"/>
      <c r="M99" s="35"/>
      <c r="N99" s="35"/>
      <c r="O99" s="35"/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f t="shared" si="16"/>
        <v>0</v>
      </c>
    </row>
    <row r="100" spans="1:21" ht="25.5" customHeight="1">
      <c r="A100" s="126" t="s">
        <v>253</v>
      </c>
      <c r="B100" s="127" t="s">
        <v>183</v>
      </c>
      <c r="C100" s="128" t="s">
        <v>156</v>
      </c>
      <c r="D100" s="86"/>
      <c r="E100" s="51"/>
      <c r="F100" s="51">
        <v>1</v>
      </c>
      <c r="G100" s="51">
        <v>625.07000000000005</v>
      </c>
      <c r="H100" s="65">
        <f t="shared" si="18"/>
        <v>0.62507000000000001</v>
      </c>
      <c r="I100" s="35">
        <v>0</v>
      </c>
      <c r="J100" s="35">
        <v>0</v>
      </c>
      <c r="K100" s="35">
        <v>0</v>
      </c>
      <c r="L100" s="35">
        <v>0</v>
      </c>
      <c r="M100" s="35">
        <f>G100</f>
        <v>625.07000000000005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f t="shared" si="16"/>
        <v>625.07000000000005</v>
      </c>
    </row>
    <row r="101" spans="1:21" ht="25.5" customHeight="1">
      <c r="A101" s="123" t="s">
        <v>254</v>
      </c>
      <c r="B101" s="124" t="s">
        <v>199</v>
      </c>
      <c r="C101" s="123" t="s">
        <v>162</v>
      </c>
      <c r="D101" s="86"/>
      <c r="E101" s="51"/>
      <c r="F101" s="51">
        <v>3</v>
      </c>
      <c r="G101" s="51">
        <v>771.29</v>
      </c>
      <c r="H101" s="65">
        <f t="shared" si="18"/>
        <v>2.3138700000000001</v>
      </c>
      <c r="I101" s="35">
        <v>0</v>
      </c>
      <c r="J101" s="35">
        <v>0</v>
      </c>
      <c r="K101" s="35">
        <v>0</v>
      </c>
      <c r="L101" s="35">
        <v>0</v>
      </c>
      <c r="M101" s="35">
        <f>G101</f>
        <v>771.29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f>G101*2</f>
        <v>1542.58</v>
      </c>
      <c r="U101" s="35">
        <f t="shared" si="16"/>
        <v>2313.87</v>
      </c>
    </row>
    <row r="102" spans="1:21" ht="25.5" customHeight="1">
      <c r="A102" s="123" t="s">
        <v>254</v>
      </c>
      <c r="B102" s="124" t="s">
        <v>192</v>
      </c>
      <c r="C102" s="123" t="s">
        <v>162</v>
      </c>
      <c r="D102" s="86"/>
      <c r="E102" s="51"/>
      <c r="F102" s="51">
        <v>2</v>
      </c>
      <c r="G102" s="51">
        <v>960.74</v>
      </c>
      <c r="H102" s="65">
        <f t="shared" si="18"/>
        <v>1.9214800000000001</v>
      </c>
      <c r="I102" s="35">
        <v>0</v>
      </c>
      <c r="J102" s="35">
        <v>0</v>
      </c>
      <c r="K102" s="35">
        <v>0</v>
      </c>
      <c r="L102" s="35">
        <v>0</v>
      </c>
      <c r="M102" s="35">
        <f>G102</f>
        <v>960.74</v>
      </c>
      <c r="N102" s="35">
        <v>0</v>
      </c>
      <c r="O102" s="35">
        <f>G102</f>
        <v>960.74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f t="shared" si="16"/>
        <v>1921.48</v>
      </c>
    </row>
    <row r="103" spans="1:21" ht="12.75" customHeight="1">
      <c r="A103" s="123" t="s">
        <v>193</v>
      </c>
      <c r="B103" s="124" t="s">
        <v>194</v>
      </c>
      <c r="C103" s="123" t="s">
        <v>63</v>
      </c>
      <c r="D103" s="86"/>
      <c r="E103" s="51"/>
      <c r="F103" s="51">
        <v>2</v>
      </c>
      <c r="G103" s="51">
        <v>27.36</v>
      </c>
      <c r="H103" s="65">
        <f t="shared" si="18"/>
        <v>5.4719999999999998E-2</v>
      </c>
      <c r="I103" s="35">
        <v>0</v>
      </c>
      <c r="J103" s="35">
        <v>0</v>
      </c>
      <c r="K103" s="35">
        <v>0</v>
      </c>
      <c r="L103" s="35">
        <v>0</v>
      </c>
      <c r="M103" s="35">
        <f t="shared" ref="M103:M105" si="19">G103</f>
        <v>27.36</v>
      </c>
      <c r="N103" s="35">
        <v>0</v>
      </c>
      <c r="O103" s="35">
        <f>G103</f>
        <v>27.36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f t="shared" si="16"/>
        <v>54.72</v>
      </c>
    </row>
    <row r="104" spans="1:21" ht="12.75" customHeight="1">
      <c r="A104" s="123" t="s">
        <v>193</v>
      </c>
      <c r="B104" s="124" t="s">
        <v>196</v>
      </c>
      <c r="C104" s="123" t="s">
        <v>63</v>
      </c>
      <c r="D104" s="86"/>
      <c r="E104" s="51"/>
      <c r="F104" s="51">
        <v>2</v>
      </c>
      <c r="G104" s="51">
        <v>50.01</v>
      </c>
      <c r="H104" s="65">
        <f t="shared" si="18"/>
        <v>0.10002</v>
      </c>
      <c r="I104" s="35">
        <v>0</v>
      </c>
      <c r="J104" s="35">
        <v>0</v>
      </c>
      <c r="K104" s="35">
        <v>0</v>
      </c>
      <c r="L104" s="35">
        <v>0</v>
      </c>
      <c r="M104" s="35">
        <f>G104*2</f>
        <v>100.02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f t="shared" si="16"/>
        <v>100.02</v>
      </c>
    </row>
    <row r="105" spans="1:21" ht="12.75" customHeight="1">
      <c r="A105" s="123" t="s">
        <v>193</v>
      </c>
      <c r="B105" s="124" t="s">
        <v>197</v>
      </c>
      <c r="C105" s="123" t="s">
        <v>63</v>
      </c>
      <c r="D105" s="86"/>
      <c r="E105" s="51"/>
      <c r="F105" s="51">
        <v>1</v>
      </c>
      <c r="G105" s="51">
        <v>47.59</v>
      </c>
      <c r="H105" s="65">
        <f t="shared" si="18"/>
        <v>4.759E-2</v>
      </c>
      <c r="I105" s="35">
        <v>0</v>
      </c>
      <c r="J105" s="35">
        <v>0</v>
      </c>
      <c r="K105" s="35">
        <v>0</v>
      </c>
      <c r="L105" s="35">
        <v>0</v>
      </c>
      <c r="M105" s="35">
        <f t="shared" si="19"/>
        <v>47.59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f t="shared" si="16"/>
        <v>47.59</v>
      </c>
    </row>
    <row r="106" spans="1:21" ht="12.75" customHeight="1">
      <c r="A106" s="123" t="s">
        <v>193</v>
      </c>
      <c r="B106" s="124" t="s">
        <v>198</v>
      </c>
      <c r="C106" s="123" t="s">
        <v>63</v>
      </c>
      <c r="D106" s="86"/>
      <c r="E106" s="51"/>
      <c r="F106" s="51">
        <v>5</v>
      </c>
      <c r="G106" s="51">
        <v>109.73</v>
      </c>
      <c r="H106" s="65">
        <f t="shared" si="18"/>
        <v>0.54864999999999997</v>
      </c>
      <c r="I106" s="35">
        <v>0</v>
      </c>
      <c r="J106" s="35">
        <v>0</v>
      </c>
      <c r="K106" s="35">
        <v>0</v>
      </c>
      <c r="L106" s="35">
        <v>0</v>
      </c>
      <c r="M106" s="35">
        <f>G106*3</f>
        <v>329.19</v>
      </c>
      <c r="N106" s="35">
        <v>0</v>
      </c>
      <c r="O106" s="35">
        <f>G106</f>
        <v>109.73</v>
      </c>
      <c r="P106" s="35">
        <v>0</v>
      </c>
      <c r="Q106" s="35">
        <v>0</v>
      </c>
      <c r="R106" s="35">
        <v>0</v>
      </c>
      <c r="S106" s="35">
        <v>0</v>
      </c>
      <c r="T106" s="35">
        <f>G106</f>
        <v>109.73</v>
      </c>
      <c r="U106" s="35">
        <f t="shared" si="16"/>
        <v>548.65</v>
      </c>
    </row>
    <row r="107" spans="1:21" ht="12.75" customHeight="1">
      <c r="A107" s="123" t="s">
        <v>193</v>
      </c>
      <c r="B107" s="124" t="s">
        <v>195</v>
      </c>
      <c r="C107" s="123" t="s">
        <v>63</v>
      </c>
      <c r="D107" s="86"/>
      <c r="E107" s="51"/>
      <c r="F107" s="51">
        <v>2</v>
      </c>
      <c r="G107" s="51">
        <v>61.81</v>
      </c>
      <c r="H107" s="65">
        <f t="shared" si="18"/>
        <v>0.12362000000000001</v>
      </c>
      <c r="I107" s="35">
        <v>0</v>
      </c>
      <c r="J107" s="35">
        <v>0</v>
      </c>
      <c r="K107" s="35">
        <v>0</v>
      </c>
      <c r="L107" s="35">
        <v>0</v>
      </c>
      <c r="M107" s="35">
        <f>G107*2</f>
        <v>123.62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f t="shared" si="16"/>
        <v>123.62</v>
      </c>
    </row>
    <row r="108" spans="1:21" ht="12.75" customHeight="1">
      <c r="A108" s="123" t="s">
        <v>193</v>
      </c>
      <c r="B108" s="124" t="s">
        <v>200</v>
      </c>
      <c r="C108" s="123" t="s">
        <v>63</v>
      </c>
      <c r="D108" s="86"/>
      <c r="E108" s="51"/>
      <c r="F108" s="51">
        <v>4</v>
      </c>
      <c r="G108" s="51">
        <v>78.89</v>
      </c>
      <c r="H108" s="65">
        <f t="shared" si="18"/>
        <v>0.31556000000000001</v>
      </c>
      <c r="I108" s="35">
        <v>0</v>
      </c>
      <c r="J108" s="35">
        <v>0</v>
      </c>
      <c r="K108" s="35">
        <v>0</v>
      </c>
      <c r="L108" s="35">
        <v>0</v>
      </c>
      <c r="M108" s="35">
        <f>G108*2</f>
        <v>157.78</v>
      </c>
      <c r="N108" s="35">
        <v>0</v>
      </c>
      <c r="O108" s="35">
        <f>G108</f>
        <v>78.89</v>
      </c>
      <c r="P108" s="35">
        <v>0</v>
      </c>
      <c r="Q108" s="35">
        <v>0</v>
      </c>
      <c r="R108" s="35">
        <v>0</v>
      </c>
      <c r="S108" s="35">
        <v>0</v>
      </c>
      <c r="T108" s="35">
        <f>G108</f>
        <v>78.89</v>
      </c>
      <c r="U108" s="35">
        <f t="shared" si="16"/>
        <v>315.56</v>
      </c>
    </row>
    <row r="109" spans="1:21" ht="25.5" customHeight="1">
      <c r="A109" s="126" t="s">
        <v>157</v>
      </c>
      <c r="B109" s="127" t="s">
        <v>261</v>
      </c>
      <c r="C109" s="128" t="s">
        <v>158</v>
      </c>
      <c r="D109" s="129"/>
      <c r="E109" s="130"/>
      <c r="F109" s="130">
        <v>4</v>
      </c>
      <c r="G109" s="130">
        <v>1272</v>
      </c>
      <c r="H109" s="131">
        <f t="shared" ref="H109" si="20">G109*F109/1000</f>
        <v>5.0880000000000001</v>
      </c>
      <c r="I109" s="35">
        <v>0</v>
      </c>
      <c r="J109" s="35">
        <v>0</v>
      </c>
      <c r="K109" s="35">
        <v>0</v>
      </c>
      <c r="L109" s="35">
        <v>0</v>
      </c>
      <c r="M109" s="35">
        <f>G109*4</f>
        <v>5088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f t="shared" si="16"/>
        <v>5088</v>
      </c>
    </row>
    <row r="110" spans="1:21" ht="25.5" customHeight="1">
      <c r="A110" s="126" t="s">
        <v>157</v>
      </c>
      <c r="B110" s="127" t="s">
        <v>262</v>
      </c>
      <c r="C110" s="128" t="s">
        <v>158</v>
      </c>
      <c r="D110" s="129"/>
      <c r="E110" s="130"/>
      <c r="F110" s="130">
        <v>4</v>
      </c>
      <c r="G110" s="130">
        <v>1206</v>
      </c>
      <c r="H110" s="131">
        <f>G110*F110/1000</f>
        <v>4.8239999999999998</v>
      </c>
      <c r="I110" s="35">
        <v>0</v>
      </c>
      <c r="J110" s="35">
        <v>0</v>
      </c>
      <c r="K110" s="35">
        <v>0</v>
      </c>
      <c r="L110" s="35">
        <v>0</v>
      </c>
      <c r="M110" s="35">
        <f>G110*4</f>
        <v>4824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f t="shared" si="16"/>
        <v>4824</v>
      </c>
    </row>
    <row r="111" spans="1:21" ht="25.5" customHeight="1">
      <c r="A111" s="126" t="s">
        <v>157</v>
      </c>
      <c r="B111" s="127" t="s">
        <v>263</v>
      </c>
      <c r="C111" s="128" t="s">
        <v>158</v>
      </c>
      <c r="D111" s="129"/>
      <c r="E111" s="130"/>
      <c r="F111" s="130">
        <v>2</v>
      </c>
      <c r="G111" s="130">
        <v>1187</v>
      </c>
      <c r="H111" s="131">
        <f t="shared" si="18"/>
        <v>2.3740000000000001</v>
      </c>
      <c r="I111" s="35">
        <v>0</v>
      </c>
      <c r="J111" s="35">
        <v>0</v>
      </c>
      <c r="K111" s="35">
        <v>0</v>
      </c>
      <c r="L111" s="35">
        <v>0</v>
      </c>
      <c r="M111" s="35">
        <f>G111*2</f>
        <v>2374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f t="shared" si="16"/>
        <v>2374</v>
      </c>
    </row>
    <row r="112" spans="1:21">
      <c r="A112" s="123" t="s">
        <v>255</v>
      </c>
      <c r="B112" s="124" t="s">
        <v>184</v>
      </c>
      <c r="C112" s="123" t="s">
        <v>185</v>
      </c>
      <c r="D112" s="8"/>
      <c r="E112" s="64"/>
      <c r="F112" s="51">
        <f>1/100</f>
        <v>0.01</v>
      </c>
      <c r="G112" s="51">
        <v>7033.13</v>
      </c>
      <c r="H112" s="65">
        <f t="shared" si="18"/>
        <v>7.0331299999999999E-2</v>
      </c>
      <c r="I112" s="35">
        <v>0</v>
      </c>
      <c r="J112" s="35">
        <v>0</v>
      </c>
      <c r="K112" s="35">
        <v>0</v>
      </c>
      <c r="L112" s="35">
        <v>0</v>
      </c>
      <c r="M112" s="35">
        <f>G112*0.01</f>
        <v>70.331299999999999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f t="shared" si="16"/>
        <v>70.331299999999999</v>
      </c>
    </row>
    <row r="113" spans="1:23" ht="25.5">
      <c r="A113" s="125" t="s">
        <v>256</v>
      </c>
      <c r="B113" s="124" t="s">
        <v>186</v>
      </c>
      <c r="C113" s="123" t="s">
        <v>63</v>
      </c>
      <c r="D113" s="8"/>
      <c r="E113" s="64"/>
      <c r="F113" s="51">
        <v>1</v>
      </c>
      <c r="G113" s="51">
        <v>2179.33</v>
      </c>
      <c r="H113" s="65">
        <f t="shared" ref="H113:H123" si="21">G113*F113/1000</f>
        <v>2.1793299999999998</v>
      </c>
      <c r="I113" s="35">
        <v>0</v>
      </c>
      <c r="J113" s="35">
        <v>0</v>
      </c>
      <c r="K113" s="35">
        <v>0</v>
      </c>
      <c r="L113" s="35">
        <v>0</v>
      </c>
      <c r="M113" s="35">
        <f>G113</f>
        <v>2179.33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f t="shared" si="16"/>
        <v>2179.33</v>
      </c>
    </row>
    <row r="114" spans="1:23">
      <c r="A114" s="125" t="s">
        <v>157</v>
      </c>
      <c r="B114" s="124" t="s">
        <v>188</v>
      </c>
      <c r="C114" s="123" t="s">
        <v>166</v>
      </c>
      <c r="D114" s="8"/>
      <c r="E114" s="64"/>
      <c r="F114" s="51">
        <v>1</v>
      </c>
      <c r="G114" s="51">
        <v>302</v>
      </c>
      <c r="H114" s="65">
        <f t="shared" si="21"/>
        <v>0.30199999999999999</v>
      </c>
      <c r="I114" s="35">
        <v>0</v>
      </c>
      <c r="J114" s="35">
        <v>0</v>
      </c>
      <c r="K114" s="35">
        <v>0</v>
      </c>
      <c r="L114" s="35">
        <v>0</v>
      </c>
      <c r="M114" s="35">
        <f>G114</f>
        <v>302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f t="shared" si="16"/>
        <v>302</v>
      </c>
    </row>
    <row r="115" spans="1:23" ht="25.5">
      <c r="A115" s="123" t="s">
        <v>257</v>
      </c>
      <c r="B115" s="124" t="s">
        <v>201</v>
      </c>
      <c r="C115" s="125" t="s">
        <v>202</v>
      </c>
      <c r="D115" s="86"/>
      <c r="E115" s="51"/>
      <c r="F115" s="51">
        <v>1</v>
      </c>
      <c r="G115" s="51">
        <v>286.55</v>
      </c>
      <c r="H115" s="65">
        <f>G115*F115/1000</f>
        <v>0.28655000000000003</v>
      </c>
      <c r="I115" s="35">
        <v>0</v>
      </c>
      <c r="J115" s="35">
        <v>0</v>
      </c>
      <c r="K115" s="35">
        <v>0</v>
      </c>
      <c r="L115" s="35">
        <v>0</v>
      </c>
      <c r="M115" s="35">
        <v>0</v>
      </c>
      <c r="N115" s="35">
        <v>0</v>
      </c>
      <c r="O115" s="35">
        <f>G115*0.5</f>
        <v>143.27500000000001</v>
      </c>
      <c r="P115" s="35">
        <v>0</v>
      </c>
      <c r="Q115" s="35">
        <v>0</v>
      </c>
      <c r="R115" s="35">
        <v>0</v>
      </c>
      <c r="S115" s="35">
        <v>0</v>
      </c>
      <c r="T115" s="35">
        <f>G115*0.5</f>
        <v>143.27500000000001</v>
      </c>
      <c r="U115" s="35">
        <f t="shared" si="16"/>
        <v>286.55</v>
      </c>
      <c r="V115" s="149"/>
      <c r="W115" s="149"/>
    </row>
    <row r="116" spans="1:23" ht="12.75" customHeight="1">
      <c r="A116" s="125" t="s">
        <v>258</v>
      </c>
      <c r="B116" s="124" t="s">
        <v>189</v>
      </c>
      <c r="C116" s="123" t="s">
        <v>158</v>
      </c>
      <c r="D116" s="8"/>
      <c r="E116" s="64"/>
      <c r="F116" s="51">
        <v>10</v>
      </c>
      <c r="G116" s="51">
        <v>83.63</v>
      </c>
      <c r="H116" s="65">
        <f t="shared" si="21"/>
        <v>0.83629999999999993</v>
      </c>
      <c r="I116" s="35">
        <v>0</v>
      </c>
      <c r="J116" s="35">
        <v>0</v>
      </c>
      <c r="K116" s="35">
        <v>0</v>
      </c>
      <c r="L116" s="35">
        <v>0</v>
      </c>
      <c r="M116" s="35">
        <v>0</v>
      </c>
      <c r="N116" s="35">
        <v>0</v>
      </c>
      <c r="O116" s="35">
        <f>G116*10</f>
        <v>836.3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f t="shared" si="16"/>
        <v>836.3</v>
      </c>
    </row>
    <row r="117" spans="1:23" ht="12.75" customHeight="1">
      <c r="A117" s="125" t="s">
        <v>259</v>
      </c>
      <c r="B117" s="124" t="s">
        <v>190</v>
      </c>
      <c r="C117" s="123" t="s">
        <v>63</v>
      </c>
      <c r="D117" s="8"/>
      <c r="E117" s="64"/>
      <c r="F117" s="51">
        <v>1</v>
      </c>
      <c r="G117" s="51">
        <v>149.63999999999999</v>
      </c>
      <c r="H117" s="65">
        <f t="shared" si="21"/>
        <v>0.14964</v>
      </c>
      <c r="I117" s="35">
        <v>0</v>
      </c>
      <c r="J117" s="35">
        <v>0</v>
      </c>
      <c r="K117" s="35">
        <v>0</v>
      </c>
      <c r="L117" s="35">
        <v>0</v>
      </c>
      <c r="M117" s="35">
        <v>0</v>
      </c>
      <c r="N117" s="35">
        <v>0</v>
      </c>
      <c r="O117" s="35">
        <f>G117</f>
        <v>149.63999999999999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f t="shared" si="16"/>
        <v>149.63999999999999</v>
      </c>
    </row>
    <row r="118" spans="1:23" ht="12.75" customHeight="1">
      <c r="A118" s="147" t="s">
        <v>260</v>
      </c>
      <c r="B118" s="148" t="s">
        <v>191</v>
      </c>
      <c r="C118" s="128" t="s">
        <v>63</v>
      </c>
      <c r="D118" s="8"/>
      <c r="E118" s="64"/>
      <c r="F118" s="51">
        <v>1</v>
      </c>
      <c r="G118" s="51">
        <v>179.96</v>
      </c>
      <c r="H118" s="65">
        <f t="shared" si="21"/>
        <v>0.17996000000000001</v>
      </c>
      <c r="I118" s="35">
        <v>0</v>
      </c>
      <c r="J118" s="35">
        <v>0</v>
      </c>
      <c r="K118" s="35">
        <v>0</v>
      </c>
      <c r="L118" s="35">
        <v>0</v>
      </c>
      <c r="M118" s="35">
        <v>0</v>
      </c>
      <c r="N118" s="35">
        <v>0</v>
      </c>
      <c r="O118" s="35">
        <f>G118</f>
        <v>179.96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f t="shared" si="16"/>
        <v>179.96</v>
      </c>
    </row>
    <row r="119" spans="1:23" ht="12.75" customHeight="1">
      <c r="A119" s="147" t="s">
        <v>157</v>
      </c>
      <c r="B119" s="148" t="s">
        <v>270</v>
      </c>
      <c r="C119" s="128" t="s">
        <v>166</v>
      </c>
      <c r="D119" s="8"/>
      <c r="E119" s="64"/>
      <c r="F119" s="51">
        <v>1</v>
      </c>
      <c r="G119" s="51">
        <v>60121</v>
      </c>
      <c r="H119" s="65">
        <f t="shared" si="21"/>
        <v>60.121000000000002</v>
      </c>
      <c r="I119" s="35">
        <v>0</v>
      </c>
      <c r="J119" s="35">
        <v>0</v>
      </c>
      <c r="K119" s="35">
        <v>0</v>
      </c>
      <c r="L119" s="35">
        <v>0</v>
      </c>
      <c r="M119" s="35">
        <v>0</v>
      </c>
      <c r="N119" s="35">
        <v>0</v>
      </c>
      <c r="O119" s="35">
        <v>0</v>
      </c>
      <c r="P119" s="35">
        <f>G119</f>
        <v>60121</v>
      </c>
      <c r="Q119" s="35">
        <v>0</v>
      </c>
      <c r="R119" s="35">
        <v>0</v>
      </c>
      <c r="S119" s="35">
        <v>0</v>
      </c>
      <c r="T119" s="35">
        <v>0</v>
      </c>
      <c r="U119" s="35">
        <f t="shared" si="16"/>
        <v>60121</v>
      </c>
    </row>
    <row r="120" spans="1:23" ht="25.5" customHeight="1">
      <c r="A120" s="147" t="s">
        <v>144</v>
      </c>
      <c r="B120" s="151" t="s">
        <v>274</v>
      </c>
      <c r="C120" s="152" t="s">
        <v>275</v>
      </c>
      <c r="D120" s="8"/>
      <c r="E120" s="64"/>
      <c r="F120" s="51">
        <v>1</v>
      </c>
      <c r="G120" s="51">
        <v>1835.8</v>
      </c>
      <c r="H120" s="65">
        <f t="shared" si="21"/>
        <v>1.8357999999999999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f>G120</f>
        <v>1835.8</v>
      </c>
      <c r="T120" s="35">
        <v>0</v>
      </c>
      <c r="U120" s="35">
        <f t="shared" si="16"/>
        <v>1835.8</v>
      </c>
    </row>
    <row r="121" spans="1:23" ht="25.5" customHeight="1">
      <c r="A121" s="128" t="s">
        <v>265</v>
      </c>
      <c r="B121" s="127" t="s">
        <v>264</v>
      </c>
      <c r="C121" s="128" t="s">
        <v>162</v>
      </c>
      <c r="D121" s="8"/>
      <c r="E121" s="64"/>
      <c r="F121" s="51">
        <v>1.5</v>
      </c>
      <c r="G121" s="51">
        <v>994.03</v>
      </c>
      <c r="H121" s="65">
        <f t="shared" si="21"/>
        <v>1.4910450000000002</v>
      </c>
      <c r="I121" s="35">
        <v>0</v>
      </c>
      <c r="J121" s="35">
        <v>0</v>
      </c>
      <c r="K121" s="35">
        <v>0</v>
      </c>
      <c r="L121" s="35">
        <v>0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f>G121*1.5</f>
        <v>1491.0450000000001</v>
      </c>
      <c r="T121" s="35">
        <v>0</v>
      </c>
      <c r="U121" s="35">
        <f t="shared" si="16"/>
        <v>1491.0450000000001</v>
      </c>
    </row>
    <row r="122" spans="1:23" ht="12.75" customHeight="1">
      <c r="A122" s="126" t="s">
        <v>273</v>
      </c>
      <c r="B122" s="127" t="s">
        <v>272</v>
      </c>
      <c r="C122" s="128" t="s">
        <v>271</v>
      </c>
      <c r="D122" s="86"/>
      <c r="E122" s="51"/>
      <c r="F122" s="51">
        <v>0.2</v>
      </c>
      <c r="G122" s="51">
        <v>3210.77</v>
      </c>
      <c r="H122" s="65">
        <f>G122*F122/1000</f>
        <v>0.642154</v>
      </c>
      <c r="I122" s="35">
        <v>0</v>
      </c>
      <c r="J122" s="35">
        <v>0</v>
      </c>
      <c r="K122" s="35">
        <v>0</v>
      </c>
      <c r="L122" s="35">
        <v>0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f>G122*0.2</f>
        <v>642.154</v>
      </c>
      <c r="T122" s="35">
        <v>0</v>
      </c>
      <c r="U122" s="35">
        <f>SUM(I122:T122)</f>
        <v>642.154</v>
      </c>
    </row>
    <row r="123" spans="1:23" ht="12.75" customHeight="1">
      <c r="A123" s="128" t="s">
        <v>266</v>
      </c>
      <c r="B123" s="127" t="s">
        <v>267</v>
      </c>
      <c r="C123" s="128" t="s">
        <v>63</v>
      </c>
      <c r="D123" s="86"/>
      <c r="E123" s="51"/>
      <c r="F123" s="51">
        <v>1</v>
      </c>
      <c r="G123" s="51">
        <v>81.73</v>
      </c>
      <c r="H123" s="65">
        <f t="shared" si="21"/>
        <v>8.1729999999999997E-2</v>
      </c>
      <c r="I123" s="35">
        <v>0</v>
      </c>
      <c r="J123" s="35">
        <v>0</v>
      </c>
      <c r="K123" s="35">
        <v>0</v>
      </c>
      <c r="L123" s="35">
        <v>0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f>G123</f>
        <v>81.73</v>
      </c>
      <c r="U123" s="35">
        <f t="shared" si="16"/>
        <v>81.73</v>
      </c>
    </row>
    <row r="124" spans="1:23">
      <c r="A124" s="96"/>
      <c r="B124" s="97" t="s">
        <v>97</v>
      </c>
      <c r="C124" s="96"/>
      <c r="D124" s="96"/>
      <c r="E124" s="91"/>
      <c r="F124" s="91"/>
      <c r="G124" s="91"/>
      <c r="H124" s="43">
        <f>SUM(H87:H123)</f>
        <v>132.82008580000002</v>
      </c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42">
        <f>SUM(U87:U123)</f>
        <v>125298.0858</v>
      </c>
    </row>
    <row r="125" spans="1:23" ht="12" customHeight="1">
      <c r="A125" s="94"/>
      <c r="B125" s="98"/>
      <c r="C125" s="99"/>
      <c r="D125" s="99"/>
      <c r="E125" s="51"/>
      <c r="F125" s="51"/>
      <c r="G125" s="51"/>
      <c r="H125" s="100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121"/>
    </row>
    <row r="126" spans="1:23" s="18" customFormat="1" ht="25.5">
      <c r="A126" s="143"/>
      <c r="B126" s="17" t="s">
        <v>98</v>
      </c>
      <c r="C126" s="63"/>
      <c r="D126" s="86"/>
      <c r="E126" s="51"/>
      <c r="F126" s="51"/>
      <c r="G126" s="51"/>
      <c r="H126" s="101">
        <f>H124/E127/12*1000</f>
        <v>4.5945788639822895</v>
      </c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121"/>
    </row>
    <row r="127" spans="1:23">
      <c r="A127" s="81"/>
      <c r="B127" s="102" t="s">
        <v>99</v>
      </c>
      <c r="C127" s="103"/>
      <c r="D127" s="102"/>
      <c r="E127" s="146">
        <v>2409</v>
      </c>
      <c r="F127" s="104">
        <f>SUM(E127*12)</f>
        <v>28908</v>
      </c>
      <c r="G127" s="105">
        <f>H84+H126</f>
        <v>25.666469804275632</v>
      </c>
      <c r="H127" s="106">
        <f>SUM(F127*G127/1000)</f>
        <v>741.96630910199997</v>
      </c>
      <c r="I127" s="91">
        <f t="shared" ref="I127:T127" si="22">SUM(I11:I126)</f>
        <v>62030.673610000005</v>
      </c>
      <c r="J127" s="91">
        <f t="shared" si="22"/>
        <v>59462.549089999986</v>
      </c>
      <c r="K127" s="91">
        <f t="shared" si="22"/>
        <v>41692.424586000001</v>
      </c>
      <c r="L127" s="91">
        <f t="shared" si="22"/>
        <v>53482.938389999988</v>
      </c>
      <c r="M127" s="91">
        <f t="shared" si="22"/>
        <v>112186.69819066665</v>
      </c>
      <c r="N127" s="91">
        <f t="shared" si="22"/>
        <v>37109.378226666668</v>
      </c>
      <c r="O127" s="91">
        <f t="shared" si="22"/>
        <v>39999.426946666674</v>
      </c>
      <c r="P127" s="91">
        <f t="shared" si="22"/>
        <v>107286.51772666666</v>
      </c>
      <c r="Q127" s="91">
        <f t="shared" si="22"/>
        <v>50936.561082666667</v>
      </c>
      <c r="R127" s="91">
        <f t="shared" si="22"/>
        <v>37109.378226666668</v>
      </c>
      <c r="S127" s="91">
        <f t="shared" si="22"/>
        <v>47146.623586000002</v>
      </c>
      <c r="T127" s="91">
        <f t="shared" si="22"/>
        <v>45358.864390000002</v>
      </c>
      <c r="U127" s="42">
        <f>U82+U124</f>
        <v>693802.03405199992</v>
      </c>
    </row>
    <row r="128" spans="1:23">
      <c r="A128" s="24"/>
      <c r="B128" s="24"/>
      <c r="C128" s="24"/>
      <c r="D128" s="24"/>
      <c r="E128" s="107"/>
      <c r="F128" s="107"/>
      <c r="G128" s="107"/>
      <c r="H128" s="107"/>
      <c r="I128" s="107"/>
      <c r="J128" s="107"/>
      <c r="K128" s="107"/>
      <c r="L128" s="107"/>
      <c r="M128" s="24"/>
      <c r="N128" s="107"/>
      <c r="O128" s="24"/>
      <c r="P128" s="24"/>
      <c r="Q128" s="24"/>
      <c r="R128" s="24"/>
      <c r="S128" s="24"/>
      <c r="T128" s="24"/>
      <c r="U128" s="24"/>
    </row>
    <row r="129" spans="1:21">
      <c r="A129" s="24"/>
      <c r="B129" s="24"/>
      <c r="C129" s="24"/>
      <c r="D129" s="24"/>
      <c r="E129" s="107"/>
      <c r="F129" s="107"/>
      <c r="G129" s="107"/>
      <c r="H129" s="107"/>
      <c r="I129" s="107"/>
      <c r="J129" s="108"/>
      <c r="K129" s="109"/>
      <c r="L129" s="108"/>
      <c r="M129" s="107"/>
      <c r="N129" s="24"/>
      <c r="O129" s="24"/>
      <c r="P129" s="24"/>
      <c r="Q129" s="24"/>
      <c r="R129" s="24"/>
      <c r="S129" s="24"/>
      <c r="T129" s="24"/>
      <c r="U129" s="24"/>
    </row>
    <row r="130" spans="1:21" ht="45">
      <c r="A130" s="24"/>
      <c r="B130" s="114" t="s">
        <v>149</v>
      </c>
      <c r="C130" s="156">
        <v>-202906.8</v>
      </c>
      <c r="D130" s="157"/>
      <c r="E130" s="157"/>
      <c r="F130" s="158"/>
      <c r="G130" s="107"/>
      <c r="H130" s="107"/>
      <c r="I130" s="107"/>
      <c r="J130" s="108"/>
      <c r="K130" s="109"/>
      <c r="L130" s="108"/>
      <c r="M130" s="107"/>
      <c r="N130" s="24"/>
      <c r="O130" s="24"/>
      <c r="P130" s="24"/>
      <c r="Q130" s="24"/>
      <c r="R130" s="24"/>
      <c r="S130" s="24"/>
      <c r="T130" s="24"/>
      <c r="U130" s="24"/>
    </row>
    <row r="131" spans="1:21" ht="30">
      <c r="A131" s="24"/>
      <c r="B131" s="114" t="s">
        <v>169</v>
      </c>
      <c r="C131" s="156">
        <f>53600.35*12</f>
        <v>643204.19999999995</v>
      </c>
      <c r="D131" s="157"/>
      <c r="E131" s="157"/>
      <c r="F131" s="158"/>
      <c r="G131" s="107"/>
      <c r="H131" s="107"/>
      <c r="I131" s="107"/>
      <c r="J131" s="108"/>
      <c r="K131" s="109"/>
      <c r="L131" s="108"/>
      <c r="M131" s="107"/>
      <c r="N131" s="24"/>
      <c r="O131" s="24"/>
      <c r="P131" s="24"/>
      <c r="Q131" s="24"/>
      <c r="R131" s="24"/>
      <c r="S131" s="24"/>
      <c r="T131" s="24"/>
      <c r="U131" s="24"/>
    </row>
    <row r="132" spans="1:21" ht="30">
      <c r="A132" s="24"/>
      <c r="B132" s="114" t="s">
        <v>170</v>
      </c>
      <c r="C132" s="156">
        <f>SUM(U127-U124)</f>
        <v>568503.94825199991</v>
      </c>
      <c r="D132" s="157"/>
      <c r="E132" s="157"/>
      <c r="F132" s="158"/>
      <c r="G132" s="107"/>
      <c r="H132" s="107"/>
      <c r="I132" s="107"/>
      <c r="J132" s="108"/>
      <c r="K132" s="109"/>
      <c r="L132" s="108"/>
      <c r="M132" s="107"/>
      <c r="N132" s="24"/>
      <c r="O132" s="24"/>
      <c r="P132" s="24"/>
      <c r="Q132" s="24"/>
      <c r="R132" s="24"/>
      <c r="S132" s="24"/>
      <c r="T132" s="24"/>
      <c r="U132" s="24"/>
    </row>
    <row r="133" spans="1:21" ht="30">
      <c r="A133" s="24"/>
      <c r="B133" s="114" t="s">
        <v>150</v>
      </c>
      <c r="C133" s="156">
        <f>SUM(U124)</f>
        <v>125298.0858</v>
      </c>
      <c r="D133" s="157"/>
      <c r="E133" s="157"/>
      <c r="F133" s="158"/>
      <c r="G133" s="107"/>
      <c r="H133" s="107"/>
      <c r="I133" s="107"/>
      <c r="J133" s="108"/>
      <c r="K133" s="109"/>
      <c r="L133" s="108"/>
      <c r="M133" s="107"/>
      <c r="N133" s="24"/>
      <c r="O133" s="24"/>
      <c r="P133" s="24"/>
      <c r="Q133" s="24"/>
      <c r="R133" s="24"/>
      <c r="S133" s="24"/>
      <c r="T133" s="24"/>
      <c r="U133" s="24"/>
    </row>
    <row r="134" spans="1:21" ht="18">
      <c r="A134" s="24"/>
      <c r="B134" s="116" t="s">
        <v>151</v>
      </c>
      <c r="C134" s="162">
        <f>50206.28+47464.28+57388.41+42453.95+75968.65+44673.09+49920.96+59754.31+47029.8+53950.95+43590.25+57661.52</f>
        <v>630062.44999999995</v>
      </c>
      <c r="D134" s="160"/>
      <c r="E134" s="160"/>
      <c r="F134" s="161"/>
      <c r="G134" s="24"/>
      <c r="I134" s="110" t="s">
        <v>104</v>
      </c>
      <c r="J134" s="111"/>
      <c r="K134" s="112"/>
      <c r="L134" s="113"/>
      <c r="M134" s="110"/>
      <c r="N134" s="110"/>
      <c r="O134" s="24"/>
      <c r="P134" s="24"/>
      <c r="Q134" s="24"/>
      <c r="R134" s="24"/>
      <c r="S134" s="24"/>
      <c r="T134" s="24"/>
      <c r="U134" s="24"/>
    </row>
    <row r="135" spans="1:21" ht="78.75">
      <c r="A135" s="24"/>
      <c r="B135" s="133" t="s">
        <v>268</v>
      </c>
      <c r="C135" s="163">
        <v>126425.18</v>
      </c>
      <c r="D135" s="164"/>
      <c r="E135" s="164"/>
      <c r="F135" s="165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</row>
    <row r="136" spans="1:21" ht="45">
      <c r="A136" s="24"/>
      <c r="B136" s="114" t="s">
        <v>269</v>
      </c>
      <c r="C136" s="159">
        <f>SUM(U127-C131)+C130</f>
        <v>-152308.96594800003</v>
      </c>
      <c r="D136" s="160"/>
      <c r="E136" s="160"/>
      <c r="F136" s="161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</row>
    <row r="138" spans="1:21">
      <c r="J138" s="3"/>
      <c r="K138" s="4"/>
      <c r="L138" s="4"/>
      <c r="M138" s="2"/>
    </row>
    <row r="139" spans="1:21">
      <c r="G139" s="5"/>
      <c r="H139" s="5"/>
    </row>
    <row r="140" spans="1:21">
      <c r="G140" s="6"/>
    </row>
  </sheetData>
  <mergeCells count="11">
    <mergeCell ref="C136:F136"/>
    <mergeCell ref="C131:F131"/>
    <mergeCell ref="C132:F132"/>
    <mergeCell ref="C133:F133"/>
    <mergeCell ref="C134:F134"/>
    <mergeCell ref="C135:F135"/>
    <mergeCell ref="B3:L3"/>
    <mergeCell ref="B4:L4"/>
    <mergeCell ref="B5:L5"/>
    <mergeCell ref="B6:L6"/>
    <mergeCell ref="C130:F130"/>
  </mergeCells>
  <pageMargins left="0.31496062992125984" right="0.31496062992125984" top="0.15748031496062992" bottom="0.19685039370078741" header="0.15748031496062992" footer="0.15748031496062992"/>
  <pageSetup paperSize="9" scale="38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"/>
  <sheetViews>
    <sheetView workbookViewId="0">
      <selection sqref="A1:K17"/>
    </sheetView>
  </sheetViews>
  <sheetFormatPr defaultRowHeight="12.75"/>
  <cols>
    <col min="1" max="9" width="11.140625" customWidth="1"/>
    <col min="10" max="11" width="12.140625" customWidth="1"/>
  </cols>
  <sheetData>
    <row r="1" spans="1:11">
      <c r="A1" t="s">
        <v>111</v>
      </c>
      <c r="B1" t="s">
        <v>112</v>
      </c>
      <c r="C1" t="s">
        <v>113</v>
      </c>
      <c r="D1" t="s">
        <v>114</v>
      </c>
      <c r="E1" t="s">
        <v>115</v>
      </c>
      <c r="F1" t="s">
        <v>116</v>
      </c>
      <c r="G1" t="s">
        <v>117</v>
      </c>
      <c r="H1" t="s">
        <v>118</v>
      </c>
      <c r="I1" t="s">
        <v>119</v>
      </c>
      <c r="J1" t="s">
        <v>120</v>
      </c>
      <c r="K1" t="s">
        <v>121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Стр.,9</vt:lpstr>
      <vt:lpstr>Лист1</vt:lpstr>
      <vt:lpstr>'Стр.,9'!Область_печати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cp:lastPrinted>2018-04-06T08:45:08Z</cp:lastPrinted>
  <dcterms:created xsi:type="dcterms:W3CDTF">2014-02-05T12:20:20Z</dcterms:created>
  <dcterms:modified xsi:type="dcterms:W3CDTF">2018-04-06T08:45:32Z</dcterms:modified>
</cp:coreProperties>
</file>