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20" yWindow="-150" windowWidth="15480" windowHeight="8100" activeTab="11"/>
  </bookViews>
  <sheets>
    <sheet name="01.21" sheetId="17" r:id="rId1"/>
    <sheet name="02.21" sheetId="30" r:id="rId2"/>
    <sheet name="03.21" sheetId="31" r:id="rId3"/>
    <sheet name="04.21" sheetId="32" r:id="rId4"/>
    <sheet name="05.21" sheetId="33" r:id="rId5"/>
    <sheet name="06.21" sheetId="34" r:id="rId6"/>
    <sheet name="07.21" sheetId="35" r:id="rId7"/>
    <sheet name="08.21" sheetId="36" r:id="rId8"/>
    <sheet name="09.21" sheetId="37" r:id="rId9"/>
    <sheet name="10.21" sheetId="38" r:id="rId10"/>
    <sheet name="11.21" sheetId="39" r:id="rId11"/>
    <sheet name="12.21" sheetId="40" r:id="rId12"/>
  </sheets>
  <definedNames>
    <definedName name="_xlnm._FilterDatabase" localSheetId="0" hidden="1">'01.21'!$I$12:$I$61</definedName>
    <definedName name="_xlnm._FilterDatabase" localSheetId="1" hidden="1">'02.21'!$I$12:$I$61</definedName>
    <definedName name="_xlnm._FilterDatabase" localSheetId="2" hidden="1">'03.21'!$I$12:$I$61</definedName>
    <definedName name="_xlnm.Print_Area" localSheetId="0">'01.21'!$A$1:$I$115</definedName>
    <definedName name="_xlnm.Print_Area" localSheetId="1">'02.21'!$A$1:$I$117</definedName>
    <definedName name="_xlnm.Print_Area" localSheetId="2">'03.21'!$A$1:$I$121</definedName>
  </definedNames>
  <calcPr calcId="125725"/>
</workbook>
</file>

<file path=xl/calcChain.xml><?xml version="1.0" encoding="utf-8"?>
<calcChain xmlns="http://schemas.openxmlformats.org/spreadsheetml/2006/main">
  <c r="I98" i="40"/>
  <c r="I96"/>
  <c r="I88"/>
  <c r="I91"/>
  <c r="I90"/>
  <c r="I58"/>
  <c r="I37"/>
  <c r="I95" i="39"/>
  <c r="I94"/>
  <c r="I93"/>
  <c r="I92"/>
  <c r="I99" s="1"/>
  <c r="I91"/>
  <c r="I59"/>
  <c r="I37"/>
  <c r="I88" i="38" l="1"/>
  <c r="I94"/>
  <c r="I93"/>
  <c r="I91"/>
  <c r="I90"/>
  <c r="I67"/>
  <c r="I109" i="37"/>
  <c r="I108"/>
  <c r="I87"/>
  <c r="I106"/>
  <c r="I96" i="35"/>
  <c r="I95"/>
  <c r="I94"/>
  <c r="I93"/>
  <c r="I90" i="37"/>
  <c r="I66"/>
  <c r="I88" i="36"/>
  <c r="I93"/>
  <c r="I92"/>
  <c r="I91"/>
  <c r="I90"/>
  <c r="I87" i="35"/>
  <c r="I91"/>
  <c r="I60"/>
  <c r="I90"/>
  <c r="I89"/>
  <c r="I83" i="34"/>
  <c r="I91"/>
  <c r="I56"/>
  <c r="I94"/>
  <c r="I93"/>
  <c r="I92"/>
  <c r="I94" i="33"/>
  <c r="I93"/>
  <c r="I92"/>
  <c r="I91"/>
  <c r="I88"/>
  <c r="I95" s="1"/>
  <c r="I96" i="34" l="1"/>
  <c r="I97" i="31"/>
  <c r="I95" i="32" l="1"/>
  <c r="I94"/>
  <c r="I36"/>
  <c r="I96" i="31"/>
  <c r="I95"/>
  <c r="I56"/>
  <c r="I94"/>
  <c r="I93"/>
  <c r="I92"/>
  <c r="I79"/>
  <c r="I41"/>
  <c r="I98" l="1"/>
  <c r="I93" i="30"/>
  <c r="I94" s="1"/>
  <c r="I92"/>
  <c r="I56"/>
  <c r="I36"/>
  <c r="I56" i="17"/>
  <c r="I36"/>
  <c r="I81" i="40"/>
  <c r="I66" i="38" l="1"/>
  <c r="I60" i="37" l="1"/>
  <c r="I65"/>
  <c r="I74" i="35" l="1"/>
  <c r="I36" i="31" l="1"/>
  <c r="I75" i="40"/>
  <c r="F44"/>
  <c r="I44" s="1"/>
  <c r="I43"/>
  <c r="H43"/>
  <c r="F42"/>
  <c r="I42" s="1"/>
  <c r="F41"/>
  <c r="H41" s="1"/>
  <c r="F40"/>
  <c r="H40" s="1"/>
  <c r="F38"/>
  <c r="H38" s="1"/>
  <c r="F25"/>
  <c r="H25" s="1"/>
  <c r="F24"/>
  <c r="I24" s="1"/>
  <c r="F23"/>
  <c r="H23" s="1"/>
  <c r="F22"/>
  <c r="I22" s="1"/>
  <c r="F21"/>
  <c r="H21" s="1"/>
  <c r="F20"/>
  <c r="I20" s="1"/>
  <c r="I19"/>
  <c r="F19"/>
  <c r="H19" s="1"/>
  <c r="E18"/>
  <c r="F18" s="1"/>
  <c r="F17"/>
  <c r="I17" s="1"/>
  <c r="F16"/>
  <c r="H16" s="1"/>
  <c r="H17" l="1"/>
  <c r="H22"/>
  <c r="H42"/>
  <c r="H20"/>
  <c r="H24"/>
  <c r="I41"/>
  <c r="I40"/>
  <c r="I38"/>
  <c r="I18"/>
  <c r="H18"/>
  <c r="I21"/>
  <c r="I23"/>
  <c r="I25"/>
  <c r="I16"/>
  <c r="F25" i="39" l="1"/>
  <c r="H25" s="1"/>
  <c r="F24"/>
  <c r="I24" s="1"/>
  <c r="F23"/>
  <c r="H23" s="1"/>
  <c r="F22"/>
  <c r="I22" s="1"/>
  <c r="F21"/>
  <c r="H21" s="1"/>
  <c r="F20"/>
  <c r="I20" s="1"/>
  <c r="I19"/>
  <c r="F19"/>
  <c r="H19" s="1"/>
  <c r="E18"/>
  <c r="F18" s="1"/>
  <c r="F17"/>
  <c r="I17" s="1"/>
  <c r="F16"/>
  <c r="H16" s="1"/>
  <c r="H20" l="1"/>
  <c r="H17"/>
  <c r="H22"/>
  <c r="I18"/>
  <c r="H18"/>
  <c r="I16"/>
  <c r="I21"/>
  <c r="I23"/>
  <c r="H24"/>
  <c r="I25"/>
  <c r="I44" i="38" l="1"/>
  <c r="F44"/>
  <c r="I64" l="1"/>
  <c r="F64"/>
  <c r="H64" s="1"/>
  <c r="I32"/>
  <c r="H32"/>
  <c r="I31"/>
  <c r="F31"/>
  <c r="H31" s="1"/>
  <c r="I30"/>
  <c r="F30"/>
  <c r="H30" s="1"/>
  <c r="I29"/>
  <c r="F29"/>
  <c r="H29" s="1"/>
  <c r="F25"/>
  <c r="H25" s="1"/>
  <c r="F24"/>
  <c r="I24" s="1"/>
  <c r="F23"/>
  <c r="I23" s="1"/>
  <c r="F22"/>
  <c r="I22" s="1"/>
  <c r="F21"/>
  <c r="I21" s="1"/>
  <c r="F20"/>
  <c r="I20" s="1"/>
  <c r="I19"/>
  <c r="F19"/>
  <c r="H19" s="1"/>
  <c r="E18"/>
  <c r="F18" s="1"/>
  <c r="I18" s="1"/>
  <c r="F17"/>
  <c r="I17" s="1"/>
  <c r="F16"/>
  <c r="I16" s="1"/>
  <c r="F50" i="37"/>
  <c r="F49"/>
  <c r="I51"/>
  <c r="I31"/>
  <c r="H31"/>
  <c r="I30"/>
  <c r="F30"/>
  <c r="H30" s="1"/>
  <c r="I29"/>
  <c r="F29"/>
  <c r="H29" s="1"/>
  <c r="I28"/>
  <c r="F28"/>
  <c r="H28" s="1"/>
  <c r="F25"/>
  <c r="H25" s="1"/>
  <c r="E18"/>
  <c r="F18" s="1"/>
  <c r="F17"/>
  <c r="I17" s="1"/>
  <c r="F16"/>
  <c r="I16" s="1"/>
  <c r="I74" i="36"/>
  <c r="I31"/>
  <c r="H31"/>
  <c r="I30"/>
  <c r="F30"/>
  <c r="H30" s="1"/>
  <c r="I29"/>
  <c r="F29"/>
  <c r="H29" s="1"/>
  <c r="I28"/>
  <c r="F28"/>
  <c r="H28" s="1"/>
  <c r="F25"/>
  <c r="H25" s="1"/>
  <c r="E18"/>
  <c r="F18" s="1"/>
  <c r="H18" s="1"/>
  <c r="F17"/>
  <c r="H17" s="1"/>
  <c r="F16"/>
  <c r="I16" s="1"/>
  <c r="F25" i="3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1" i="38" l="1"/>
  <c r="H16"/>
  <c r="H23"/>
  <c r="H17"/>
  <c r="H18"/>
  <c r="H20"/>
  <c r="H22"/>
  <c r="H24"/>
  <c r="I25"/>
  <c r="H17" i="37"/>
  <c r="I25"/>
  <c r="H18"/>
  <c r="I18"/>
  <c r="H16"/>
  <c r="I25" i="36"/>
  <c r="H16"/>
  <c r="I17"/>
  <c r="I18"/>
  <c r="I18" i="35"/>
  <c r="H18"/>
  <c r="I16"/>
  <c r="H17"/>
  <c r="I19"/>
  <c r="H20"/>
  <c r="I21"/>
  <c r="H22"/>
  <c r="I23"/>
  <c r="H24"/>
  <c r="I25"/>
  <c r="F25" i="34" l="1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5" i="33"/>
  <c r="H25" s="1"/>
  <c r="E18"/>
  <c r="F18" s="1"/>
  <c r="F17"/>
  <c r="H17" s="1"/>
  <c r="F16"/>
  <c r="I16" s="1"/>
  <c r="F25" i="32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5" i="31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5" i="30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25" i="17"/>
  <c r="H25" s="1"/>
  <c r="H22" i="32" l="1"/>
  <c r="H24"/>
  <c r="H22" i="31"/>
  <c r="H17"/>
  <c r="H20"/>
  <c r="H24"/>
  <c r="H22" i="30"/>
  <c r="H17"/>
  <c r="H20"/>
  <c r="H24"/>
  <c r="I18" i="34"/>
  <c r="H18"/>
  <c r="I16"/>
  <c r="H17"/>
  <c r="I19"/>
  <c r="H20"/>
  <c r="I21"/>
  <c r="H22"/>
  <c r="I23"/>
  <c r="H24"/>
  <c r="I25"/>
  <c r="H16" i="33"/>
  <c r="I25"/>
  <c r="H18"/>
  <c r="I18"/>
  <c r="I17"/>
  <c r="I18" i="32"/>
  <c r="H18"/>
  <c r="I16"/>
  <c r="H17"/>
  <c r="I19"/>
  <c r="H20"/>
  <c r="I21"/>
  <c r="I23"/>
  <c r="I25"/>
  <c r="I18" i="31"/>
  <c r="H18"/>
  <c r="I16"/>
  <c r="I19"/>
  <c r="I21"/>
  <c r="I23"/>
  <c r="I25"/>
  <c r="I18" i="30"/>
  <c r="H18"/>
  <c r="I16"/>
  <c r="I19"/>
  <c r="I21"/>
  <c r="I23"/>
  <c r="I25"/>
  <c r="F70" i="33" l="1"/>
  <c r="H70" s="1"/>
  <c r="I70"/>
  <c r="F64"/>
  <c r="F48"/>
  <c r="F47"/>
  <c r="F46"/>
  <c r="F45"/>
  <c r="F44"/>
  <c r="F31"/>
  <c r="F30"/>
  <c r="F29"/>
  <c r="F28"/>
  <c r="F24"/>
  <c r="F23"/>
  <c r="F22"/>
  <c r="F21"/>
  <c r="F20"/>
  <c r="F19"/>
  <c r="F50"/>
  <c r="F49"/>
  <c r="I64"/>
  <c r="I51"/>
  <c r="I65" i="30"/>
  <c r="I84" i="36" l="1"/>
  <c r="E87" i="40" l="1"/>
  <c r="F87" s="1"/>
  <c r="F86"/>
  <c r="I86" s="1"/>
  <c r="I84"/>
  <c r="I83"/>
  <c r="H81"/>
  <c r="I79"/>
  <c r="H79"/>
  <c r="H77"/>
  <c r="H76"/>
  <c r="F75"/>
  <c r="H75" s="1"/>
  <c r="I73"/>
  <c r="H73"/>
  <c r="I72"/>
  <c r="F72"/>
  <c r="H72" s="1"/>
  <c r="I71"/>
  <c r="F71"/>
  <c r="H71" s="1"/>
  <c r="F70"/>
  <c r="H70" s="1"/>
  <c r="F69"/>
  <c r="I69" s="1"/>
  <c r="F68"/>
  <c r="H68" s="1"/>
  <c r="H67"/>
  <c r="I66"/>
  <c r="H66"/>
  <c r="I64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I53"/>
  <c r="H53"/>
  <c r="F52"/>
  <c r="I52" s="1"/>
  <c r="F51"/>
  <c r="H51" s="1"/>
  <c r="I50"/>
  <c r="F50"/>
  <c r="H50" s="1"/>
  <c r="F49"/>
  <c r="H49" s="1"/>
  <c r="F48"/>
  <c r="I48" s="1"/>
  <c r="F47"/>
  <c r="H47" s="1"/>
  <c r="F46"/>
  <c r="I46" s="1"/>
  <c r="F39"/>
  <c r="H39" s="1"/>
  <c r="H37"/>
  <c r="H35"/>
  <c r="H34"/>
  <c r="H33"/>
  <c r="F33"/>
  <c r="I33" s="1"/>
  <c r="I32"/>
  <c r="H32"/>
  <c r="I31"/>
  <c r="F31"/>
  <c r="H31" s="1"/>
  <c r="I30"/>
  <c r="F30"/>
  <c r="H30" s="1"/>
  <c r="I29"/>
  <c r="F29"/>
  <c r="H29" s="1"/>
  <c r="F26"/>
  <c r="I26" s="1"/>
  <c r="H86" l="1"/>
  <c r="H69"/>
  <c r="H26"/>
  <c r="I87"/>
  <c r="H87"/>
  <c r="H88" s="1"/>
  <c r="H46"/>
  <c r="I47"/>
  <c r="H48"/>
  <c r="I49"/>
  <c r="I51"/>
  <c r="H52"/>
  <c r="H59"/>
  <c r="I61"/>
  <c r="I68"/>
  <c r="I70"/>
  <c r="H80" l="1"/>
  <c r="I100"/>
  <c r="F42" i="39" l="1"/>
  <c r="I42" s="1"/>
  <c r="F41"/>
  <c r="I41" s="1"/>
  <c r="F40"/>
  <c r="F39"/>
  <c r="F38"/>
  <c r="F43"/>
  <c r="I43" s="1"/>
  <c r="I44"/>
  <c r="F45"/>
  <c r="I45" s="1"/>
  <c r="F60"/>
  <c r="I60" s="1"/>
  <c r="F62"/>
  <c r="I62" s="1"/>
  <c r="F76"/>
  <c r="H76" s="1"/>
  <c r="E88"/>
  <c r="F88" s="1"/>
  <c r="F87"/>
  <c r="I87" s="1"/>
  <c r="I85"/>
  <c r="I84"/>
  <c r="I82"/>
  <c r="H82"/>
  <c r="I80"/>
  <c r="H80"/>
  <c r="H78"/>
  <c r="H77"/>
  <c r="I76"/>
  <c r="I74"/>
  <c r="H74"/>
  <c r="I73"/>
  <c r="F73"/>
  <c r="H73" s="1"/>
  <c r="I72"/>
  <c r="F72"/>
  <c r="H72" s="1"/>
  <c r="F71"/>
  <c r="I71" s="1"/>
  <c r="F70"/>
  <c r="I70" s="1"/>
  <c r="F69"/>
  <c r="I69" s="1"/>
  <c r="H68"/>
  <c r="I67"/>
  <c r="H67"/>
  <c r="I65"/>
  <c r="H65"/>
  <c r="F65"/>
  <c r="H64"/>
  <c r="I61"/>
  <c r="H61"/>
  <c r="F59"/>
  <c r="I56"/>
  <c r="F56"/>
  <c r="H56" s="1"/>
  <c r="I55"/>
  <c r="F55"/>
  <c r="H55" s="1"/>
  <c r="I54"/>
  <c r="H54"/>
  <c r="F53"/>
  <c r="I53" s="1"/>
  <c r="F52"/>
  <c r="I52" s="1"/>
  <c r="I51"/>
  <c r="F51"/>
  <c r="H51" s="1"/>
  <c r="F50"/>
  <c r="I50" s="1"/>
  <c r="F49"/>
  <c r="I49" s="1"/>
  <c r="F48"/>
  <c r="I48" s="1"/>
  <c r="F47"/>
  <c r="I47" s="1"/>
  <c r="H44"/>
  <c r="H40"/>
  <c r="I39"/>
  <c r="I38"/>
  <c r="H37"/>
  <c r="H35"/>
  <c r="H34"/>
  <c r="H33"/>
  <c r="F33"/>
  <c r="I33" s="1"/>
  <c r="I32"/>
  <c r="H32"/>
  <c r="I31"/>
  <c r="F31"/>
  <c r="H31" s="1"/>
  <c r="I30"/>
  <c r="F30"/>
  <c r="H30" s="1"/>
  <c r="I29"/>
  <c r="F29"/>
  <c r="H29" s="1"/>
  <c r="F26"/>
  <c r="I26" s="1"/>
  <c r="H39" l="1"/>
  <c r="H43"/>
  <c r="H62"/>
  <c r="H87"/>
  <c r="H41"/>
  <c r="H71"/>
  <c r="H69"/>
  <c r="H59"/>
  <c r="H52"/>
  <c r="H50"/>
  <c r="H48"/>
  <c r="H26"/>
  <c r="H88"/>
  <c r="H89" s="1"/>
  <c r="I88"/>
  <c r="I89" s="1"/>
  <c r="H38"/>
  <c r="H42"/>
  <c r="H47"/>
  <c r="H49"/>
  <c r="H53"/>
  <c r="H60"/>
  <c r="H70"/>
  <c r="H81" l="1"/>
  <c r="I101"/>
  <c r="F52" i="38" l="1"/>
  <c r="I52" s="1"/>
  <c r="F51"/>
  <c r="I51" s="1"/>
  <c r="I53"/>
  <c r="E87"/>
  <c r="F87" s="1"/>
  <c r="F86"/>
  <c r="I86" s="1"/>
  <c r="I84"/>
  <c r="I83"/>
  <c r="I81"/>
  <c r="H81"/>
  <c r="I79"/>
  <c r="H79"/>
  <c r="H77"/>
  <c r="H76"/>
  <c r="I75"/>
  <c r="H75"/>
  <c r="I73"/>
  <c r="H73"/>
  <c r="I72"/>
  <c r="F72"/>
  <c r="H72" s="1"/>
  <c r="I71"/>
  <c r="F71"/>
  <c r="H71" s="1"/>
  <c r="F70"/>
  <c r="I70" s="1"/>
  <c r="F69"/>
  <c r="H69" s="1"/>
  <c r="F68"/>
  <c r="I68" s="1"/>
  <c r="H67"/>
  <c r="H66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I50"/>
  <c r="F50"/>
  <c r="H50" s="1"/>
  <c r="F49"/>
  <c r="H49" s="1"/>
  <c r="F48"/>
  <c r="I48" s="1"/>
  <c r="F47"/>
  <c r="H47" s="1"/>
  <c r="F46"/>
  <c r="I46" s="1"/>
  <c r="I43"/>
  <c r="H43"/>
  <c r="F42"/>
  <c r="H42" s="1"/>
  <c r="F41"/>
  <c r="I41" s="1"/>
  <c r="F40"/>
  <c r="H40" s="1"/>
  <c r="H39"/>
  <c r="F38"/>
  <c r="H38" s="1"/>
  <c r="F37"/>
  <c r="I37" s="1"/>
  <c r="I36"/>
  <c r="H36"/>
  <c r="H34"/>
  <c r="H33"/>
  <c r="F26"/>
  <c r="H26" s="1"/>
  <c r="H51" l="1"/>
  <c r="H52"/>
  <c r="H86"/>
  <c r="H70"/>
  <c r="H68"/>
  <c r="H61"/>
  <c r="H58"/>
  <c r="H48"/>
  <c r="H46"/>
  <c r="H41"/>
  <c r="H37"/>
  <c r="I87"/>
  <c r="H87"/>
  <c r="H88" s="1"/>
  <c r="I26"/>
  <c r="I38"/>
  <c r="I40"/>
  <c r="I42"/>
  <c r="I47"/>
  <c r="I49"/>
  <c r="I59"/>
  <c r="I69"/>
  <c r="I72" i="37"/>
  <c r="E86"/>
  <c r="F86" s="1"/>
  <c r="F85"/>
  <c r="H85" s="1"/>
  <c r="I83"/>
  <c r="I82"/>
  <c r="I80"/>
  <c r="H80"/>
  <c r="I78"/>
  <c r="H78"/>
  <c r="H76"/>
  <c r="H75"/>
  <c r="I74"/>
  <c r="H74"/>
  <c r="H72"/>
  <c r="I71"/>
  <c r="F71"/>
  <c r="H71" s="1"/>
  <c r="I70"/>
  <c r="F70"/>
  <c r="H70" s="1"/>
  <c r="F69"/>
  <c r="I69" s="1"/>
  <c r="F68"/>
  <c r="H68" s="1"/>
  <c r="F67"/>
  <c r="I67" s="1"/>
  <c r="H66"/>
  <c r="H65"/>
  <c r="I63"/>
  <c r="F63"/>
  <c r="H63" s="1"/>
  <c r="H62"/>
  <c r="F59"/>
  <c r="I59" s="1"/>
  <c r="I58"/>
  <c r="H58"/>
  <c r="F57"/>
  <c r="H57" s="1"/>
  <c r="F56"/>
  <c r="I56" s="1"/>
  <c r="I53"/>
  <c r="F53"/>
  <c r="H53" s="1"/>
  <c r="I52"/>
  <c r="F52"/>
  <c r="H52" s="1"/>
  <c r="H51"/>
  <c r="I48"/>
  <c r="F48"/>
  <c r="H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F24"/>
  <c r="H24" s="1"/>
  <c r="F23"/>
  <c r="I23" s="1"/>
  <c r="F22"/>
  <c r="H22" s="1"/>
  <c r="F21"/>
  <c r="I21" s="1"/>
  <c r="F20"/>
  <c r="H20" s="1"/>
  <c r="I19"/>
  <c r="F19"/>
  <c r="H19" s="1"/>
  <c r="H80" i="38" l="1"/>
  <c r="H49" i="37"/>
  <c r="I49"/>
  <c r="H50"/>
  <c r="I50"/>
  <c r="I96" i="38"/>
  <c r="H46" i="37"/>
  <c r="H44"/>
  <c r="H40"/>
  <c r="H36"/>
  <c r="H86"/>
  <c r="H87" s="1"/>
  <c r="I86"/>
  <c r="I20"/>
  <c r="H21"/>
  <c r="I22"/>
  <c r="H23"/>
  <c r="I24"/>
  <c r="I37"/>
  <c r="I39"/>
  <c r="I41"/>
  <c r="I45"/>
  <c r="I47"/>
  <c r="H56"/>
  <c r="I57"/>
  <c r="H59"/>
  <c r="H67"/>
  <c r="I68"/>
  <c r="H69"/>
  <c r="I85"/>
  <c r="I111" l="1"/>
  <c r="H79"/>
  <c r="F87" i="36" l="1"/>
  <c r="H87" s="1"/>
  <c r="H88" s="1"/>
  <c r="E87"/>
  <c r="F86"/>
  <c r="H86" s="1"/>
  <c r="I82"/>
  <c r="I81"/>
  <c r="I79"/>
  <c r="H79"/>
  <c r="I77"/>
  <c r="H77"/>
  <c r="H75"/>
  <c r="H74"/>
  <c r="I73"/>
  <c r="H73"/>
  <c r="H71"/>
  <c r="I70"/>
  <c r="F70"/>
  <c r="H70" s="1"/>
  <c r="I69"/>
  <c r="F69"/>
  <c r="H69" s="1"/>
  <c r="F68"/>
  <c r="I68" s="1"/>
  <c r="F67"/>
  <c r="H67" s="1"/>
  <c r="F66"/>
  <c r="I66" s="1"/>
  <c r="H65"/>
  <c r="I64"/>
  <c r="H64"/>
  <c r="I62"/>
  <c r="F62"/>
  <c r="H62" s="1"/>
  <c r="H61"/>
  <c r="F59"/>
  <c r="I59" s="1"/>
  <c r="I58"/>
  <c r="H58"/>
  <c r="F57"/>
  <c r="H57" s="1"/>
  <c r="F56"/>
  <c r="I56" s="1"/>
  <c r="I53"/>
  <c r="F53"/>
  <c r="H53" s="1"/>
  <c r="I52"/>
  <c r="F52"/>
  <c r="H52" s="1"/>
  <c r="H51"/>
  <c r="F50"/>
  <c r="H50" s="1"/>
  <c r="F49"/>
  <c r="H49" s="1"/>
  <c r="I48"/>
  <c r="F48"/>
  <c r="H48" s="1"/>
  <c r="F47"/>
  <c r="H47" s="1"/>
  <c r="F46"/>
  <c r="I46" s="1"/>
  <c r="F45"/>
  <c r="H45" s="1"/>
  <c r="F44"/>
  <c r="I44" s="1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F24"/>
  <c r="H24" s="1"/>
  <c r="F23"/>
  <c r="I23" s="1"/>
  <c r="F22"/>
  <c r="H22" s="1"/>
  <c r="F21"/>
  <c r="I21" s="1"/>
  <c r="F20"/>
  <c r="H20" s="1"/>
  <c r="I19"/>
  <c r="F19"/>
  <c r="H19" s="1"/>
  <c r="I56" i="32"/>
  <c r="E86" i="35"/>
  <c r="F86" s="1"/>
  <c r="F85"/>
  <c r="I85" s="1"/>
  <c r="I83"/>
  <c r="I82"/>
  <c r="I80"/>
  <c r="H80"/>
  <c r="I78"/>
  <c r="H78"/>
  <c r="H76"/>
  <c r="H75"/>
  <c r="H74"/>
  <c r="H72"/>
  <c r="I71"/>
  <c r="F71"/>
  <c r="H71" s="1"/>
  <c r="I70"/>
  <c r="F70"/>
  <c r="H70" s="1"/>
  <c r="F69"/>
  <c r="I69" s="1"/>
  <c r="F68"/>
  <c r="I68" s="1"/>
  <c r="F67"/>
  <c r="I67" s="1"/>
  <c r="H66"/>
  <c r="I65"/>
  <c r="H65"/>
  <c r="I63"/>
  <c r="F63"/>
  <c r="H63" s="1"/>
  <c r="H62"/>
  <c r="F59"/>
  <c r="I59" s="1"/>
  <c r="I58"/>
  <c r="H58"/>
  <c r="F57"/>
  <c r="I57" s="1"/>
  <c r="F56"/>
  <c r="I56" s="1"/>
  <c r="I53"/>
  <c r="F53"/>
  <c r="H53" s="1"/>
  <c r="I52"/>
  <c r="F52"/>
  <c r="H52" s="1"/>
  <c r="H51"/>
  <c r="F50"/>
  <c r="H50" s="1"/>
  <c r="F49"/>
  <c r="H49" s="1"/>
  <c r="I48"/>
  <c r="F48"/>
  <c r="H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H38"/>
  <c r="F37"/>
  <c r="I37" s="1"/>
  <c r="F36"/>
  <c r="I36" s="1"/>
  <c r="I35"/>
  <c r="H35"/>
  <c r="H33"/>
  <c r="H32"/>
  <c r="I31"/>
  <c r="H31"/>
  <c r="I30"/>
  <c r="F30"/>
  <c r="H30" s="1"/>
  <c r="I29"/>
  <c r="F29"/>
  <c r="H29" s="1"/>
  <c r="I28"/>
  <c r="F28"/>
  <c r="H28" s="1"/>
  <c r="H89" i="34"/>
  <c r="H88"/>
  <c r="I87"/>
  <c r="H87"/>
  <c r="H86"/>
  <c r="I85"/>
  <c r="H85"/>
  <c r="E82"/>
  <c r="F82" s="1"/>
  <c r="F81"/>
  <c r="I81" s="1"/>
  <c r="I79"/>
  <c r="I78"/>
  <c r="I76"/>
  <c r="H76"/>
  <c r="I74"/>
  <c r="H74"/>
  <c r="H72"/>
  <c r="H71"/>
  <c r="I70"/>
  <c r="H70"/>
  <c r="H68"/>
  <c r="I67"/>
  <c r="F67"/>
  <c r="H67" s="1"/>
  <c r="I66"/>
  <c r="F66"/>
  <c r="H66" s="1"/>
  <c r="F65"/>
  <c r="H65" s="1"/>
  <c r="F64"/>
  <c r="I64" s="1"/>
  <c r="F63"/>
  <c r="H63" s="1"/>
  <c r="H62"/>
  <c r="I61"/>
  <c r="H61"/>
  <c r="I59"/>
  <c r="F59"/>
  <c r="H59" s="1"/>
  <c r="H58"/>
  <c r="I53"/>
  <c r="F53"/>
  <c r="H53" s="1"/>
  <c r="I52"/>
  <c r="F52"/>
  <c r="H52" s="1"/>
  <c r="H51"/>
  <c r="F50"/>
  <c r="H50" s="1"/>
  <c r="F49"/>
  <c r="H49" s="1"/>
  <c r="I48"/>
  <c r="F48"/>
  <c r="H48" s="1"/>
  <c r="F47"/>
  <c r="I47" s="1"/>
  <c r="F46"/>
  <c r="I46" s="1"/>
  <c r="F45"/>
  <c r="I45" s="1"/>
  <c r="F44"/>
  <c r="I44" s="1"/>
  <c r="I42"/>
  <c r="H42"/>
  <c r="F41"/>
  <c r="I41" s="1"/>
  <c r="F40"/>
  <c r="I40" s="1"/>
  <c r="F39"/>
  <c r="I39" s="1"/>
  <c r="H38"/>
  <c r="F37"/>
  <c r="I37" s="1"/>
  <c r="F36"/>
  <c r="I36" s="1"/>
  <c r="I35"/>
  <c r="H35"/>
  <c r="H33"/>
  <c r="H32"/>
  <c r="I31"/>
  <c r="H31"/>
  <c r="I30"/>
  <c r="F30"/>
  <c r="H30" s="1"/>
  <c r="I29"/>
  <c r="F29"/>
  <c r="H29" s="1"/>
  <c r="I28"/>
  <c r="F28"/>
  <c r="H28" s="1"/>
  <c r="I19" i="33"/>
  <c r="I28"/>
  <c r="I29"/>
  <c r="I30"/>
  <c r="I31"/>
  <c r="I48"/>
  <c r="I69"/>
  <c r="I82"/>
  <c r="I81"/>
  <c r="I62"/>
  <c r="H92"/>
  <c r="H91"/>
  <c r="H90"/>
  <c r="H89"/>
  <c r="E85"/>
  <c r="F85" s="1"/>
  <c r="F84"/>
  <c r="H84" s="1"/>
  <c r="I79"/>
  <c r="H79"/>
  <c r="I77"/>
  <c r="H77"/>
  <c r="H75"/>
  <c r="H74"/>
  <c r="I73"/>
  <c r="H73"/>
  <c r="H71"/>
  <c r="F69"/>
  <c r="H69" s="1"/>
  <c r="F68"/>
  <c r="I68" s="1"/>
  <c r="F67"/>
  <c r="I67" s="1"/>
  <c r="F66"/>
  <c r="I66" s="1"/>
  <c r="H65"/>
  <c r="H64"/>
  <c r="F62"/>
  <c r="H61"/>
  <c r="F59"/>
  <c r="I59" s="1"/>
  <c r="I58"/>
  <c r="H58"/>
  <c r="F57"/>
  <c r="H57" s="1"/>
  <c r="F56"/>
  <c r="I56" s="1"/>
  <c r="I53"/>
  <c r="F53"/>
  <c r="H53" s="1"/>
  <c r="I52"/>
  <c r="F52"/>
  <c r="H52" s="1"/>
  <c r="H51"/>
  <c r="H48"/>
  <c r="H47"/>
  <c r="I46"/>
  <c r="H45"/>
  <c r="I44"/>
  <c r="I42"/>
  <c r="H42"/>
  <c r="F41"/>
  <c r="H41" s="1"/>
  <c r="F40"/>
  <c r="I40" s="1"/>
  <c r="F39"/>
  <c r="H39" s="1"/>
  <c r="H38"/>
  <c r="F37"/>
  <c r="H37" s="1"/>
  <c r="F36"/>
  <c r="I36" s="1"/>
  <c r="I35"/>
  <c r="H35"/>
  <c r="H33"/>
  <c r="H32"/>
  <c r="H31"/>
  <c r="H30"/>
  <c r="H29"/>
  <c r="H28"/>
  <c r="H24"/>
  <c r="I23"/>
  <c r="H22"/>
  <c r="I21"/>
  <c r="H20"/>
  <c r="H19"/>
  <c r="H46" i="34" l="1"/>
  <c r="H81"/>
  <c r="H49" i="33"/>
  <c r="I49"/>
  <c r="H23"/>
  <c r="H50"/>
  <c r="I50"/>
  <c r="H46"/>
  <c r="H21"/>
  <c r="H44"/>
  <c r="H67"/>
  <c r="H68" i="36"/>
  <c r="H66"/>
  <c r="H59"/>
  <c r="H56"/>
  <c r="H46"/>
  <c r="H44"/>
  <c r="H40"/>
  <c r="H36"/>
  <c r="H23"/>
  <c r="H21"/>
  <c r="I20"/>
  <c r="I22"/>
  <c r="I24"/>
  <c r="I37"/>
  <c r="I39"/>
  <c r="I41"/>
  <c r="I45"/>
  <c r="I47"/>
  <c r="I57"/>
  <c r="I67"/>
  <c r="I86"/>
  <c r="I87"/>
  <c r="H85" i="35"/>
  <c r="H68"/>
  <c r="H57"/>
  <c r="H47"/>
  <c r="H45"/>
  <c r="H41"/>
  <c r="H39"/>
  <c r="H37"/>
  <c r="H86"/>
  <c r="H87" s="1"/>
  <c r="I86"/>
  <c r="H36"/>
  <c r="H40"/>
  <c r="H44"/>
  <c r="H46"/>
  <c r="H56"/>
  <c r="H59"/>
  <c r="H67"/>
  <c r="H69"/>
  <c r="H64" i="34"/>
  <c r="H44"/>
  <c r="H40"/>
  <c r="H36"/>
  <c r="I82"/>
  <c r="H82"/>
  <c r="H83" s="1"/>
  <c r="H75"/>
  <c r="H37"/>
  <c r="H39"/>
  <c r="H41"/>
  <c r="H45"/>
  <c r="H47"/>
  <c r="I63"/>
  <c r="I65"/>
  <c r="H40" i="33"/>
  <c r="H36"/>
  <c r="H85"/>
  <c r="H86" s="1"/>
  <c r="I85"/>
  <c r="I20"/>
  <c r="I22"/>
  <c r="I24"/>
  <c r="I37"/>
  <c r="I39"/>
  <c r="I41"/>
  <c r="I45"/>
  <c r="I47"/>
  <c r="H56"/>
  <c r="I57"/>
  <c r="H59"/>
  <c r="H62"/>
  <c r="H66"/>
  <c r="H68"/>
  <c r="I84"/>
  <c r="I86" l="1"/>
  <c r="I97" s="1"/>
  <c r="I98" i="34"/>
  <c r="H78" i="36"/>
  <c r="I98" i="35"/>
  <c r="I95" i="36"/>
  <c r="H79" i="35"/>
  <c r="H78" i="33"/>
  <c r="E89" i="32" l="1"/>
  <c r="F89" s="1"/>
  <c r="F88"/>
  <c r="H88" s="1"/>
  <c r="H86"/>
  <c r="H85"/>
  <c r="I83"/>
  <c r="H83"/>
  <c r="F81"/>
  <c r="H81" s="1"/>
  <c r="I80"/>
  <c r="H80"/>
  <c r="F79"/>
  <c r="H79" s="1"/>
  <c r="H78"/>
  <c r="F77"/>
  <c r="H77" s="1"/>
  <c r="F75"/>
  <c r="I75" s="1"/>
  <c r="F74"/>
  <c r="I74" s="1"/>
  <c r="F72"/>
  <c r="I72" s="1"/>
  <c r="F71"/>
  <c r="I71" s="1"/>
  <c r="F70"/>
  <c r="I70" s="1"/>
  <c r="F69"/>
  <c r="I69" s="1"/>
  <c r="F68"/>
  <c r="I68" s="1"/>
  <c r="F67"/>
  <c r="I67" s="1"/>
  <c r="F66"/>
  <c r="H66" s="1"/>
  <c r="I65"/>
  <c r="F65"/>
  <c r="H65" s="1"/>
  <c r="F63"/>
  <c r="I63" s="1"/>
  <c r="F62"/>
  <c r="H62" s="1"/>
  <c r="H60"/>
  <c r="F59"/>
  <c r="I59" s="1"/>
  <c r="F58"/>
  <c r="H58" s="1"/>
  <c r="F57"/>
  <c r="I57" s="1"/>
  <c r="F56"/>
  <c r="I53"/>
  <c r="F53"/>
  <c r="H53" s="1"/>
  <c r="I52"/>
  <c r="F52"/>
  <c r="H52" s="1"/>
  <c r="I51"/>
  <c r="H51"/>
  <c r="F50"/>
  <c r="I50" s="1"/>
  <c r="F49"/>
  <c r="I49" s="1"/>
  <c r="F48"/>
  <c r="I48" s="1"/>
  <c r="F47"/>
  <c r="I47" s="1"/>
  <c r="F46"/>
  <c r="I46" s="1"/>
  <c r="F45"/>
  <c r="I45" s="1"/>
  <c r="F44"/>
  <c r="I44" s="1"/>
  <c r="F42"/>
  <c r="I42" s="1"/>
  <c r="I41"/>
  <c r="H41"/>
  <c r="F40"/>
  <c r="I40" s="1"/>
  <c r="F39"/>
  <c r="I39" s="1"/>
  <c r="F38"/>
  <c r="I38" s="1"/>
  <c r="F37"/>
  <c r="I37" s="1"/>
  <c r="H36"/>
  <c r="H34"/>
  <c r="H33"/>
  <c r="H32"/>
  <c r="F32"/>
  <c r="I32" s="1"/>
  <c r="E32"/>
  <c r="F31"/>
  <c r="I31" s="1"/>
  <c r="F30"/>
  <c r="I30" s="1"/>
  <c r="F29"/>
  <c r="I29" s="1"/>
  <c r="F28"/>
  <c r="I28" s="1"/>
  <c r="H69" l="1"/>
  <c r="H42"/>
  <c r="H37"/>
  <c r="H39"/>
  <c r="H56"/>
  <c r="H59"/>
  <c r="H63"/>
  <c r="H74"/>
  <c r="H67"/>
  <c r="H71"/>
  <c r="H49"/>
  <c r="H47"/>
  <c r="H45"/>
  <c r="H30"/>
  <c r="H28"/>
  <c r="H89"/>
  <c r="H90" s="1"/>
  <c r="I89"/>
  <c r="I90" s="1"/>
  <c r="H29"/>
  <c r="H31"/>
  <c r="H38"/>
  <c r="H40"/>
  <c r="H44"/>
  <c r="H46"/>
  <c r="H48"/>
  <c r="H50"/>
  <c r="H57"/>
  <c r="H68"/>
  <c r="H70"/>
  <c r="H72"/>
  <c r="H75"/>
  <c r="I88"/>
  <c r="I97" l="1"/>
  <c r="H84"/>
  <c r="I80" i="31" l="1"/>
  <c r="I65"/>
  <c r="E89"/>
  <c r="F89" s="1"/>
  <c r="F88"/>
  <c r="H88" s="1"/>
  <c r="H86"/>
  <c r="H85"/>
  <c r="I83"/>
  <c r="H83"/>
  <c r="F81"/>
  <c r="H81" s="1"/>
  <c r="H80"/>
  <c r="F79"/>
  <c r="H79" s="1"/>
  <c r="H78"/>
  <c r="F77"/>
  <c r="H77" s="1"/>
  <c r="F75"/>
  <c r="H75" s="1"/>
  <c r="F74"/>
  <c r="I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3"/>
  <c r="H63" s="1"/>
  <c r="F62"/>
  <c r="H60"/>
  <c r="F59"/>
  <c r="H59" s="1"/>
  <c r="F58"/>
  <c r="H58" s="1"/>
  <c r="F57"/>
  <c r="I57" s="1"/>
  <c r="F56"/>
  <c r="H56" s="1"/>
  <c r="I53"/>
  <c r="F53"/>
  <c r="H53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F42"/>
  <c r="H42" s="1"/>
  <c r="H41"/>
  <c r="F40"/>
  <c r="I40" s="1"/>
  <c r="F39"/>
  <c r="H39" s="1"/>
  <c r="F38"/>
  <c r="I38" s="1"/>
  <c r="F37"/>
  <c r="I37" s="1"/>
  <c r="H36"/>
  <c r="H34"/>
  <c r="H33"/>
  <c r="H32"/>
  <c r="F32"/>
  <c r="I32" s="1"/>
  <c r="E32"/>
  <c r="F31"/>
  <c r="I31" s="1"/>
  <c r="F30"/>
  <c r="H30" s="1"/>
  <c r="F29"/>
  <c r="I29" s="1"/>
  <c r="F28"/>
  <c r="H28" s="1"/>
  <c r="I41" i="30"/>
  <c r="I41" i="17"/>
  <c r="H62" i="31" l="1"/>
  <c r="I62"/>
  <c r="H57"/>
  <c r="H37"/>
  <c r="H74"/>
  <c r="H67"/>
  <c r="H71"/>
  <c r="H69"/>
  <c r="H50"/>
  <c r="H89"/>
  <c r="H90" s="1"/>
  <c r="I89"/>
  <c r="I28"/>
  <c r="H29"/>
  <c r="I30"/>
  <c r="H31"/>
  <c r="H38"/>
  <c r="I39"/>
  <c r="H40"/>
  <c r="I42"/>
  <c r="H44"/>
  <c r="I45"/>
  <c r="H46"/>
  <c r="I47"/>
  <c r="H48"/>
  <c r="I49"/>
  <c r="I59"/>
  <c r="I63"/>
  <c r="I68"/>
  <c r="I70"/>
  <c r="I72"/>
  <c r="I75"/>
  <c r="I88"/>
  <c r="I90" l="1"/>
  <c r="I100" s="1"/>
  <c r="H84"/>
  <c r="I79" i="30" l="1"/>
  <c r="E89"/>
  <c r="F89" s="1"/>
  <c r="H89" s="1"/>
  <c r="H90" s="1"/>
  <c r="F88"/>
  <c r="H88" s="1"/>
  <c r="H86"/>
  <c r="H85"/>
  <c r="I83"/>
  <c r="H83"/>
  <c r="F81"/>
  <c r="H81" s="1"/>
  <c r="H80"/>
  <c r="F79"/>
  <c r="H79" s="1"/>
  <c r="H78"/>
  <c r="F77"/>
  <c r="H77" s="1"/>
  <c r="F75"/>
  <c r="H75" s="1"/>
  <c r="F74"/>
  <c r="I74" s="1"/>
  <c r="F72"/>
  <c r="H72" s="1"/>
  <c r="F71"/>
  <c r="I71" s="1"/>
  <c r="F70"/>
  <c r="H70" s="1"/>
  <c r="F69"/>
  <c r="I69" s="1"/>
  <c r="F68"/>
  <c r="H68" s="1"/>
  <c r="F67"/>
  <c r="I67" s="1"/>
  <c r="F66"/>
  <c r="H66" s="1"/>
  <c r="F65"/>
  <c r="H65" s="1"/>
  <c r="F63"/>
  <c r="H63" s="1"/>
  <c r="F62"/>
  <c r="H62" s="1"/>
  <c r="H60"/>
  <c r="F59"/>
  <c r="H59" s="1"/>
  <c r="F58"/>
  <c r="H58" s="1"/>
  <c r="F57"/>
  <c r="I57" s="1"/>
  <c r="F56"/>
  <c r="H56" s="1"/>
  <c r="I53"/>
  <c r="F53"/>
  <c r="H53" s="1"/>
  <c r="I52"/>
  <c r="F52"/>
  <c r="H52" s="1"/>
  <c r="I51"/>
  <c r="H51"/>
  <c r="F50"/>
  <c r="I50" s="1"/>
  <c r="F49"/>
  <c r="H49" s="1"/>
  <c r="F48"/>
  <c r="I48" s="1"/>
  <c r="F47"/>
  <c r="H47" s="1"/>
  <c r="F46"/>
  <c r="I46" s="1"/>
  <c r="F45"/>
  <c r="H45" s="1"/>
  <c r="F44"/>
  <c r="I44" s="1"/>
  <c r="F42"/>
  <c r="H42" s="1"/>
  <c r="H41"/>
  <c r="F40"/>
  <c r="I40" s="1"/>
  <c r="F39"/>
  <c r="H39" s="1"/>
  <c r="F38"/>
  <c r="I38" s="1"/>
  <c r="F37"/>
  <c r="H37" s="1"/>
  <c r="H36"/>
  <c r="H34"/>
  <c r="H33"/>
  <c r="H32"/>
  <c r="F32"/>
  <c r="I32" s="1"/>
  <c r="E32"/>
  <c r="F31"/>
  <c r="I31" s="1"/>
  <c r="F30"/>
  <c r="H30" s="1"/>
  <c r="F29"/>
  <c r="I29" s="1"/>
  <c r="F28"/>
  <c r="H28" s="1"/>
  <c r="I51" i="17"/>
  <c r="H31" i="30" l="1"/>
  <c r="H38"/>
  <c r="H44"/>
  <c r="H48"/>
  <c r="H57"/>
  <c r="H69"/>
  <c r="H74"/>
  <c r="H29"/>
  <c r="H40"/>
  <c r="H46"/>
  <c r="H50"/>
  <c r="H67"/>
  <c r="H71"/>
  <c r="I28"/>
  <c r="I30"/>
  <c r="I37"/>
  <c r="I39"/>
  <c r="I42"/>
  <c r="I45"/>
  <c r="I47"/>
  <c r="I49"/>
  <c r="I59"/>
  <c r="I63"/>
  <c r="I68"/>
  <c r="I70"/>
  <c r="I72"/>
  <c r="I75"/>
  <c r="I88"/>
  <c r="I89"/>
  <c r="E89" i="17"/>
  <c r="F89" s="1"/>
  <c r="H89" s="1"/>
  <c r="F88"/>
  <c r="I88" s="1"/>
  <c r="H86"/>
  <c r="H85"/>
  <c r="I83"/>
  <c r="H83"/>
  <c r="F81"/>
  <c r="H81" s="1"/>
  <c r="H80"/>
  <c r="F79"/>
  <c r="H79" s="1"/>
  <c r="H78"/>
  <c r="F77"/>
  <c r="H77" s="1"/>
  <c r="F75"/>
  <c r="I75" s="1"/>
  <c r="F74"/>
  <c r="H74" s="1"/>
  <c r="F72"/>
  <c r="F71"/>
  <c r="F70"/>
  <c r="F69"/>
  <c r="F68"/>
  <c r="F67"/>
  <c r="F66"/>
  <c r="H66" s="1"/>
  <c r="F65"/>
  <c r="H65" s="1"/>
  <c r="F63"/>
  <c r="I63" s="1"/>
  <c r="F62"/>
  <c r="H62" s="1"/>
  <c r="H60"/>
  <c r="F59"/>
  <c r="I59" s="1"/>
  <c r="F58"/>
  <c r="H58" s="1"/>
  <c r="F57"/>
  <c r="F56"/>
  <c r="I53"/>
  <c r="F53"/>
  <c r="H53" s="1"/>
  <c r="I52"/>
  <c r="F52"/>
  <c r="H52" s="1"/>
  <c r="H51"/>
  <c r="F50"/>
  <c r="F49"/>
  <c r="F48"/>
  <c r="H48" s="1"/>
  <c r="F47"/>
  <c r="F46"/>
  <c r="F45"/>
  <c r="F44"/>
  <c r="F42"/>
  <c r="H42" s="1"/>
  <c r="H41"/>
  <c r="F40"/>
  <c r="I40" s="1"/>
  <c r="F39"/>
  <c r="H39" s="1"/>
  <c r="F38"/>
  <c r="I38" s="1"/>
  <c r="F37"/>
  <c r="H37" s="1"/>
  <c r="H36"/>
  <c r="H34"/>
  <c r="H33"/>
  <c r="I25"/>
  <c r="H32"/>
  <c r="F32"/>
  <c r="I32" s="1"/>
  <c r="E32"/>
  <c r="F31"/>
  <c r="H31" s="1"/>
  <c r="F30"/>
  <c r="H30" s="1"/>
  <c r="F29"/>
  <c r="H29" s="1"/>
  <c r="F28"/>
  <c r="H28" s="1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90" i="30" l="1"/>
  <c r="I96" s="1"/>
  <c r="H57" i="17"/>
  <c r="I57"/>
  <c r="H84" i="30"/>
  <c r="I39" i="17"/>
  <c r="I37"/>
  <c r="H68"/>
  <c r="I68"/>
  <c r="H70"/>
  <c r="I70"/>
  <c r="H72"/>
  <c r="I72"/>
  <c r="H67"/>
  <c r="I67"/>
  <c r="H69"/>
  <c r="I69"/>
  <c r="H71"/>
  <c r="I71"/>
  <c r="H50"/>
  <c r="I50"/>
  <c r="H49"/>
  <c r="I49"/>
  <c r="H44"/>
  <c r="I44"/>
  <c r="H46"/>
  <c r="I46"/>
  <c r="H45"/>
  <c r="I45"/>
  <c r="H47"/>
  <c r="I47"/>
  <c r="I28"/>
  <c r="I31"/>
  <c r="I30"/>
  <c r="I29"/>
  <c r="I20"/>
  <c r="I19"/>
  <c r="I23"/>
  <c r="I24"/>
  <c r="I22"/>
  <c r="I21"/>
  <c r="H63"/>
  <c r="H16"/>
  <c r="H38"/>
  <c r="H59"/>
  <c r="H75"/>
  <c r="H88"/>
  <c r="H40"/>
  <c r="H56"/>
  <c r="I17"/>
  <c r="I18"/>
  <c r="I42"/>
  <c r="I48"/>
  <c r="I74"/>
  <c r="I89"/>
  <c r="I90" l="1"/>
  <c r="H84"/>
  <c r="H90" l="1"/>
  <c r="I94" l="1"/>
</calcChain>
</file>

<file path=xl/sharedStrings.xml><?xml version="1.0" encoding="utf-8"?>
<sst xmlns="http://schemas.openxmlformats.org/spreadsheetml/2006/main" count="2835" uniqueCount="331">
  <si>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</si>
  <si>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</si>
  <si>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</si>
  <si>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</si>
  <si>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</si>
  <si>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</si>
  <si>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</si>
  <si>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</si>
  <si>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</si>
  <si>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</si>
  <si>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</si>
  <si>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</si>
  <si>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</si>
  <si>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</si>
  <si>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</si>
  <si>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</si>
  <si>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</si>
  <si>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</si>
  <si>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</si>
  <si>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</si>
  <si>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</si>
  <si>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</si>
  <si>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</si>
  <si>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</si>
  <si>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</si>
  <si>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</si>
  <si>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</si>
  <si>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</si>
  <si>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</si>
  <si>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</si>
  <si>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</si>
  <si>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</si>
  <si>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</si>
  <si>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</si>
  <si>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</si>
  <si>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</si>
  <si>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</si>
  <si>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</si>
  <si>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</si>
  <si>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</si>
  <si>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</si>
  <si>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</si>
  <si>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</si>
  <si>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</si>
  <si>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</si>
  <si>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</si>
  <si>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</si>
  <si>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</si>
  <si>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</si>
  <si>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</si>
  <si>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</si>
  <si>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</si>
  <si>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</si>
  <si>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</si>
  <si>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</si>
  <si>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</si>
  <si>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</si>
  <si>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</si>
  <si>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</si>
  <si>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</si>
  <si>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</si>
  <si>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</si>
  <si>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</si>
  <si>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</si>
  <si>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</si>
  <si>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</si>
  <si>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</si>
  <si>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</si>
  <si>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</si>
  <si>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</si>
  <si>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</si>
  <si>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</si>
  <si>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</si>
  <si>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</si>
  <si>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</si>
  <si>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</si>
  <si>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</si>
  <si>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Влажное подметание лестничных клеток 1 этажа</t>
  </si>
  <si>
    <t>Очистка оголовков дымоходов и вентканалов от наледи и снега</t>
  </si>
  <si>
    <t xml:space="preserve">2 раза в месяц  </t>
  </si>
  <si>
    <t>шт</t>
  </si>
  <si>
    <t>Дератизация</t>
  </si>
  <si>
    <t>Влажное подметание лестничных клеток 2-5 этажа</t>
  </si>
  <si>
    <t>Мытье лестничных  площадок и маршей 1-5 этаж.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</si>
  <si>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</si>
  <si>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</si>
  <si>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</si>
  <si>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</si>
  <si>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</si>
  <si>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</si>
  <si>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</si>
  <si>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</si>
  <si>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</si>
  <si>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</si>
  <si>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</si>
  <si>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Уборка контейнерной площадки (16 кв.м.)</t>
  </si>
  <si>
    <t>30 раз за сезон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</si>
  <si>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</si>
  <si>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</si>
  <si>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</si>
  <si>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</si>
  <si>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 xml:space="preserve">6 раз за сезон </t>
  </si>
  <si>
    <t>Работа автовышки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</si>
  <si>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</si>
  <si>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</si>
  <si>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</si>
  <si>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</si>
  <si>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</si>
  <si>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</si>
  <si>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</si>
  <si>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</si>
  <si>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№6 по ул.Космонавтов пгт.Ярега
</t>
  </si>
  <si>
    <t>Очистка урн от мусора</t>
  </si>
  <si>
    <t>24 раза за сезон</t>
  </si>
  <si>
    <t>Проверка дымоходов</t>
  </si>
  <si>
    <t>Осмотр рулонной кровли</t>
  </si>
  <si>
    <t>Очистка внутреннего водостока</t>
  </si>
  <si>
    <t>водосток</t>
  </si>
  <si>
    <t>Очистка водостоков от наледи</t>
  </si>
  <si>
    <t xml:space="preserve"> </t>
  </si>
  <si>
    <t>АКТ №1</t>
  </si>
  <si>
    <t>Подметание территории с усовершенствованным покрытием асф.: крыльца, контейнерн пл., проезд, тротуар</t>
  </si>
  <si>
    <t>IV. Содержание общего имущества МКД</t>
  </si>
  <si>
    <t>V. Прочие услуги</t>
  </si>
  <si>
    <t>АКТ №2</t>
  </si>
  <si>
    <t>5 раз в год</t>
  </si>
  <si>
    <r>
      <t>1. Исполнителем  предъявлены   к   приемке  следующие  оказанные   на   основании  Договора   на   содержание   и   ремонт  многоквартирного   дома  №</t>
    </r>
    <r>
      <rPr>
        <u/>
        <sz val="12"/>
        <rFont val="Times New Roman"/>
        <family val="1"/>
        <charset val="204"/>
      </rPr>
      <t xml:space="preserve">    </t>
    </r>
    <r>
      <rPr>
        <sz val="12"/>
        <rFont val="Times New Roman"/>
        <family val="1"/>
        <charset val="204"/>
      </rPr>
      <t xml:space="preserve">   от </t>
    </r>
    <r>
      <rPr>
        <u/>
        <sz val="12"/>
        <rFont val="Times New Roman"/>
        <family val="1"/>
        <charset val="204"/>
      </rPr>
      <t xml:space="preserve">                                </t>
    </r>
    <r>
      <rPr>
        <sz val="12"/>
        <rFont val="Times New Roman"/>
        <family val="1"/>
        <charset val="204"/>
      </rPr>
      <t>20  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д.6</t>
    </r>
  </si>
  <si>
    <t>48 раз в сезон</t>
  </si>
  <si>
    <t>48 раз за сезон</t>
  </si>
  <si>
    <t>48 раз</t>
  </si>
  <si>
    <t>по мере необходимости</t>
  </si>
  <si>
    <t>Сдвигание снега в дни снегопада</t>
  </si>
  <si>
    <t>Очистка вручную от снега и наледи люков каналиационных и водопроводных колодцев</t>
  </si>
  <si>
    <t>Очистка края кровли от слежавшегося снега со сбрасыванием сосулек (10% от S кровли, козырьки над подъездами)</t>
  </si>
  <si>
    <t>Очистка  от мусора</t>
  </si>
  <si>
    <t>ХВС, канализация</t>
  </si>
  <si>
    <t>Техническое обслуживание внутренних сетей водопровода и канализации</t>
  </si>
  <si>
    <t>руб/м2 в мес</t>
  </si>
  <si>
    <t>Снятие показаний с общедомовых приборов учёта холодной воды</t>
  </si>
  <si>
    <t>Смена светодиодных светильников в.о.</t>
  </si>
  <si>
    <t>Стоимость светодиодного светильника</t>
  </si>
  <si>
    <t>руб.</t>
  </si>
  <si>
    <t>Смена светильника РКУ</t>
  </si>
  <si>
    <t>Техническое диагностирование ВДГО</t>
  </si>
  <si>
    <t>1 раз в 5 лет</t>
  </si>
  <si>
    <t>II. Уборка земельного участка</t>
  </si>
  <si>
    <t>III. Проведение технических осмотров</t>
  </si>
  <si>
    <t>по  необходимости</t>
  </si>
  <si>
    <t>Итого затраты за месяц</t>
  </si>
  <si>
    <t>III. Содержание общего имущества МКД</t>
  </si>
  <si>
    <t>IV. Прочие услуги</t>
  </si>
  <si>
    <t>1 шт</t>
  </si>
  <si>
    <t>АКТ №3</t>
  </si>
  <si>
    <t>164м2</t>
  </si>
  <si>
    <t>АКТ №5</t>
  </si>
  <si>
    <t>ежедневно</t>
  </si>
  <si>
    <t xml:space="preserve">II. Уборка земельного участка </t>
  </si>
  <si>
    <t>1000-м2</t>
  </si>
  <si>
    <t>Сдвигание снега в дни снегопада (проезд)</t>
  </si>
  <si>
    <t>12 раз за сезон</t>
  </si>
  <si>
    <t>Сдвигание снега в дни снегопада (крыльца, тротуары)</t>
  </si>
  <si>
    <t>Вывоз снега с придомовой территории</t>
  </si>
  <si>
    <t>1м3</t>
  </si>
  <si>
    <t>45 раз за сезон</t>
  </si>
  <si>
    <t>III. Плановые осмотры</t>
  </si>
  <si>
    <t>Очистка края кровли от слежавшегося снега со сбрасыванием сосулек (10% от S кровли) и козырьки</t>
  </si>
  <si>
    <t>Очистка от мусора</t>
  </si>
  <si>
    <t>Замена ламп ДРЛ</t>
  </si>
  <si>
    <t>Итого месячные затраты</t>
  </si>
  <si>
    <t>АКТ №6</t>
  </si>
  <si>
    <t>ООО «Движение»</t>
  </si>
  <si>
    <t>АКТ №7</t>
  </si>
  <si>
    <r>
      <t xml:space="preserve">    Собственники   помещений   в многоквартирном доме, расположенном по адресу: 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09.12.2013г. стороны,  и ООО «Движение», 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 составили настоящий Акт о нижеследующем:</t>
    </r>
  </si>
  <si>
    <t>АКТ №8</t>
  </si>
  <si>
    <t>АКТ №4</t>
  </si>
  <si>
    <t>АКТ №9</t>
  </si>
  <si>
    <t>АКТ №10</t>
  </si>
  <si>
    <t>АКТ №11</t>
  </si>
  <si>
    <t>АКТ №12</t>
  </si>
  <si>
    <t>Обслуживание газового оборудования</t>
  </si>
  <si>
    <t>руб</t>
  </si>
  <si>
    <t>м</t>
  </si>
  <si>
    <t>Организация и содержние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</si>
  <si>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</si>
  <si>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</si>
  <si>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</si>
  <si>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</si>
  <si>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</si>
  <si>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</si>
  <si>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4 раз</t>
  </si>
  <si>
    <t xml:space="preserve">2 раза </t>
  </si>
  <si>
    <t>1 раз</t>
  </si>
  <si>
    <t xml:space="preserve">1 раз </t>
  </si>
  <si>
    <t xml:space="preserve">1 раз    </t>
  </si>
  <si>
    <t>4 раза</t>
  </si>
  <si>
    <t>7 раз</t>
  </si>
  <si>
    <t>Осмотр электросетей, армазуры и электрооборудования на лестничных клетках</t>
  </si>
  <si>
    <t xml:space="preserve">Осмотр водопроводов, канализации, отопления </t>
  </si>
  <si>
    <t>1 шт.</t>
  </si>
  <si>
    <t>Установка хомута диаметром до 50 мм</t>
  </si>
  <si>
    <t>место</t>
  </si>
  <si>
    <t xml:space="preserve">1 раз   </t>
  </si>
  <si>
    <t>Переход чугун-пластик 100</t>
  </si>
  <si>
    <t>Патрубок компенсационный 100</t>
  </si>
  <si>
    <t>2 шт р/у</t>
  </si>
  <si>
    <t>1 шт. под.№1 тамбур</t>
  </si>
  <si>
    <t>1 раза</t>
  </si>
  <si>
    <t>Ремонт рулонной кровли</t>
  </si>
  <si>
    <t>10 м2</t>
  </si>
  <si>
    <t>2 м/ч</t>
  </si>
  <si>
    <t>Смена арматуры - вентилей и клапанов обратных муфтовых диаметром до 20 мм</t>
  </si>
  <si>
    <t>Смена ламп ДРЛ</t>
  </si>
  <si>
    <t>под.№6</t>
  </si>
  <si>
    <r>
      <t xml:space="preserve">    Собственники   помещений   в многоквартирном доме, расположенном по адресу: 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04.12.2017г. стороны,  и ООО «Движение»,  именуемое в дальнейшем "Исполнитель", в лице генерального директора Кочановой Ирины Леонидовны,  действующего на основании Устава,  с другой стороны,  совместно именуемые "Стороны",  составили настоящий Акт о нижеследующем:</t>
    </r>
  </si>
  <si>
    <t>Подключение и отключение сварочного аппарата</t>
  </si>
  <si>
    <t>генеральный директор Кочанова И.Л.</t>
  </si>
  <si>
    <t>за период с 01.01.2021 г. по 31.01.2021 г.</t>
  </si>
  <si>
    <r>
      <t xml:space="preserve">    Собственники   помещений   в многоквартирном доме, расположенном по адресу: 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04.12.2017г. стороны,  и ООО «Движение»,  именуемое в дальнейшем "Исполнитель", в лице генерального директора Кочановой Ирины Леонидовны  действующего на основании Устава,  с другой стороны,  совместно именуемые "Стороны",  составили настоящий Акт о нижеследующем:</t>
    </r>
  </si>
  <si>
    <t>04 ч (25 янв.)</t>
  </si>
  <si>
    <t>2. Всего за период с 01.01.2021 по 31.01.2021 выполнено работ (оказано услуг) на общую сумму: 68748,15 руб.</t>
  </si>
  <si>
    <t>(шестьдесят восемь тысяч семьсот сорок восемь рублей 15 копеек)</t>
  </si>
  <si>
    <t>за период с 01.02.2021 г. по 29.02.2021 г.</t>
  </si>
  <si>
    <t>29.02.2021</t>
  </si>
  <si>
    <t>1 ч ( 2,4 февр)</t>
  </si>
  <si>
    <t>Укрепление оконных и дверных приборов - пружин</t>
  </si>
  <si>
    <t>Очистка фановой трубы от снега</t>
  </si>
  <si>
    <t>под.№1 - 1 шт.</t>
  </si>
  <si>
    <t>2. Всего за период с 01.02.2021 по 29.02.2021 выполнено работ (оказано услуг) на общую сумму: 102563,48 руб.</t>
  </si>
  <si>
    <t>(сто две тысячи пятьсот шестьдесят  три рубля 48 копеек)</t>
  </si>
  <si>
    <t>за период с 01.03.2021 г. по 31.03.2021 г.</t>
  </si>
  <si>
    <t>3,17,25 марта</t>
  </si>
  <si>
    <t>11 марта</t>
  </si>
  <si>
    <t>2 шт.</t>
  </si>
  <si>
    <t>Устройство трапов</t>
  </si>
  <si>
    <t>100 м</t>
  </si>
  <si>
    <t xml:space="preserve">Смена светильников  НСП </t>
  </si>
  <si>
    <t>Ремонт и регулировка доводчика (без стоимости доводчика)</t>
  </si>
  <si>
    <t>1шт.</t>
  </si>
  <si>
    <t>под.№3</t>
  </si>
  <si>
    <t>под.№1</t>
  </si>
  <si>
    <t>под.№4</t>
  </si>
  <si>
    <t>ХВС кв.25-1 шт.</t>
  </si>
  <si>
    <t>за период с 01.04.2021 г. по 30.04.2021 г.</t>
  </si>
  <si>
    <t>1 апр.</t>
  </si>
  <si>
    <t>Внеплановая проверка дымходов</t>
  </si>
  <si>
    <t>Внеплановая проверка вентканалов</t>
  </si>
  <si>
    <t>Сварочные работы</t>
  </si>
  <si>
    <t>час</t>
  </si>
  <si>
    <t>под.№ 3, ж/дверь</t>
  </si>
  <si>
    <t>кв.71</t>
  </si>
  <si>
    <t>2. Всего за период с 01.04.2021 по 30.04.2021 выполнено работ (оказано услуг) на общую сумму: 60521,01 руб.</t>
  </si>
  <si>
    <t>(шестьдесят тысяч пятьсот двадцать один рубль 01 копейка)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</si>
  <si>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</si>
  <si>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</si>
  <si>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с/о кв.49</t>
  </si>
  <si>
    <t>2. Всего за период с 01.03.2021 по 31.03.2021 выполнено работ (оказано услуг) на общую сумму: 72902,25 руб.</t>
  </si>
  <si>
    <t>(семьдесят две тысячи девятьсот два рубля 25 копеек)</t>
  </si>
  <si>
    <t>за период с 01.05.2021 г. по 31.05.2021 г.</t>
  </si>
  <si>
    <t>Подборка мусора, налетевшего с контейнерной площадки</t>
  </si>
  <si>
    <t>Испытание сети на напряжение</t>
  </si>
  <si>
    <t>Ремонт и регулировка доводчика (со стоимостью доводчика)</t>
  </si>
  <si>
    <t>1 шт. ХВС подвал</t>
  </si>
  <si>
    <t>Укрепление железа на кровле</t>
  </si>
  <si>
    <t>1 лист</t>
  </si>
  <si>
    <t>2. Всего за период с 01.05.2021 по 31.05.2021 выполнено работ (оказано услуг) на общую сумму: 82628,87 руб.</t>
  </si>
  <si>
    <t>(восемьдесят две тысячи шестьсот двадцать восемь рублей 87 копеек)</t>
  </si>
  <si>
    <t>за период с 01.06.2021 г. по 30.06.2021 г.</t>
  </si>
  <si>
    <t>Очистка канализационной сети внутренней</t>
  </si>
  <si>
    <t>Валка сухостойных и больных деревьев в городских условиях</t>
  </si>
  <si>
    <t>1 мЗ</t>
  </si>
  <si>
    <t>Работа гона</t>
  </si>
  <si>
    <t>Смена внутренних трубопроводов на полипропиленовые трубы PN 25 Dу 25</t>
  </si>
  <si>
    <t>5 м</t>
  </si>
  <si>
    <t>над кв 14 и под.№1</t>
  </si>
  <si>
    <t>1 час</t>
  </si>
  <si>
    <t>1 м с/о кв.49</t>
  </si>
  <si>
    <t>ХВС 1шт. Кв.67</t>
  </si>
  <si>
    <t>2. Всего за период с 01.06.2021 по 30.06.2021 выполнено работ (оказано услуг) на общую сумму: 235943,37 руб.</t>
  </si>
  <si>
    <t>( двести тридцать пять тысяч девятьсот сорок три рубля 37 копеек)</t>
  </si>
  <si>
    <t>за период с 01.07.2021 г. по 31.07.2021 г.</t>
  </si>
  <si>
    <t>2,5 м/часа</t>
  </si>
  <si>
    <t>Очистка отмости и цоколя от растительности</t>
  </si>
  <si>
    <t>30 м2 кв.43; 40 м2 кв.74</t>
  </si>
  <si>
    <t>за период с 01.08.2021 г. по 31.08.2021 г.</t>
  </si>
  <si>
    <t>Нумерация подъездов и квартир</t>
  </si>
  <si>
    <t>Установка заглушек диаметром трубопроводов до 100 мм</t>
  </si>
  <si>
    <t>заглушка</t>
  </si>
  <si>
    <t>ХВС в кв.74</t>
  </si>
  <si>
    <t>подвал под.№2</t>
  </si>
  <si>
    <t>2. Всего за период с 01.08.2021 по 31.08.2021 выполнено работ (оказано услуг) на общую сумму: 55283,67 руб.</t>
  </si>
  <si>
    <t>(пятьдесят пять тысяч двести  восемьдесят три рубля 67 копеек)</t>
  </si>
  <si>
    <t>за период с 01.09.2021 г. по 30.09.2021 г.</t>
  </si>
  <si>
    <t>Работа ротенбергера</t>
  </si>
  <si>
    <t>17 м</t>
  </si>
  <si>
    <t>2 шт. ХВС подвал</t>
  </si>
  <si>
    <t>6 м</t>
  </si>
  <si>
    <t>Смена ПП канализационных труб 100*1000</t>
  </si>
  <si>
    <t>шт .</t>
  </si>
  <si>
    <t>кв.40-0,5 м</t>
  </si>
  <si>
    <t>2. Всего за период с 01.07.2021 по 31.07.2021 выполнено работ (оказано услуг) на общую сумму: 115618,74 руб.</t>
  </si>
  <si>
    <t>(сто пятнадцать тысяч шестьсот восемнадцать рублей 74 копейки)</t>
  </si>
  <si>
    <t>Смена автомата на ток до 25А</t>
  </si>
  <si>
    <t>кв.73</t>
  </si>
  <si>
    <t>1 шт. тамбур под.№1</t>
  </si>
  <si>
    <t>Подключение/отключение электрооборудования</t>
  </si>
  <si>
    <t>2. Всего за период с 01.09.2021 по 30.09.2021 выполнено работ (оказано услуг) на общую сумму: 80609,76 руб.</t>
  </si>
  <si>
    <t>(восемьдесят тысяч шестьсот девять рублей 76 копеек)</t>
  </si>
  <si>
    <t>за период с 01.10.2021 г. по 31.10.2021 г.</t>
  </si>
  <si>
    <t>Очистка канализационной лежака</t>
  </si>
  <si>
    <t>Осмотр наружных стен</t>
  </si>
  <si>
    <t>2. Всего за период с 01.10.2021 по 31.10.2021 выполнено работ (оказано услуг) на общую сумму: 66383,08 руб.</t>
  </si>
  <si>
    <t>(шестьдесят шесть тысяч триста восемьдесят три рубля 08 копеек)</t>
  </si>
  <si>
    <t>за период с 01.11.2021 г. по 30.11.2021 г.</t>
  </si>
  <si>
    <t>22 ноября</t>
  </si>
  <si>
    <t>Смена ПП канализационных труб 100*2000</t>
  </si>
  <si>
    <t>Ревизия 110</t>
  </si>
  <si>
    <t>100шт</t>
  </si>
  <si>
    <t>100 кв.</t>
  </si>
  <si>
    <t>Муфта 110</t>
  </si>
  <si>
    <t>1 м</t>
  </si>
  <si>
    <t>2 м кв 45</t>
  </si>
  <si>
    <t>2. Всего за период с 01.11.2021 по 30.11.2021 выполнено работ (оказано услуг) на общую сумму: 96215,11 руб.</t>
  </si>
  <si>
    <t>(девяносто шесть тысяч двести пятнадцать рублей 11 копеек)</t>
  </si>
  <si>
    <t>за период с 01.12.2021 г. по 31.12.2021 г.</t>
  </si>
  <si>
    <t>2,16 декабря</t>
  </si>
  <si>
    <t>Смена плавкой вставки</t>
  </si>
  <si>
    <t>кв.47</t>
  </si>
  <si>
    <t>Очистка фановой трубы</t>
  </si>
  <si>
    <t>2. Всего за период с 01.12.2021 по 31.12.2021 выполнено работ (оказано услуг) на общую сумму: 69053,19 руб.</t>
  </si>
  <si>
    <t>(шестьдесят девять тысяч пятьдесят три рубля 19 копеек)</t>
  </si>
  <si>
    <t>3 м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</si>
</sst>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4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0" fillId="0" borderId="3" xfId="0" applyBorder="1"/>
    <xf numFmtId="0" fontId="11" fillId="0" borderId="20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" fontId="18" fillId="3" borderId="3" xfId="0" applyNumberFormat="1" applyFont="1" applyFill="1" applyBorder="1" applyAlignment="1">
      <alignment horizontal="center" vertical="center"/>
    </xf>
    <xf numFmtId="4" fontId="18" fillId="2" borderId="9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8" fillId="2" borderId="9" xfId="0" applyNumberFormat="1" applyFont="1" applyFill="1" applyBorder="1" applyAlignment="1">
      <alignment horizontal="center" vertical="center" wrapText="1"/>
    </xf>
    <xf numFmtId="4" fontId="18" fillId="3" borderId="9" xfId="0" applyNumberFormat="1" applyFont="1" applyFill="1" applyBorder="1" applyAlignment="1">
      <alignment horizontal="center" vertical="center" wrapText="1"/>
    </xf>
    <xf numFmtId="4" fontId="18" fillId="3" borderId="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3" borderId="9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14" fontId="11" fillId="0" borderId="9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left" vertical="center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115"/>
  <sheetViews>
    <sheetView topLeftCell="A48" workbookViewId="0">
      <selection activeCell="G107" sqref="G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8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170</v>
      </c>
      <c r="I1" s="23"/>
      <c r="J1" s="1"/>
      <c r="K1" s="1"/>
      <c r="L1" s="1"/>
      <c r="M1" s="1"/>
    </row>
    <row r="2" spans="1:13" ht="15.75">
      <c r="A2" s="25" t="s">
        <v>59</v>
      </c>
      <c r="J2" s="2"/>
      <c r="K2" s="2"/>
      <c r="L2" s="2"/>
      <c r="M2" s="2"/>
    </row>
    <row r="3" spans="1:13" ht="15.75" customHeight="1">
      <c r="A3" s="215" t="s">
        <v>120</v>
      </c>
      <c r="B3" s="215"/>
      <c r="C3" s="215"/>
      <c r="D3" s="215"/>
      <c r="E3" s="215"/>
      <c r="F3" s="215"/>
      <c r="G3" s="215"/>
      <c r="H3" s="215"/>
      <c r="I3" s="215"/>
      <c r="J3" s="3"/>
      <c r="K3" s="3"/>
      <c r="L3" s="3"/>
    </row>
    <row r="4" spans="1:13" ht="31.5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13" ht="15.75">
      <c r="A5" s="215" t="s">
        <v>216</v>
      </c>
      <c r="B5" s="217"/>
      <c r="C5" s="217"/>
      <c r="D5" s="217"/>
      <c r="E5" s="217"/>
      <c r="F5" s="217"/>
      <c r="G5" s="217"/>
      <c r="H5" s="217"/>
      <c r="I5" s="217"/>
      <c r="J5" s="2"/>
      <c r="K5" s="2"/>
      <c r="L5" s="2"/>
      <c r="M5" s="2"/>
    </row>
    <row r="6" spans="1:13" ht="15.75">
      <c r="A6" s="2"/>
      <c r="B6" s="42"/>
      <c r="C6" s="42"/>
      <c r="D6" s="42"/>
      <c r="E6" s="42"/>
      <c r="F6" s="42"/>
      <c r="G6" s="42"/>
      <c r="H6" s="42"/>
      <c r="I6" s="27">
        <v>44227</v>
      </c>
      <c r="J6" s="2"/>
      <c r="K6" s="2"/>
      <c r="L6" s="2"/>
      <c r="M6" s="2"/>
    </row>
    <row r="7" spans="1:13" ht="15.75">
      <c r="B7" s="44"/>
      <c r="C7" s="44"/>
      <c r="D7" s="44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217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7.5" customHeight="1">
      <c r="A9" s="4"/>
      <c r="J9" s="2"/>
      <c r="K9" s="2"/>
      <c r="L9" s="2"/>
      <c r="M9" s="2"/>
    </row>
    <row r="10" spans="1:13" ht="47.25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8.2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  <c r="J14" s="8"/>
      <c r="K14" s="8"/>
      <c r="L14" s="8"/>
      <c r="M14" s="8"/>
    </row>
    <row r="15" spans="1:13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85</v>
      </c>
      <c r="C19" s="54" t="s">
        <v>86</v>
      </c>
      <c r="D19" s="53" t="s">
        <v>87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88</v>
      </c>
      <c r="C20" s="54" t="s">
        <v>84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89</v>
      </c>
      <c r="C21" s="54" t="s">
        <v>84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90</v>
      </c>
      <c r="C22" s="54" t="s">
        <v>50</v>
      </c>
      <c r="D22" s="53" t="s">
        <v>87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91</v>
      </c>
      <c r="C23" s="54" t="s">
        <v>50</v>
      </c>
      <c r="D23" s="53" t="s">
        <v>87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92</v>
      </c>
      <c r="C24" s="54" t="s">
        <v>50</v>
      </c>
      <c r="D24" s="53" t="s">
        <v>87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  <c r="J24" s="87"/>
      <c r="K24" s="85"/>
      <c r="L24" s="85"/>
      <c r="M24" s="85"/>
    </row>
    <row r="25" spans="1:13" s="86" customFormat="1" ht="15.75" customHeight="1">
      <c r="A25" s="26">
        <v>4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  <c r="J25" s="87"/>
      <c r="K25" s="85"/>
      <c r="L25" s="85"/>
      <c r="M25" s="85"/>
    </row>
    <row r="26" spans="1:13" ht="15.75" customHeight="1">
      <c r="A26" s="222" t="s">
        <v>145</v>
      </c>
      <c r="B26" s="223"/>
      <c r="C26" s="223"/>
      <c r="D26" s="223"/>
      <c r="E26" s="223"/>
      <c r="F26" s="223"/>
      <c r="G26" s="223"/>
      <c r="H26" s="223"/>
      <c r="I26" s="224"/>
      <c r="J26" s="20"/>
      <c r="K26" s="8"/>
      <c r="L26" s="8"/>
      <c r="M26" s="8"/>
    </row>
    <row r="27" spans="1:13" s="86" customFormat="1" ht="15.75" hidden="1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  <c r="J27" s="88"/>
    </row>
    <row r="28" spans="1:13" s="86" customFormat="1" ht="15.75" hidden="1" customHeight="1">
      <c r="A28" s="26"/>
      <c r="B28" s="53" t="s">
        <v>93</v>
      </c>
      <c r="C28" s="54" t="s">
        <v>29</v>
      </c>
      <c r="D28" s="53" t="s">
        <v>127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1">SUM(F28*G28/1000)</f>
        <v>3.4885641599999997</v>
      </c>
      <c r="I28" s="12">
        <f>F28/6*G28</f>
        <v>581.42736000000002</v>
      </c>
      <c r="J28" s="87"/>
      <c r="K28" s="85"/>
      <c r="L28" s="85"/>
      <c r="M28" s="85"/>
    </row>
    <row r="29" spans="1:13" s="86" customFormat="1" ht="31.5" hidden="1" customHeight="1">
      <c r="A29" s="26"/>
      <c r="B29" s="53" t="s">
        <v>121</v>
      </c>
      <c r="C29" s="54" t="s">
        <v>94</v>
      </c>
      <c r="D29" s="53" t="s">
        <v>128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1"/>
        <v>1.8170801279999995</v>
      </c>
      <c r="I29" s="12">
        <f>F29/6*G29</f>
        <v>302.84668799999992</v>
      </c>
      <c r="J29" s="87"/>
      <c r="K29" s="85"/>
      <c r="L29" s="85"/>
      <c r="M29" s="85"/>
    </row>
    <row r="30" spans="1:13" s="86" customFormat="1" ht="15.75" hidden="1" customHeight="1">
      <c r="A30" s="26"/>
      <c r="B30" s="53" t="s">
        <v>27</v>
      </c>
      <c r="C30" s="54" t="s">
        <v>94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1"/>
        <v>1.408217265</v>
      </c>
      <c r="I30" s="12">
        <f>F30*G30</f>
        <v>1408.217265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112</v>
      </c>
      <c r="C31" s="54" t="s">
        <v>38</v>
      </c>
      <c r="D31" s="53" t="s">
        <v>129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>F31/6*G31</f>
        <v>819.66240000000005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95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>F32/6*G32</f>
        <v>640.23611111111109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1"/>
        <v>0.25091999999999998</v>
      </c>
      <c r="I33" s="12">
        <v>0</v>
      </c>
      <c r="J33" s="87"/>
      <c r="K33" s="85"/>
    </row>
    <row r="34" spans="1:14" s="86" customFormat="1" ht="15.75" hidden="1" customHeight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1"/>
        <v>1.4903299999999999</v>
      </c>
      <c r="I34" s="12">
        <v>0</v>
      </c>
      <c r="J34" s="88"/>
    </row>
    <row r="35" spans="1:14" s="86" customFormat="1" ht="15.75" customHeight="1">
      <c r="A35" s="26"/>
      <c r="B35" s="75" t="s">
        <v>5</v>
      </c>
      <c r="C35" s="54"/>
      <c r="D35" s="53"/>
      <c r="E35" s="55"/>
      <c r="F35" s="56"/>
      <c r="G35" s="56"/>
      <c r="H35" s="57" t="s">
        <v>119</v>
      </c>
      <c r="I35" s="12"/>
      <c r="J35" s="88"/>
    </row>
    <row r="36" spans="1:14" s="86" customFormat="1" ht="15.75" customHeight="1">
      <c r="A36" s="26">
        <v>5</v>
      </c>
      <c r="B36" s="53" t="s">
        <v>26</v>
      </c>
      <c r="C36" s="54" t="s">
        <v>31</v>
      </c>
      <c r="D36" s="53" t="s">
        <v>218</v>
      </c>
      <c r="E36" s="55"/>
      <c r="F36" s="56">
        <v>3</v>
      </c>
      <c r="G36" s="56">
        <v>2003</v>
      </c>
      <c r="H36" s="57">
        <f t="shared" ref="H36:H42" si="2">SUM(F36*G36/1000)</f>
        <v>6.0090000000000003</v>
      </c>
      <c r="I36" s="12">
        <f>G36*0.4</f>
        <v>801.2</v>
      </c>
      <c r="J36" s="88"/>
    </row>
    <row r="37" spans="1:14" s="86" customFormat="1" ht="15.75" customHeight="1">
      <c r="A37" s="26">
        <v>6</v>
      </c>
      <c r="B37" s="53" t="s">
        <v>131</v>
      </c>
      <c r="C37" s="54" t="s">
        <v>29</v>
      </c>
      <c r="D37" s="53" t="s">
        <v>187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ref="I37:I42" si="3">F37/6*G37</f>
        <v>1538.84124</v>
      </c>
      <c r="J37" s="88"/>
      <c r="L37" s="18"/>
      <c r="M37" s="19"/>
      <c r="N37" s="90"/>
    </row>
    <row r="38" spans="1:14" s="86" customFormat="1" ht="15.75" customHeight="1">
      <c r="A38" s="26">
        <v>7</v>
      </c>
      <c r="B38" s="53" t="s">
        <v>64</v>
      </c>
      <c r="C38" s="54" t="s">
        <v>29</v>
      </c>
      <c r="D38" s="53" t="s">
        <v>188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2"/>
        <v>7.9574259599999984</v>
      </c>
      <c r="I38" s="12">
        <f t="shared" si="3"/>
        <v>1326.2376599999998</v>
      </c>
      <c r="J38" s="88"/>
      <c r="L38" s="18"/>
      <c r="M38" s="19"/>
      <c r="N38" s="90"/>
    </row>
    <row r="39" spans="1:14" s="86" customFormat="1" ht="15.75" customHeight="1">
      <c r="A39" s="26">
        <v>8</v>
      </c>
      <c r="B39" s="53" t="s">
        <v>76</v>
      </c>
      <c r="C39" s="54" t="s">
        <v>94</v>
      </c>
      <c r="D39" s="53" t="s">
        <v>187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2"/>
        <v>25.482163679999999</v>
      </c>
      <c r="I39" s="12">
        <f t="shared" si="3"/>
        <v>4247.0272799999993</v>
      </c>
      <c r="J39" s="88"/>
      <c r="L39" s="18"/>
      <c r="M39" s="19"/>
      <c r="N39" s="90"/>
    </row>
    <row r="40" spans="1:14" s="86" customFormat="1" ht="15.75" hidden="1" customHeight="1">
      <c r="A40" s="26">
        <v>9</v>
      </c>
      <c r="B40" s="53" t="s">
        <v>98</v>
      </c>
      <c r="C40" s="54" t="s">
        <v>94</v>
      </c>
      <c r="D40" s="53" t="s">
        <v>189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2"/>
        <v>1.5059303999999998</v>
      </c>
      <c r="I40" s="12">
        <f>F40/7.5*G40</f>
        <v>200.79071999999996</v>
      </c>
      <c r="J40" s="88"/>
      <c r="L40" s="18"/>
      <c r="M40" s="19"/>
      <c r="N40" s="90"/>
    </row>
    <row r="41" spans="1:14" s="86" customFormat="1" ht="15.75" hidden="1" customHeight="1">
      <c r="A41" s="26">
        <v>10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2"/>
        <v>0.58489800000000003</v>
      </c>
      <c r="I41" s="12">
        <f>F41/7.5*G41</f>
        <v>77.986400000000003</v>
      </c>
      <c r="J41" s="88"/>
      <c r="L41" s="18"/>
      <c r="M41" s="19"/>
      <c r="N41" s="90"/>
    </row>
    <row r="42" spans="1:14" s="86" customFormat="1" ht="37.5" customHeight="1">
      <c r="A42" s="26">
        <v>9</v>
      </c>
      <c r="B42" s="72" t="s">
        <v>132</v>
      </c>
      <c r="C42" s="73" t="s">
        <v>29</v>
      </c>
      <c r="D42" s="53" t="s">
        <v>190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2"/>
        <v>3.7468799999999993E-3</v>
      </c>
      <c r="I42" s="12">
        <f t="shared" si="3"/>
        <v>0.62447999999999992</v>
      </c>
      <c r="J42" s="88"/>
      <c r="L42" s="18"/>
      <c r="M42" s="19"/>
      <c r="N42" s="90"/>
    </row>
    <row r="43" spans="1:14" s="86" customFormat="1" ht="15.75" customHeight="1">
      <c r="A43" s="222" t="s">
        <v>146</v>
      </c>
      <c r="B43" s="223"/>
      <c r="C43" s="223"/>
      <c r="D43" s="223"/>
      <c r="E43" s="223"/>
      <c r="F43" s="223"/>
      <c r="G43" s="223"/>
      <c r="H43" s="223"/>
      <c r="I43" s="224"/>
      <c r="J43" s="88"/>
      <c r="L43" s="18"/>
      <c r="M43" s="19"/>
      <c r="N43" s="90"/>
    </row>
    <row r="44" spans="1:14" s="86" customFormat="1" ht="15.75" hidden="1" customHeight="1">
      <c r="A44" s="26"/>
      <c r="B44" s="53" t="s">
        <v>115</v>
      </c>
      <c r="C44" s="54" t="s">
        <v>94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4">SUM(F44*G44/1000)</f>
        <v>2.2959991039999998</v>
      </c>
      <c r="I44" s="12">
        <f>F44/2*G44</f>
        <v>1147.999552</v>
      </c>
      <c r="J44" s="88"/>
      <c r="L44" s="18"/>
      <c r="M44" s="19"/>
      <c r="N44" s="90"/>
    </row>
    <row r="45" spans="1:14" s="86" customFormat="1" ht="15.75" hidden="1" customHeight="1">
      <c r="A45" s="26"/>
      <c r="B45" s="53" t="s">
        <v>33</v>
      </c>
      <c r="C45" s="54" t="s">
        <v>94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4"/>
        <v>1.1666292</v>
      </c>
      <c r="I45" s="12">
        <f>F45/2*G45</f>
        <v>583.31460000000004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94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4"/>
        <v>15.3249438636</v>
      </c>
      <c r="I46" s="12">
        <f>F46/2*G46</f>
        <v>7662.4719317999998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94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4"/>
        <v>5.3807195075999994</v>
      </c>
      <c r="I47" s="12">
        <f>F47/2*G47</f>
        <v>2690.3597537999999</v>
      </c>
      <c r="J47" s="88"/>
      <c r="L47" s="18"/>
      <c r="M47" s="19"/>
      <c r="N47" s="90"/>
    </row>
    <row r="48" spans="1:14" s="86" customFormat="1" ht="15.75" customHeight="1">
      <c r="A48" s="26">
        <v>10</v>
      </c>
      <c r="B48" s="53" t="s">
        <v>53</v>
      </c>
      <c r="C48" s="54" t="s">
        <v>94</v>
      </c>
      <c r="D48" s="53" t="s">
        <v>191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4"/>
        <v>21.37578525</v>
      </c>
      <c r="I48" s="12">
        <f>F48/5*G48</f>
        <v>4275.1570500000007</v>
      </c>
      <c r="J48" s="88"/>
      <c r="L48" s="18"/>
      <c r="M48" s="19"/>
      <c r="N48" s="90"/>
    </row>
    <row r="49" spans="1:21" s="86" customFormat="1" ht="31.5" hidden="1" customHeight="1">
      <c r="A49" s="26"/>
      <c r="B49" s="53" t="s">
        <v>99</v>
      </c>
      <c r="C49" s="54" t="s">
        <v>94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4"/>
        <v>12.557723999999999</v>
      </c>
      <c r="I49" s="12">
        <f>F49/2*G49</f>
        <v>6278.8619999999992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100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4"/>
        <v>2.4349920000000003</v>
      </c>
      <c r="I50" s="12">
        <f>F50/2*G50</f>
        <v>1217.4960000000001</v>
      </c>
      <c r="J50" s="88"/>
      <c r="L50" s="18"/>
      <c r="M50" s="19"/>
      <c r="N50" s="90"/>
    </row>
    <row r="51" spans="1:21" s="86" customFormat="1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4"/>
        <v>0.14825839999999998</v>
      </c>
      <c r="I51" s="12">
        <f>F51/2*G51</f>
        <v>74.129199999999997</v>
      </c>
      <c r="J51" s="88"/>
      <c r="L51" s="18"/>
      <c r="M51" s="19"/>
      <c r="N51" s="90"/>
    </row>
    <row r="52" spans="1:21" s="86" customFormat="1" ht="15.75" hidden="1" customHeight="1">
      <c r="A52" s="26">
        <v>14</v>
      </c>
      <c r="B52" s="53" t="s">
        <v>114</v>
      </c>
      <c r="C52" s="54" t="s">
        <v>80</v>
      </c>
      <c r="D52" s="53" t="s">
        <v>66</v>
      </c>
      <c r="E52" s="55">
        <v>90</v>
      </c>
      <c r="F52" s="56">
        <f>E52*3</f>
        <v>270</v>
      </c>
      <c r="G52" s="12">
        <v>185.08</v>
      </c>
      <c r="H52" s="57">
        <f t="shared" si="4"/>
        <v>49.971600000000009</v>
      </c>
      <c r="I52" s="12">
        <f>E52*G52</f>
        <v>16657.2</v>
      </c>
      <c r="J52" s="88"/>
      <c r="L52" s="18"/>
      <c r="M52" s="19"/>
      <c r="N52" s="90"/>
    </row>
    <row r="53" spans="1:21" s="86" customFormat="1" ht="15.75" hidden="1" customHeight="1">
      <c r="A53" s="26">
        <v>15</v>
      </c>
      <c r="B53" s="53" t="s">
        <v>39</v>
      </c>
      <c r="C53" s="54" t="s">
        <v>80</v>
      </c>
      <c r="D53" s="53" t="s">
        <v>66</v>
      </c>
      <c r="E53" s="55">
        <v>180</v>
      </c>
      <c r="F53" s="56">
        <f>SUM(E53)*3</f>
        <v>540</v>
      </c>
      <c r="G53" s="12">
        <v>86.15</v>
      </c>
      <c r="H53" s="57">
        <f t="shared" si="4"/>
        <v>46.521000000000001</v>
      </c>
      <c r="I53" s="12">
        <f>E53*G53</f>
        <v>15507.000000000002</v>
      </c>
      <c r="J53" s="88"/>
      <c r="L53" s="18"/>
      <c r="M53" s="19"/>
      <c r="N53" s="90"/>
    </row>
    <row r="54" spans="1:21" s="86" customFormat="1" ht="15.75" customHeight="1">
      <c r="A54" s="222" t="s">
        <v>122</v>
      </c>
      <c r="B54" s="223"/>
      <c r="C54" s="223"/>
      <c r="D54" s="223"/>
      <c r="E54" s="223"/>
      <c r="F54" s="223"/>
      <c r="G54" s="223"/>
      <c r="H54" s="223"/>
      <c r="I54" s="224"/>
      <c r="J54" s="88"/>
      <c r="L54" s="18"/>
      <c r="M54" s="19"/>
      <c r="N54" s="90"/>
    </row>
    <row r="55" spans="1:21" s="86" customFormat="1" ht="15.75" customHeight="1">
      <c r="A55" s="26"/>
      <c r="B55" s="75" t="s">
        <v>41</v>
      </c>
      <c r="C55" s="54"/>
      <c r="D55" s="53"/>
      <c r="E55" s="55"/>
      <c r="F55" s="56"/>
      <c r="G55" s="56"/>
      <c r="H55" s="57"/>
      <c r="I55" s="12"/>
      <c r="J55" s="88"/>
      <c r="L55" s="18"/>
      <c r="M55" s="19"/>
      <c r="N55" s="90"/>
    </row>
    <row r="56" spans="1:21" s="86" customFormat="1" ht="47.25" customHeight="1">
      <c r="A56" s="26">
        <v>11</v>
      </c>
      <c r="B56" s="53" t="s">
        <v>133</v>
      </c>
      <c r="C56" s="54" t="s">
        <v>84</v>
      </c>
      <c r="D56" s="53"/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G56*0.7896</f>
        <v>1602.33528</v>
      </c>
      <c r="J56" s="88"/>
      <c r="L56" s="18"/>
      <c r="M56" s="19"/>
      <c r="N56" s="90"/>
    </row>
    <row r="57" spans="1:21" s="86" customFormat="1" ht="31.5" customHeight="1">
      <c r="A57" s="26">
        <v>12</v>
      </c>
      <c r="B57" s="53" t="s">
        <v>78</v>
      </c>
      <c r="C57" s="54" t="s">
        <v>84</v>
      </c>
      <c r="D57" s="53"/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G57*F57/6</f>
        <v>1610.8583399999998</v>
      </c>
      <c r="J57" s="88"/>
      <c r="L57" s="18"/>
      <c r="M57" s="19"/>
      <c r="N57" s="90"/>
    </row>
    <row r="58" spans="1:21" s="86" customFormat="1" ht="15.75" hidden="1" customHeight="1">
      <c r="A58" s="26"/>
      <c r="B58" s="62" t="s">
        <v>116</v>
      </c>
      <c r="C58" s="63" t="s">
        <v>117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  <c r="J58" s="88"/>
      <c r="L58" s="18"/>
      <c r="M58" s="19"/>
      <c r="N58" s="90"/>
    </row>
    <row r="59" spans="1:21" s="86" customFormat="1" ht="15.75" hidden="1" customHeight="1">
      <c r="A59" s="26">
        <v>15</v>
      </c>
      <c r="B59" s="53" t="s">
        <v>118</v>
      </c>
      <c r="C59" s="54" t="s">
        <v>84</v>
      </c>
      <c r="D59" s="53" t="s">
        <v>191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  <c r="J59" s="88"/>
      <c r="L59" s="18"/>
    </row>
    <row r="60" spans="1:21" s="86" customFormat="1" ht="15.75" hidden="1" customHeight="1">
      <c r="A60" s="26"/>
      <c r="B60" s="62" t="s">
        <v>102</v>
      </c>
      <c r="C60" s="63" t="s">
        <v>31</v>
      </c>
      <c r="D60" s="62" t="s">
        <v>130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  <c r="J60" s="88"/>
      <c r="L60" s="18"/>
    </row>
    <row r="61" spans="1:21" s="86" customFormat="1" ht="15.7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  <c r="J61" s="88"/>
      <c r="L61" s="18"/>
    </row>
    <row r="62" spans="1:21" s="86" customFormat="1" ht="15.75" hidden="1" customHeight="1">
      <c r="A62" s="26"/>
      <c r="B62" s="62" t="s">
        <v>134</v>
      </c>
      <c r="C62" s="63" t="s">
        <v>50</v>
      </c>
      <c r="D62" s="62" t="s">
        <v>51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v>0</v>
      </c>
    </row>
    <row r="63" spans="1:21" s="86" customFormat="1" ht="15.75" customHeight="1">
      <c r="A63" s="26">
        <v>13</v>
      </c>
      <c r="B63" s="62" t="s">
        <v>81</v>
      </c>
      <c r="C63" s="63" t="s">
        <v>25</v>
      </c>
      <c r="D63" s="62" t="s">
        <v>192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  <c r="J63" s="89"/>
      <c r="K63" s="89"/>
      <c r="L63" s="91"/>
      <c r="M63" s="91"/>
      <c r="N63" s="91"/>
      <c r="O63" s="91"/>
      <c r="P63" s="91"/>
      <c r="Q63" s="91"/>
      <c r="R63" s="91"/>
      <c r="S63" s="91"/>
      <c r="T63" s="91"/>
      <c r="U63" s="91"/>
    </row>
    <row r="64" spans="1:21" s="86" customFormat="1" ht="15.75" hidden="1" customHeight="1">
      <c r="A64" s="26"/>
      <c r="B64" s="76" t="s">
        <v>43</v>
      </c>
      <c r="C64" s="63"/>
      <c r="D64" s="62"/>
      <c r="E64" s="64"/>
      <c r="F64" s="67"/>
      <c r="G64" s="67"/>
      <c r="H64" s="65" t="s">
        <v>119</v>
      </c>
      <c r="I64" s="12"/>
      <c r="J64" s="91"/>
      <c r="K64" s="91"/>
      <c r="L64" s="91"/>
      <c r="M64" s="91"/>
      <c r="N64" s="91"/>
      <c r="O64" s="91"/>
      <c r="P64" s="91"/>
      <c r="Q64" s="91"/>
      <c r="S64" s="91"/>
      <c r="T64" s="91"/>
      <c r="U64" s="91"/>
    </row>
    <row r="65" spans="1:21" s="86" customFormat="1" ht="15.75" hidden="1" customHeight="1">
      <c r="A65" s="26"/>
      <c r="B65" s="13" t="s">
        <v>44</v>
      </c>
      <c r="C65" s="15" t="s">
        <v>80</v>
      </c>
      <c r="D65" s="13" t="s">
        <v>63</v>
      </c>
      <c r="E65" s="17">
        <v>7</v>
      </c>
      <c r="F65" s="67">
        <f>E65</f>
        <v>7</v>
      </c>
      <c r="G65" s="12">
        <v>291.68</v>
      </c>
      <c r="H65" s="68">
        <f t="shared" ref="H65:H83" si="5">SUM(F65*G65/1000)</f>
        <v>2.04176</v>
      </c>
      <c r="I65" s="12">
        <v>0</v>
      </c>
      <c r="J65" s="92"/>
      <c r="K65" s="92"/>
      <c r="L65" s="92"/>
      <c r="M65" s="92"/>
      <c r="N65" s="92"/>
      <c r="O65" s="92"/>
      <c r="P65" s="92"/>
      <c r="Q65" s="92"/>
      <c r="R65" s="225"/>
      <c r="S65" s="225"/>
      <c r="T65" s="225"/>
      <c r="U65" s="225"/>
    </row>
    <row r="66" spans="1:21" s="86" customFormat="1" ht="15.75" hidden="1" customHeight="1">
      <c r="A66" s="26"/>
      <c r="B66" s="13" t="s">
        <v>45</v>
      </c>
      <c r="C66" s="15" t="s">
        <v>80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5"/>
        <v>0.30003000000000002</v>
      </c>
      <c r="I66" s="12">
        <v>0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1:21" s="86" customFormat="1" ht="15.75" hidden="1" customHeight="1">
      <c r="A67" s="26"/>
      <c r="B67" s="13" t="s">
        <v>46</v>
      </c>
      <c r="C67" s="15" t="s">
        <v>103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5"/>
        <v>39.523992000000007</v>
      </c>
      <c r="I67" s="12">
        <f t="shared" ref="I67:I72" si="6">F67*G67</f>
        <v>39523.992000000006</v>
      </c>
    </row>
    <row r="68" spans="1:21" s="86" customFormat="1" ht="15.75" hidden="1" customHeight="1">
      <c r="A68" s="26"/>
      <c r="B68" s="13" t="s">
        <v>47</v>
      </c>
      <c r="C68" s="15" t="s">
        <v>104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5"/>
        <v>3.0779394</v>
      </c>
      <c r="I68" s="12">
        <f t="shared" si="6"/>
        <v>3077.9394000000002</v>
      </c>
    </row>
    <row r="69" spans="1:21" s="86" customFormat="1" ht="15.75" hidden="1" customHeight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5"/>
        <v>57.983231399999994</v>
      </c>
      <c r="I69" s="12">
        <f t="shared" si="6"/>
        <v>57983.231399999997</v>
      </c>
    </row>
    <row r="70" spans="1:21" s="86" customFormat="1" ht="15.75" hidden="1" customHeight="1">
      <c r="A70" s="26"/>
      <c r="B70" s="69" t="s">
        <v>105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5"/>
        <v>0.31017</v>
      </c>
      <c r="I70" s="12">
        <f t="shared" si="6"/>
        <v>310.17</v>
      </c>
    </row>
    <row r="71" spans="1:21" s="86" customFormat="1" ht="15.75" hidden="1" customHeight="1">
      <c r="A71" s="26"/>
      <c r="B71" s="69" t="s">
        <v>106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5"/>
        <v>0.33452999999999999</v>
      </c>
      <c r="I71" s="12">
        <f t="shared" si="6"/>
        <v>334.53</v>
      </c>
    </row>
    <row r="72" spans="1:21" s="86" customFormat="1" ht="15.75" hidden="1" customHeight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5"/>
        <v>0.39251999999999998</v>
      </c>
      <c r="I72" s="12">
        <f t="shared" si="6"/>
        <v>392.52</v>
      </c>
    </row>
    <row r="73" spans="1:21" s="86" customFormat="1" ht="15.75" customHeight="1">
      <c r="A73" s="26"/>
      <c r="B73" s="83" t="s">
        <v>135</v>
      </c>
      <c r="C73" s="15"/>
      <c r="D73" s="13"/>
      <c r="E73" s="17"/>
      <c r="F73" s="48"/>
      <c r="G73" s="12"/>
      <c r="H73" s="68"/>
      <c r="I73" s="12"/>
    </row>
    <row r="74" spans="1:21" s="86" customFormat="1" ht="15.75" customHeight="1">
      <c r="A74" s="26">
        <v>14</v>
      </c>
      <c r="B74" s="13" t="s">
        <v>136</v>
      </c>
      <c r="C74" s="26" t="s">
        <v>137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>SUM(F74*G74/1000)</f>
        <v>107.93519999999999</v>
      </c>
      <c r="I74" s="12">
        <f>F74/12*G74</f>
        <v>8994.5999999999985</v>
      </c>
    </row>
    <row r="75" spans="1:21" s="86" customFormat="1" ht="15.75" customHeight="1">
      <c r="A75" s="26">
        <v>15</v>
      </c>
      <c r="B75" s="72" t="s">
        <v>138</v>
      </c>
      <c r="C75" s="73" t="s">
        <v>80</v>
      </c>
      <c r="D75" s="13"/>
      <c r="E75" s="17">
        <v>1</v>
      </c>
      <c r="F75" s="56">
        <f>SUM(E75)*12</f>
        <v>12</v>
      </c>
      <c r="G75" s="12">
        <v>50.68</v>
      </c>
      <c r="H75" s="68">
        <f>SUM(F75*G75/1000)</f>
        <v>0.60815999999999992</v>
      </c>
      <c r="I75" s="12">
        <f>F75/12*G75</f>
        <v>50.68</v>
      </c>
    </row>
    <row r="76" spans="1:21" s="86" customFormat="1" ht="15.75" hidden="1" customHeight="1">
      <c r="A76" s="26"/>
      <c r="B76" s="83" t="s">
        <v>67</v>
      </c>
      <c r="C76" s="15"/>
      <c r="D76" s="13"/>
      <c r="E76" s="17"/>
      <c r="F76" s="12"/>
      <c r="G76" s="12"/>
      <c r="H76" s="68" t="s">
        <v>119</v>
      </c>
      <c r="I76" s="12"/>
    </row>
    <row r="77" spans="1:21" s="86" customFormat="1" ht="15.75" hidden="1" customHeight="1">
      <c r="A77" s="26"/>
      <c r="B77" s="13" t="s">
        <v>139</v>
      </c>
      <c r="C77" s="15" t="s">
        <v>30</v>
      </c>
      <c r="D77" s="13" t="s">
        <v>147</v>
      </c>
      <c r="E77" s="17">
        <v>2</v>
      </c>
      <c r="F77" s="56">
        <f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21" s="86" customFormat="1" ht="15.75" hidden="1" customHeight="1">
      <c r="A78" s="26"/>
      <c r="B78" s="13" t="s">
        <v>140</v>
      </c>
      <c r="C78" s="15" t="s">
        <v>141</v>
      </c>
      <c r="D78" s="13" t="s">
        <v>147</v>
      </c>
      <c r="E78" s="17">
        <v>1</v>
      </c>
      <c r="F78" s="12">
        <v>1</v>
      </c>
      <c r="G78" s="12">
        <v>735</v>
      </c>
      <c r="H78" s="68">
        <f>SUM(F78*G78/1000)</f>
        <v>0.73499999999999999</v>
      </c>
      <c r="I78" s="12">
        <v>0</v>
      </c>
    </row>
    <row r="79" spans="1:21" s="86" customFormat="1" ht="15.75" hidden="1" customHeight="1">
      <c r="A79" s="77"/>
      <c r="B79" s="13" t="s">
        <v>68</v>
      </c>
      <c r="C79" s="15" t="s">
        <v>70</v>
      </c>
      <c r="D79" s="13" t="s">
        <v>147</v>
      </c>
      <c r="E79" s="17">
        <v>3</v>
      </c>
      <c r="F79" s="12">
        <f>E79/10</f>
        <v>0.3</v>
      </c>
      <c r="G79" s="12">
        <v>657.87</v>
      </c>
      <c r="H79" s="68">
        <f>SUM(F79*G79/1000)</f>
        <v>0.19736099999999998</v>
      </c>
      <c r="I79" s="12">
        <v>0</v>
      </c>
    </row>
    <row r="80" spans="1:21" s="86" customFormat="1" ht="15.75" hidden="1" customHeight="1">
      <c r="A80" s="77"/>
      <c r="B80" s="13" t="s">
        <v>69</v>
      </c>
      <c r="C80" s="15" t="s">
        <v>30</v>
      </c>
      <c r="D80" s="13" t="s">
        <v>147</v>
      </c>
      <c r="E80" s="17">
        <v>1</v>
      </c>
      <c r="F80" s="48">
        <v>1</v>
      </c>
      <c r="G80" s="12">
        <v>1118.72</v>
      </c>
      <c r="H80" s="68">
        <f>SUM(F80*G80/1000)</f>
        <v>1.1187199999999999</v>
      </c>
      <c r="I80" s="12">
        <v>0</v>
      </c>
    </row>
    <row r="81" spans="1:9" s="86" customFormat="1" ht="15.75" hidden="1" customHeight="1">
      <c r="A81" s="77"/>
      <c r="B81" s="72" t="s">
        <v>142</v>
      </c>
      <c r="C81" s="73" t="s">
        <v>80</v>
      </c>
      <c r="D81" s="13" t="s">
        <v>147</v>
      </c>
      <c r="E81" s="17">
        <v>1</v>
      </c>
      <c r="F81" s="56">
        <f>E81</f>
        <v>1</v>
      </c>
      <c r="G81" s="12">
        <v>1605.83</v>
      </c>
      <c r="H81" s="68">
        <f>SUM(F81*G81/1000)</f>
        <v>1.6058299999999999</v>
      </c>
      <c r="I81" s="12">
        <v>0</v>
      </c>
    </row>
    <row r="82" spans="1:9" s="86" customFormat="1" ht="15.75" hidden="1" customHeight="1">
      <c r="A82" s="77"/>
      <c r="B82" s="70" t="s">
        <v>71</v>
      </c>
      <c r="C82" s="15"/>
      <c r="D82" s="13"/>
      <c r="E82" s="17"/>
      <c r="F82" s="12"/>
      <c r="G82" s="12" t="s">
        <v>119</v>
      </c>
      <c r="H82" s="68" t="s">
        <v>119</v>
      </c>
      <c r="I82" s="12"/>
    </row>
    <row r="83" spans="1:9" s="86" customFormat="1" ht="15.75" hidden="1" customHeight="1">
      <c r="A83" s="77">
        <v>22</v>
      </c>
      <c r="B83" s="39" t="s">
        <v>109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5"/>
        <v>2.1714540000000002</v>
      </c>
      <c r="I83" s="12">
        <f>G83*0.06</f>
        <v>217.1454</v>
      </c>
    </row>
    <row r="84" spans="1:9" s="86" customFormat="1" ht="15.75" hidden="1" customHeight="1">
      <c r="A84" s="77"/>
      <c r="B84" s="83" t="s">
        <v>107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s="86" customFormat="1" ht="15.75" hidden="1" customHeight="1">
      <c r="A85" s="77"/>
      <c r="B85" s="53" t="s">
        <v>108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s="86" customFormat="1" ht="15.75" hidden="1" customHeight="1">
      <c r="A86" s="77"/>
      <c r="B86" s="53" t="s">
        <v>143</v>
      </c>
      <c r="C86" s="15"/>
      <c r="D86" s="13" t="s">
        <v>144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 s="86" customFormat="1" ht="15.75" customHeight="1">
      <c r="A87" s="230" t="s">
        <v>123</v>
      </c>
      <c r="B87" s="231"/>
      <c r="C87" s="231"/>
      <c r="D87" s="231"/>
      <c r="E87" s="231"/>
      <c r="F87" s="231"/>
      <c r="G87" s="231"/>
      <c r="H87" s="231"/>
      <c r="I87" s="232"/>
    </row>
    <row r="88" spans="1:9" s="86" customFormat="1" ht="15.75" customHeight="1">
      <c r="A88" s="77">
        <v>16</v>
      </c>
      <c r="B88" s="53" t="s">
        <v>110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s="86" customFormat="1" ht="31.5" customHeight="1">
      <c r="A89" s="26">
        <v>17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 s="86" customFormat="1" ht="15.75" customHeight="1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I89+I88+I75+I74+I63+I57+I56+I48+I42+I39+I38+I37+I36+I25+I18+I17+I16</f>
        <v>68748.153359999997</v>
      </c>
    </row>
    <row r="91" spans="1:9" s="86" customFormat="1" ht="15.75" customHeight="1">
      <c r="A91" s="227" t="s">
        <v>57</v>
      </c>
      <c r="B91" s="228"/>
      <c r="C91" s="228"/>
      <c r="D91" s="228"/>
      <c r="E91" s="228"/>
      <c r="F91" s="228"/>
      <c r="G91" s="228"/>
      <c r="H91" s="228"/>
      <c r="I91" s="229"/>
    </row>
    <row r="92" spans="1:9" ht="16.5" customHeight="1">
      <c r="A92" s="26"/>
      <c r="B92" s="37" t="s">
        <v>49</v>
      </c>
      <c r="C92" s="33"/>
      <c r="D92" s="40"/>
      <c r="E92" s="33">
        <v>1</v>
      </c>
      <c r="F92" s="33"/>
      <c r="G92" s="33"/>
      <c r="H92" s="33"/>
      <c r="I92" s="29">
        <v>0</v>
      </c>
    </row>
    <row r="93" spans="1:9" ht="16.5" customHeight="1">
      <c r="A93" s="26"/>
      <c r="B93" s="39" t="s">
        <v>74</v>
      </c>
      <c r="C93" s="14"/>
      <c r="D93" s="14"/>
      <c r="E93" s="34"/>
      <c r="F93" s="34"/>
      <c r="G93" s="35"/>
      <c r="H93" s="35"/>
      <c r="I93" s="16">
        <v>0</v>
      </c>
    </row>
    <row r="94" spans="1:9" ht="15.75" customHeight="1">
      <c r="A94" s="41"/>
      <c r="B94" s="38" t="s">
        <v>148</v>
      </c>
      <c r="C94" s="30"/>
      <c r="D94" s="30"/>
      <c r="E94" s="30"/>
      <c r="F94" s="30"/>
      <c r="G94" s="30"/>
      <c r="H94" s="30"/>
      <c r="I94" s="36">
        <f>I90+I92</f>
        <v>68748.153359999997</v>
      </c>
    </row>
    <row r="95" spans="1:9" ht="15.75" customHeight="1">
      <c r="A95" s="226" t="s">
        <v>219</v>
      </c>
      <c r="B95" s="226"/>
      <c r="C95" s="226"/>
      <c r="D95" s="226"/>
      <c r="E95" s="226"/>
      <c r="F95" s="226"/>
      <c r="G95" s="226"/>
      <c r="H95" s="226"/>
      <c r="I95" s="226"/>
    </row>
    <row r="96" spans="1:9" ht="15.75" customHeight="1">
      <c r="A96" s="45"/>
      <c r="B96" s="233" t="s">
        <v>220</v>
      </c>
      <c r="C96" s="233"/>
      <c r="D96" s="233"/>
      <c r="E96" s="233"/>
      <c r="F96" s="233"/>
      <c r="G96" s="233"/>
      <c r="H96" s="52"/>
      <c r="I96" s="3"/>
    </row>
    <row r="97" spans="1:9" ht="15.75" customHeight="1">
      <c r="A97" s="43"/>
      <c r="B97" s="234" t="s">
        <v>6</v>
      </c>
      <c r="C97" s="234"/>
      <c r="D97" s="234"/>
      <c r="E97" s="234"/>
      <c r="F97" s="234"/>
      <c r="G97" s="234"/>
      <c r="H97" s="21"/>
      <c r="I97" s="5"/>
    </row>
    <row r="98" spans="1:9" ht="6.75" customHeight="1">
      <c r="A98" s="9"/>
      <c r="B98" s="9"/>
      <c r="C98" s="9"/>
      <c r="D98" s="9"/>
      <c r="E98" s="9"/>
      <c r="F98" s="9"/>
      <c r="G98" s="9"/>
      <c r="H98" s="9"/>
      <c r="I98" s="9"/>
    </row>
    <row r="99" spans="1:9" ht="15.75" customHeight="1">
      <c r="A99" s="235" t="s">
        <v>7</v>
      </c>
      <c r="B99" s="235"/>
      <c r="C99" s="235"/>
      <c r="D99" s="235"/>
      <c r="E99" s="235"/>
      <c r="F99" s="235"/>
      <c r="G99" s="235"/>
      <c r="H99" s="235"/>
      <c r="I99" s="235"/>
    </row>
    <row r="100" spans="1:9" ht="15.75" customHeight="1">
      <c r="A100" s="235" t="s">
        <v>8</v>
      </c>
      <c r="B100" s="235"/>
      <c r="C100" s="235"/>
      <c r="D100" s="235"/>
      <c r="E100" s="235"/>
      <c r="F100" s="235"/>
      <c r="G100" s="235"/>
      <c r="H100" s="235"/>
      <c r="I100" s="235"/>
    </row>
    <row r="101" spans="1:9" ht="15.75" customHeight="1">
      <c r="A101" s="236" t="s">
        <v>58</v>
      </c>
      <c r="B101" s="236"/>
      <c r="C101" s="236"/>
      <c r="D101" s="236"/>
      <c r="E101" s="236"/>
      <c r="F101" s="236"/>
      <c r="G101" s="236"/>
      <c r="H101" s="236"/>
      <c r="I101" s="236"/>
    </row>
    <row r="102" spans="1:9" ht="15.75" customHeight="1">
      <c r="A102" s="10"/>
    </row>
    <row r="103" spans="1:9" ht="15.75" customHeight="1">
      <c r="A103" s="220" t="s">
        <v>9</v>
      </c>
      <c r="B103" s="220"/>
      <c r="C103" s="220"/>
      <c r="D103" s="220"/>
      <c r="E103" s="220"/>
      <c r="F103" s="220"/>
      <c r="G103" s="220"/>
      <c r="H103" s="220"/>
      <c r="I103" s="220"/>
    </row>
    <row r="104" spans="1:9" ht="8.25" customHeight="1">
      <c r="A104" s="4"/>
    </row>
    <row r="105" spans="1:9" ht="15.75" customHeight="1">
      <c r="B105" s="44" t="s">
        <v>10</v>
      </c>
      <c r="C105" s="238" t="s">
        <v>215</v>
      </c>
      <c r="D105" s="238"/>
      <c r="E105" s="238"/>
      <c r="F105" s="50"/>
      <c r="I105" s="47"/>
    </row>
    <row r="106" spans="1:9" ht="15.75" customHeight="1">
      <c r="A106" s="43"/>
      <c r="C106" s="234" t="s">
        <v>11</v>
      </c>
      <c r="D106" s="234"/>
      <c r="E106" s="234"/>
      <c r="F106" s="21"/>
      <c r="I106" s="46" t="s">
        <v>12</v>
      </c>
    </row>
    <row r="107" spans="1:9" ht="15.75" customHeight="1">
      <c r="A107" s="22"/>
      <c r="C107" s="11"/>
      <c r="D107" s="11"/>
      <c r="G107" s="11"/>
      <c r="H107" s="11"/>
    </row>
    <row r="108" spans="1:9" ht="15.75" customHeight="1">
      <c r="B108" s="44" t="s">
        <v>13</v>
      </c>
      <c r="C108" s="239"/>
      <c r="D108" s="239"/>
      <c r="E108" s="239"/>
      <c r="F108" s="51"/>
      <c r="I108" s="47"/>
    </row>
    <row r="109" spans="1:9" ht="15.75" customHeight="1">
      <c r="A109" s="43"/>
      <c r="C109" s="240" t="s">
        <v>11</v>
      </c>
      <c r="D109" s="240"/>
      <c r="E109" s="240"/>
      <c r="F109" s="43"/>
      <c r="I109" s="46" t="s">
        <v>12</v>
      </c>
    </row>
    <row r="110" spans="1:9" ht="15.75" customHeight="1">
      <c r="A110" s="4" t="s">
        <v>14</v>
      </c>
    </row>
    <row r="111" spans="1:9" ht="15.75" customHeight="1">
      <c r="A111" s="241" t="s">
        <v>15</v>
      </c>
      <c r="B111" s="241"/>
      <c r="C111" s="241"/>
      <c r="D111" s="241"/>
      <c r="E111" s="241"/>
      <c r="F111" s="241"/>
      <c r="G111" s="241"/>
      <c r="H111" s="241"/>
      <c r="I111" s="241"/>
    </row>
    <row r="112" spans="1:9" ht="45" customHeight="1">
      <c r="A112" s="237" t="s">
        <v>16</v>
      </c>
      <c r="B112" s="237"/>
      <c r="C112" s="237"/>
      <c r="D112" s="237"/>
      <c r="E112" s="237"/>
      <c r="F112" s="237"/>
      <c r="G112" s="237"/>
      <c r="H112" s="237"/>
      <c r="I112" s="237"/>
    </row>
    <row r="113" spans="1:9" ht="30" customHeight="1">
      <c r="A113" s="237" t="s">
        <v>17</v>
      </c>
      <c r="B113" s="237"/>
      <c r="C113" s="237"/>
      <c r="D113" s="237"/>
      <c r="E113" s="237"/>
      <c r="F113" s="237"/>
      <c r="G113" s="237"/>
      <c r="H113" s="237"/>
      <c r="I113" s="237"/>
    </row>
    <row r="114" spans="1:9" ht="30" customHeight="1">
      <c r="A114" s="237" t="s">
        <v>21</v>
      </c>
      <c r="B114" s="237"/>
      <c r="C114" s="237"/>
      <c r="D114" s="237"/>
      <c r="E114" s="237"/>
      <c r="F114" s="237"/>
      <c r="G114" s="237"/>
      <c r="H114" s="237"/>
      <c r="I114" s="237"/>
    </row>
    <row r="115" spans="1:9" ht="15" customHeight="1">
      <c r="A115" s="237" t="s">
        <v>20</v>
      </c>
      <c r="B115" s="237"/>
      <c r="C115" s="237"/>
      <c r="D115" s="237"/>
      <c r="E115" s="237"/>
      <c r="F115" s="237"/>
      <c r="G115" s="237"/>
      <c r="H115" s="237"/>
      <c r="I115" s="237"/>
    </row>
  </sheetData>
  <autoFilter ref="I12:I61"/>
  <mergeCells count="29">
    <mergeCell ref="A113:I113"/>
    <mergeCell ref="A114:I114"/>
    <mergeCell ref="A115:I115"/>
    <mergeCell ref="C105:E105"/>
    <mergeCell ref="C106:E106"/>
    <mergeCell ref="C108:E108"/>
    <mergeCell ref="C109:E109"/>
    <mergeCell ref="A111:I111"/>
    <mergeCell ref="A112:I112"/>
    <mergeCell ref="A103:I103"/>
    <mergeCell ref="A15:I15"/>
    <mergeCell ref="A26:I26"/>
    <mergeCell ref="R65:U65"/>
    <mergeCell ref="A95:I95"/>
    <mergeCell ref="A91:I91"/>
    <mergeCell ref="A43:I43"/>
    <mergeCell ref="A54:I54"/>
    <mergeCell ref="A87:I87"/>
    <mergeCell ref="B96:G96"/>
    <mergeCell ref="B97:G97"/>
    <mergeCell ref="A99:I99"/>
    <mergeCell ref="A100:I100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7"/>
  <sheetViews>
    <sheetView view="pageBreakPreview" topLeftCell="A65" zoomScale="60" zoomScaleNormal="100" workbookViewId="0">
      <selection activeCell="A101" sqref="A101:I101"/>
    </sheetView>
  </sheetViews>
  <sheetFormatPr defaultRowHeight="15"/>
  <cols>
    <col min="1" max="1" width="12.7109375" customWidth="1"/>
    <col min="2" max="2" width="53.85546875" customWidth="1"/>
    <col min="3" max="3" width="16.5703125" customWidth="1"/>
    <col min="4" max="4" width="18.85546875" customWidth="1"/>
    <col min="5" max="6" width="11.140625" hidden="1" customWidth="1"/>
    <col min="7" max="7" width="15.42578125" customWidth="1"/>
    <col min="8" max="8" width="0" hidden="1" customWidth="1"/>
    <col min="9" max="9" width="17.7109375" customWidth="1"/>
  </cols>
  <sheetData>
    <row r="1" spans="1:9" ht="15.75">
      <c r="A1" s="24" t="s">
        <v>170</v>
      </c>
      <c r="I1" s="23"/>
    </row>
    <row r="2" spans="1:9" ht="15.75">
      <c r="A2" s="25" t="s">
        <v>59</v>
      </c>
    </row>
    <row r="3" spans="1:9" ht="15.75">
      <c r="A3" s="215" t="s">
        <v>176</v>
      </c>
      <c r="B3" s="215"/>
      <c r="C3" s="215"/>
      <c r="D3" s="215"/>
      <c r="E3" s="215"/>
      <c r="F3" s="215"/>
      <c r="G3" s="215"/>
      <c r="H3" s="215"/>
      <c r="I3" s="215"/>
    </row>
    <row r="4" spans="1:9" ht="32.25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9" ht="15.75">
      <c r="A5" s="215" t="s">
        <v>307</v>
      </c>
      <c r="B5" s="217"/>
      <c r="C5" s="217"/>
      <c r="D5" s="217"/>
      <c r="E5" s="217"/>
      <c r="F5" s="217"/>
      <c r="G5" s="217"/>
      <c r="H5" s="217"/>
      <c r="I5" s="217"/>
    </row>
    <row r="6" spans="1:9" ht="15.75">
      <c r="A6" s="2"/>
      <c r="B6" s="160"/>
      <c r="C6" s="160"/>
      <c r="D6" s="160"/>
      <c r="E6" s="160"/>
      <c r="F6" s="160"/>
      <c r="G6" s="160"/>
      <c r="H6" s="160"/>
      <c r="I6" s="27">
        <v>44500</v>
      </c>
    </row>
    <row r="7" spans="1:9" ht="15.75">
      <c r="B7" s="162"/>
      <c r="C7" s="162"/>
      <c r="D7" s="162"/>
      <c r="E7" s="3"/>
      <c r="F7" s="3"/>
      <c r="G7" s="3"/>
      <c r="H7" s="3"/>
    </row>
    <row r="8" spans="1:9" ht="81.75" customHeight="1">
      <c r="A8" s="218" t="s">
        <v>213</v>
      </c>
      <c r="B8" s="218"/>
      <c r="C8" s="218"/>
      <c r="D8" s="218"/>
      <c r="E8" s="218"/>
      <c r="F8" s="218"/>
      <c r="G8" s="218"/>
      <c r="H8" s="218"/>
      <c r="I8" s="218"/>
    </row>
    <row r="9" spans="1:9" ht="15.75">
      <c r="A9" s="4"/>
    </row>
    <row r="10" spans="1:9" ht="72.75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</row>
    <row r="11" spans="1:9" ht="15.75">
      <c r="A11" s="4"/>
    </row>
    <row r="12" spans="1:9" ht="76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</row>
    <row r="16" spans="1:9" ht="17.25" customHeight="1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>SUM(F16*G16/1000)</f>
        <v>34.100352000000008</v>
      </c>
      <c r="I16" s="12">
        <f>F16/12*G16</f>
        <v>2841.6960000000004</v>
      </c>
    </row>
    <row r="17" spans="1:9" ht="18.75" customHeight="1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>SUM(F17*G17/1000)</f>
        <v>90.934271999999993</v>
      </c>
      <c r="I17" s="12">
        <f>F17/12*G17</f>
        <v>7577.8560000000007</v>
      </c>
    </row>
    <row r="18" spans="1:9" ht="17.25" customHeight="1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>SUM(F18*G18/1000)</f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85</v>
      </c>
      <c r="C19" s="54" t="s">
        <v>86</v>
      </c>
      <c r="D19" s="53" t="s">
        <v>87</v>
      </c>
      <c r="E19" s="55">
        <v>93.4</v>
      </c>
      <c r="F19" s="56">
        <f>SUM(E19/10)</f>
        <v>9.34</v>
      </c>
      <c r="G19" s="139">
        <v>223.17</v>
      </c>
      <c r="H19" s="57">
        <f t="shared" ref="H19:H24" si="0">SUM(F19*G19/1000)</f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88</v>
      </c>
      <c r="C20" s="54" t="s">
        <v>84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>
        <v>5</v>
      </c>
      <c r="B21" s="53" t="s">
        <v>89</v>
      </c>
      <c r="C21" s="54" t="s">
        <v>84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90</v>
      </c>
      <c r="C22" s="54" t="s">
        <v>50</v>
      </c>
      <c r="D22" s="53" t="s">
        <v>87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91</v>
      </c>
      <c r="C23" s="54" t="s">
        <v>50</v>
      </c>
      <c r="D23" s="53" t="s">
        <v>87</v>
      </c>
      <c r="E23" s="58">
        <v>35.28</v>
      </c>
      <c r="F23" s="56">
        <f>SUM(E23/100)</f>
        <v>0.3528</v>
      </c>
      <c r="G23" s="139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92</v>
      </c>
      <c r="C24" s="54" t="s">
        <v>50</v>
      </c>
      <c r="D24" s="53" t="s">
        <v>87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0"/>
        <v>0.19671840000000002</v>
      </c>
      <c r="I24" s="12">
        <f>F24*G24</f>
        <v>196.7184</v>
      </c>
    </row>
    <row r="25" spans="1:9" ht="16.5" hidden="1" customHeight="1">
      <c r="A25" s="26">
        <v>4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 ht="17.25" hidden="1" customHeight="1">
      <c r="A26" s="26">
        <v>5</v>
      </c>
      <c r="B26" s="61" t="s">
        <v>23</v>
      </c>
      <c r="C26" s="54" t="s">
        <v>24</v>
      </c>
      <c r="D26" s="53" t="s">
        <v>155</v>
      </c>
      <c r="E26" s="55">
        <v>3945</v>
      </c>
      <c r="F26" s="56">
        <f>SUM(E26*12)</f>
        <v>47340</v>
      </c>
      <c r="G26" s="139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22" t="s">
        <v>156</v>
      </c>
      <c r="B27" s="223"/>
      <c r="C27" s="223"/>
      <c r="D27" s="223"/>
      <c r="E27" s="223"/>
      <c r="F27" s="223"/>
      <c r="G27" s="223"/>
      <c r="H27" s="223"/>
      <c r="I27" s="224"/>
    </row>
    <row r="28" spans="1:9" ht="19.5" customHeight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t="17.25" customHeight="1">
      <c r="A29" s="26">
        <v>4</v>
      </c>
      <c r="B29" s="53" t="s">
        <v>93</v>
      </c>
      <c r="C29" s="54" t="s">
        <v>157</v>
      </c>
      <c r="D29" s="184" t="s">
        <v>184</v>
      </c>
      <c r="E29" s="56">
        <v>1044.6500000000001</v>
      </c>
      <c r="F29" s="56">
        <f>SUM(E29*52/1000)</f>
        <v>54.321800000000003</v>
      </c>
      <c r="G29" s="139">
        <v>204.44</v>
      </c>
      <c r="H29" s="57">
        <f>SUM(F29*G29/1000)</f>
        <v>11.105548792000002</v>
      </c>
      <c r="I29" s="12">
        <f>17.064/6*G29</f>
        <v>581.42736000000002</v>
      </c>
    </row>
    <row r="30" spans="1:9" ht="32.25" customHeight="1">
      <c r="A30" s="26">
        <v>5</v>
      </c>
      <c r="B30" s="53" t="s">
        <v>121</v>
      </c>
      <c r="C30" s="54" t="s">
        <v>94</v>
      </c>
      <c r="D30" s="184" t="s">
        <v>184</v>
      </c>
      <c r="E30" s="56">
        <v>116.93</v>
      </c>
      <c r="F30" s="56">
        <f>SUM(E30*78/1000)</f>
        <v>9.1205400000000001</v>
      </c>
      <c r="G30" s="139">
        <v>339.21</v>
      </c>
      <c r="H30" s="57">
        <f>SUM(F30*G30/1000)</f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94</v>
      </c>
      <c r="D31" s="184" t="s">
        <v>192</v>
      </c>
      <c r="E31" s="56">
        <v>1044.6500000000001</v>
      </c>
      <c r="F31" s="56">
        <f>SUM(E31/1000)</f>
        <v>1.0446500000000001</v>
      </c>
      <c r="G31" s="139">
        <v>3961.23</v>
      </c>
      <c r="H31" s="57">
        <f>SUM(F31*G31/1000)</f>
        <v>4.1380989195</v>
      </c>
      <c r="I31" s="12">
        <f>0.3555*G31</f>
        <v>1408.217265</v>
      </c>
    </row>
    <row r="32" spans="1:9" ht="17.25" customHeight="1">
      <c r="A32" s="26">
        <v>6</v>
      </c>
      <c r="B32" s="53" t="s">
        <v>112</v>
      </c>
      <c r="C32" s="54" t="s">
        <v>38</v>
      </c>
      <c r="D32" s="184" t="s">
        <v>184</v>
      </c>
      <c r="E32" s="56">
        <v>6</v>
      </c>
      <c r="F32" s="56">
        <v>9.3000000000000007</v>
      </c>
      <c r="G32" s="139">
        <v>1707.63</v>
      </c>
      <c r="H32" s="57">
        <f>G32*F32/1000</f>
        <v>15.880959000000002</v>
      </c>
      <c r="I32" s="12">
        <f>2.88/6*G32</f>
        <v>819.66240000000005</v>
      </c>
    </row>
    <row r="33" spans="1:9" hidden="1">
      <c r="A33" s="26"/>
      <c r="B33" s="53" t="s">
        <v>61</v>
      </c>
      <c r="C33" s="54" t="s">
        <v>32</v>
      </c>
      <c r="D33" s="53" t="s">
        <v>63</v>
      </c>
      <c r="E33" s="55"/>
      <c r="F33" s="56">
        <v>3</v>
      </c>
      <c r="G33" s="56">
        <v>204.52</v>
      </c>
      <c r="H33" s="57">
        <f>SUM(F33*G33/1000)</f>
        <v>0.61356000000000011</v>
      </c>
      <c r="I33" s="12">
        <v>0</v>
      </c>
    </row>
    <row r="34" spans="1:9" hidden="1">
      <c r="A34" s="26"/>
      <c r="B34" s="53" t="s">
        <v>62</v>
      </c>
      <c r="C34" s="54" t="s">
        <v>31</v>
      </c>
      <c r="D34" s="53" t="s">
        <v>63</v>
      </c>
      <c r="E34" s="55"/>
      <c r="F34" s="56">
        <v>2</v>
      </c>
      <c r="G34" s="56">
        <v>1136.33</v>
      </c>
      <c r="H34" s="57">
        <f>SUM(F34*G34/1000)</f>
        <v>2.2726599999999997</v>
      </c>
      <c r="I34" s="12">
        <v>0</v>
      </c>
    </row>
    <row r="35" spans="1:9" hidden="1">
      <c r="A35" s="26"/>
      <c r="B35" s="75" t="s">
        <v>5</v>
      </c>
      <c r="C35" s="54"/>
      <c r="D35" s="53"/>
      <c r="E35" s="55"/>
      <c r="F35" s="56"/>
      <c r="G35" s="56"/>
      <c r="H35" s="57" t="s">
        <v>119</v>
      </c>
      <c r="I35" s="12"/>
    </row>
    <row r="36" spans="1:9" hidden="1">
      <c r="A36" s="26">
        <v>6</v>
      </c>
      <c r="B36" s="53" t="s">
        <v>26</v>
      </c>
      <c r="C36" s="54" t="s">
        <v>31</v>
      </c>
      <c r="D36" s="53"/>
      <c r="E36" s="55"/>
      <c r="F36" s="56">
        <v>8</v>
      </c>
      <c r="G36" s="56">
        <v>1632.6</v>
      </c>
      <c r="H36" s="57">
        <f t="shared" ref="H36:H43" si="1">SUM(F36*G36/1000)</f>
        <v>13.060799999999999</v>
      </c>
      <c r="I36" s="12">
        <f>F36/6*G36</f>
        <v>2176.7999999999997</v>
      </c>
    </row>
    <row r="37" spans="1:9" hidden="1">
      <c r="A37" s="26">
        <v>7</v>
      </c>
      <c r="B37" s="53" t="s">
        <v>158</v>
      </c>
      <c r="C37" s="54" t="s">
        <v>29</v>
      </c>
      <c r="D37" s="53" t="s">
        <v>159</v>
      </c>
      <c r="E37" s="55">
        <v>477.19</v>
      </c>
      <c r="F37" s="56">
        <f>E37*12/1000</f>
        <v>5.72628</v>
      </c>
      <c r="G37" s="56">
        <v>2247.8000000000002</v>
      </c>
      <c r="H37" s="57">
        <f>G37*F37/1000</f>
        <v>12.871532184000001</v>
      </c>
      <c r="I37" s="12">
        <f>F37/6*G37</f>
        <v>2145.2553640000001</v>
      </c>
    </row>
    <row r="38" spans="1:9" hidden="1">
      <c r="A38" s="26">
        <v>8</v>
      </c>
      <c r="B38" s="53" t="s">
        <v>160</v>
      </c>
      <c r="C38" s="54" t="s">
        <v>29</v>
      </c>
      <c r="D38" s="53" t="s">
        <v>96</v>
      </c>
      <c r="E38" s="55">
        <v>116.93</v>
      </c>
      <c r="F38" s="56">
        <f>E38*30/1000</f>
        <v>3.5079000000000002</v>
      </c>
      <c r="G38" s="56">
        <v>2247.8000000000002</v>
      </c>
      <c r="H38" s="57">
        <f>G38*F38/1000</f>
        <v>7.8850576200000013</v>
      </c>
      <c r="I38" s="12">
        <f>F38/6*G38</f>
        <v>1314.1762700000002</v>
      </c>
    </row>
    <row r="39" spans="1:9" hidden="1">
      <c r="A39" s="26"/>
      <c r="B39" s="53" t="s">
        <v>161</v>
      </c>
      <c r="C39" s="54" t="s">
        <v>162</v>
      </c>
      <c r="D39" s="53" t="s">
        <v>63</v>
      </c>
      <c r="E39" s="55"/>
      <c r="F39" s="56">
        <v>135</v>
      </c>
      <c r="G39" s="56">
        <v>213.2</v>
      </c>
      <c r="H39" s="57">
        <f>G39*F39/1000</f>
        <v>28.782</v>
      </c>
      <c r="I39" s="12">
        <v>0</v>
      </c>
    </row>
    <row r="40" spans="1:9" hidden="1">
      <c r="A40" s="26">
        <v>9</v>
      </c>
      <c r="B40" s="53" t="s">
        <v>64</v>
      </c>
      <c r="C40" s="54" t="s">
        <v>29</v>
      </c>
      <c r="D40" s="53" t="s">
        <v>97</v>
      </c>
      <c r="E40" s="56">
        <v>116.93</v>
      </c>
      <c r="F40" s="56">
        <f>SUM(E40*155/1000)</f>
        <v>18.12415</v>
      </c>
      <c r="G40" s="56">
        <v>374.95</v>
      </c>
      <c r="H40" s="57">
        <f t="shared" si="1"/>
        <v>6.7956500424999993</v>
      </c>
      <c r="I40" s="12">
        <f>F40/6*G40</f>
        <v>1132.6083404166666</v>
      </c>
    </row>
    <row r="41" spans="1:9" ht="45" hidden="1">
      <c r="A41" s="26">
        <v>10</v>
      </c>
      <c r="B41" s="53" t="s">
        <v>76</v>
      </c>
      <c r="C41" s="54" t="s">
        <v>94</v>
      </c>
      <c r="D41" s="53" t="s">
        <v>113</v>
      </c>
      <c r="E41" s="56">
        <v>116.93</v>
      </c>
      <c r="F41" s="56">
        <f>SUM(E41*24/1000)</f>
        <v>2.8063200000000004</v>
      </c>
      <c r="G41" s="56">
        <v>6203.71</v>
      </c>
      <c r="H41" s="57">
        <f t="shared" si="1"/>
        <v>17.409595447200001</v>
      </c>
      <c r="I41" s="12">
        <f>F41/6*G41</f>
        <v>2901.5992412000005</v>
      </c>
    </row>
    <row r="42" spans="1:9" hidden="1">
      <c r="A42" s="26">
        <v>11</v>
      </c>
      <c r="B42" s="53" t="s">
        <v>98</v>
      </c>
      <c r="C42" s="54" t="s">
        <v>94</v>
      </c>
      <c r="D42" s="53" t="s">
        <v>163</v>
      </c>
      <c r="E42" s="56">
        <v>116.93</v>
      </c>
      <c r="F42" s="56">
        <f>SUM(E42*45/1000)</f>
        <v>5.2618500000000008</v>
      </c>
      <c r="G42" s="56">
        <v>458.28</v>
      </c>
      <c r="H42" s="57">
        <f t="shared" si="1"/>
        <v>2.4114006180000001</v>
      </c>
      <c r="I42" s="12">
        <f>F42/6*G42</f>
        <v>401.90010300000006</v>
      </c>
    </row>
    <row r="43" spans="1:9" hidden="1">
      <c r="A43" s="26">
        <v>12</v>
      </c>
      <c r="B43" s="53" t="s">
        <v>65</v>
      </c>
      <c r="C43" s="54" t="s">
        <v>32</v>
      </c>
      <c r="D43" s="53"/>
      <c r="E43" s="55"/>
      <c r="F43" s="56">
        <v>0.9</v>
      </c>
      <c r="G43" s="56">
        <v>798</v>
      </c>
      <c r="H43" s="57">
        <f t="shared" si="1"/>
        <v>0.71820000000000006</v>
      </c>
      <c r="I43" s="12">
        <f>F43/6*G43</f>
        <v>119.69999999999999</v>
      </c>
    </row>
    <row r="44" spans="1:9" ht="30" hidden="1">
      <c r="A44" s="198">
        <v>8</v>
      </c>
      <c r="B44" s="110" t="s">
        <v>132</v>
      </c>
      <c r="C44" s="111" t="s">
        <v>29</v>
      </c>
      <c r="D44" s="174" t="s">
        <v>191</v>
      </c>
      <c r="E44" s="175">
        <v>1.2</v>
      </c>
      <c r="F44" s="176">
        <f>SUM(E44*12/1000)</f>
        <v>1.4399999999999998E-2</v>
      </c>
      <c r="G44" s="176">
        <v>260.2</v>
      </c>
      <c r="H44" s="48"/>
      <c r="I44" s="199">
        <f>G44*1.2/1000</f>
        <v>0.31223999999999996</v>
      </c>
    </row>
    <row r="45" spans="1:9" hidden="1">
      <c r="A45" s="222" t="s">
        <v>164</v>
      </c>
      <c r="B45" s="223"/>
      <c r="C45" s="223"/>
      <c r="D45" s="223"/>
      <c r="E45" s="223"/>
      <c r="F45" s="223"/>
      <c r="G45" s="223"/>
      <c r="H45" s="223"/>
      <c r="I45" s="224"/>
    </row>
    <row r="46" spans="1:9" hidden="1">
      <c r="A46" s="26">
        <v>12</v>
      </c>
      <c r="B46" s="53" t="s">
        <v>115</v>
      </c>
      <c r="C46" s="54" t="s">
        <v>94</v>
      </c>
      <c r="D46" s="53" t="s">
        <v>40</v>
      </c>
      <c r="E46" s="55">
        <v>1030.4000000000001</v>
      </c>
      <c r="F46" s="56">
        <f>SUM(E46*2/1000)</f>
        <v>2.0608</v>
      </c>
      <c r="G46" s="135">
        <v>1114.1300000000001</v>
      </c>
      <c r="H46" s="57">
        <f t="shared" ref="H46:H55" si="2">SUM(F46*G46/1000)</f>
        <v>2.2959991039999998</v>
      </c>
      <c r="I46" s="12">
        <f>F46/2*G46</f>
        <v>1147.999552</v>
      </c>
    </row>
    <row r="47" spans="1:9" hidden="1">
      <c r="A47" s="26">
        <v>13</v>
      </c>
      <c r="B47" s="53" t="s">
        <v>33</v>
      </c>
      <c r="C47" s="54" t="s">
        <v>94</v>
      </c>
      <c r="D47" s="53" t="s">
        <v>40</v>
      </c>
      <c r="E47" s="55">
        <v>132</v>
      </c>
      <c r="F47" s="56">
        <f>E47*2/1000</f>
        <v>0.26400000000000001</v>
      </c>
      <c r="G47" s="135">
        <v>4419.05</v>
      </c>
      <c r="H47" s="57">
        <f t="shared" si="2"/>
        <v>1.1666292</v>
      </c>
      <c r="I47" s="12">
        <f>F47/2*G47</f>
        <v>583.31460000000004</v>
      </c>
    </row>
    <row r="48" spans="1:9" hidden="1">
      <c r="A48" s="26">
        <v>14</v>
      </c>
      <c r="B48" s="53" t="s">
        <v>34</v>
      </c>
      <c r="C48" s="54" t="s">
        <v>94</v>
      </c>
      <c r="D48" s="53" t="s">
        <v>40</v>
      </c>
      <c r="E48" s="55">
        <v>4248.22</v>
      </c>
      <c r="F48" s="56">
        <f>SUM(E48*2/1000)</f>
        <v>8.4964399999999998</v>
      </c>
      <c r="G48" s="135">
        <v>1803.69</v>
      </c>
      <c r="H48" s="57">
        <f t="shared" si="2"/>
        <v>15.3249438636</v>
      </c>
      <c r="I48" s="12">
        <f>F48/2*G48</f>
        <v>7662.4719317999998</v>
      </c>
    </row>
    <row r="49" spans="1:9" hidden="1">
      <c r="A49" s="26">
        <v>15</v>
      </c>
      <c r="B49" s="53" t="s">
        <v>35</v>
      </c>
      <c r="C49" s="54" t="s">
        <v>94</v>
      </c>
      <c r="D49" s="53" t="s">
        <v>40</v>
      </c>
      <c r="E49" s="55">
        <v>2163.66</v>
      </c>
      <c r="F49" s="56">
        <f>SUM(E49*2/1000)</f>
        <v>4.3273199999999994</v>
      </c>
      <c r="G49" s="135">
        <v>1243.43</v>
      </c>
      <c r="H49" s="57">
        <f t="shared" si="2"/>
        <v>5.3807195075999994</v>
      </c>
      <c r="I49" s="12">
        <f>F49/2*G49</f>
        <v>2690.3597537999999</v>
      </c>
    </row>
    <row r="50" spans="1:9" hidden="1">
      <c r="A50" s="26">
        <v>16</v>
      </c>
      <c r="B50" s="53" t="s">
        <v>53</v>
      </c>
      <c r="C50" s="54" t="s">
        <v>94</v>
      </c>
      <c r="D50" s="53" t="s">
        <v>125</v>
      </c>
      <c r="E50" s="55">
        <v>1015.4</v>
      </c>
      <c r="F50" s="56">
        <f>SUM(E50*5/1000)</f>
        <v>5.077</v>
      </c>
      <c r="G50" s="135">
        <v>1083.69</v>
      </c>
      <c r="H50" s="57">
        <f t="shared" si="2"/>
        <v>5.5018941300000002</v>
      </c>
      <c r="I50" s="12">
        <f>3.945*G50</f>
        <v>4275.1570499999998</v>
      </c>
    </row>
    <row r="51" spans="1:9" ht="34.5" hidden="1" customHeight="1">
      <c r="A51" s="26">
        <v>10</v>
      </c>
      <c r="B51" s="53" t="s">
        <v>99</v>
      </c>
      <c r="C51" s="54" t="s">
        <v>94</v>
      </c>
      <c r="D51" s="53" t="s">
        <v>40</v>
      </c>
      <c r="E51" s="171">
        <v>3945</v>
      </c>
      <c r="F51" s="139">
        <f>SUM(E51*2/1000)</f>
        <v>7.89</v>
      </c>
      <c r="G51" s="135">
        <v>1591.6</v>
      </c>
      <c r="H51" s="57">
        <f t="shared" si="2"/>
        <v>12.557723999999999</v>
      </c>
      <c r="I51" s="12">
        <f>G51*F51/2</f>
        <v>6278.8619999999992</v>
      </c>
    </row>
    <row r="52" spans="1:9" ht="28.5" hidden="1" customHeight="1">
      <c r="A52" s="26">
        <v>11</v>
      </c>
      <c r="B52" s="53" t="s">
        <v>100</v>
      </c>
      <c r="C52" s="54" t="s">
        <v>36</v>
      </c>
      <c r="D52" s="53" t="s">
        <v>40</v>
      </c>
      <c r="E52" s="171">
        <v>30</v>
      </c>
      <c r="F52" s="139">
        <f>SUM(E52*2/100)</f>
        <v>0.6</v>
      </c>
      <c r="G52" s="135">
        <v>4058.32</v>
      </c>
      <c r="H52" s="57">
        <f t="shared" si="2"/>
        <v>2.4349920000000003</v>
      </c>
      <c r="I52" s="12">
        <f>G52*F52/2</f>
        <v>1217.4960000000001</v>
      </c>
    </row>
    <row r="53" spans="1:9" ht="15" hidden="1" customHeight="1">
      <c r="A53" s="26">
        <v>12</v>
      </c>
      <c r="B53" s="53" t="s">
        <v>37</v>
      </c>
      <c r="C53" s="54" t="s">
        <v>38</v>
      </c>
      <c r="D53" s="53" t="s">
        <v>40</v>
      </c>
      <c r="E53" s="171">
        <v>1</v>
      </c>
      <c r="F53" s="139">
        <v>0.02</v>
      </c>
      <c r="G53" s="135">
        <v>7412.92</v>
      </c>
      <c r="H53" s="57">
        <f t="shared" si="2"/>
        <v>0.14825839999999998</v>
      </c>
      <c r="I53" s="12">
        <f>G53*F53/2</f>
        <v>74.129199999999997</v>
      </c>
    </row>
    <row r="54" spans="1:9" hidden="1">
      <c r="A54" s="26">
        <v>17</v>
      </c>
      <c r="B54" s="53" t="s">
        <v>114</v>
      </c>
      <c r="C54" s="54" t="s">
        <v>80</v>
      </c>
      <c r="D54" s="53" t="s">
        <v>66</v>
      </c>
      <c r="E54" s="55">
        <v>90</v>
      </c>
      <c r="F54" s="56">
        <f>E54*4</f>
        <v>360</v>
      </c>
      <c r="G54" s="135">
        <v>185.08</v>
      </c>
      <c r="H54" s="57">
        <f>F54*G54/1000</f>
        <v>66.628799999999998</v>
      </c>
      <c r="I54" s="12">
        <f>G54*E54</f>
        <v>16657.2</v>
      </c>
    </row>
    <row r="55" spans="1:9" hidden="1">
      <c r="A55" s="26">
        <v>18</v>
      </c>
      <c r="B55" s="53" t="s">
        <v>39</v>
      </c>
      <c r="C55" s="54" t="s">
        <v>80</v>
      </c>
      <c r="D55" s="53" t="s">
        <v>66</v>
      </c>
      <c r="E55" s="55">
        <v>180</v>
      </c>
      <c r="F55" s="56">
        <f>SUM(E55)*3</f>
        <v>540</v>
      </c>
      <c r="G55" s="138">
        <v>86.15</v>
      </c>
      <c r="H55" s="57">
        <f t="shared" si="2"/>
        <v>46.521000000000001</v>
      </c>
      <c r="I55" s="12">
        <f>G55*E55</f>
        <v>15507.000000000002</v>
      </c>
    </row>
    <row r="56" spans="1:9">
      <c r="A56" s="222" t="s">
        <v>149</v>
      </c>
      <c r="B56" s="223"/>
      <c r="C56" s="223"/>
      <c r="D56" s="223"/>
      <c r="E56" s="223"/>
      <c r="F56" s="223"/>
      <c r="G56" s="223"/>
      <c r="H56" s="223"/>
      <c r="I56" s="224"/>
    </row>
    <row r="57" spans="1:9" hidden="1">
      <c r="A57" s="26"/>
      <c r="B57" s="75" t="s">
        <v>41</v>
      </c>
      <c r="C57" s="54"/>
      <c r="D57" s="53"/>
      <c r="E57" s="55"/>
      <c r="F57" s="56"/>
      <c r="G57" s="56"/>
      <c r="H57" s="57"/>
      <c r="I57" s="12"/>
    </row>
    <row r="58" spans="1:9" ht="30" hidden="1">
      <c r="A58" s="26">
        <v>16</v>
      </c>
      <c r="B58" s="53" t="s">
        <v>165</v>
      </c>
      <c r="C58" s="54" t="s">
        <v>84</v>
      </c>
      <c r="D58" s="53" t="s">
        <v>101</v>
      </c>
      <c r="E58" s="55">
        <v>148.04</v>
      </c>
      <c r="F58" s="56">
        <f>SUM(E58*6/100)</f>
        <v>8.8824000000000005</v>
      </c>
      <c r="G58" s="12">
        <v>1654.04</v>
      </c>
      <c r="H58" s="57">
        <f>SUM(F58*G58/1000)</f>
        <v>14.691844896000001</v>
      </c>
      <c r="I58" s="12">
        <f>F58/6*G58</f>
        <v>2448.6408160000001</v>
      </c>
    </row>
    <row r="59" spans="1:9" ht="30" hidden="1">
      <c r="A59" s="26">
        <v>17</v>
      </c>
      <c r="B59" s="53" t="s">
        <v>78</v>
      </c>
      <c r="C59" s="54" t="s">
        <v>84</v>
      </c>
      <c r="D59" s="53" t="s">
        <v>79</v>
      </c>
      <c r="E59" s="55">
        <v>39.700000000000003</v>
      </c>
      <c r="F59" s="56">
        <f>SUM(E59*12/100)</f>
        <v>4.7640000000000002</v>
      </c>
      <c r="G59" s="12">
        <v>1654.04</v>
      </c>
      <c r="H59" s="57">
        <f>SUM(F59*G59/1000)</f>
        <v>7.8798465599999998</v>
      </c>
      <c r="I59" s="12">
        <f>F59/6*G59</f>
        <v>1313.3077600000001</v>
      </c>
    </row>
    <row r="60" spans="1:9" hidden="1">
      <c r="A60" s="26">
        <v>18</v>
      </c>
      <c r="B60" s="62" t="s">
        <v>116</v>
      </c>
      <c r="C60" s="63" t="s">
        <v>117</v>
      </c>
      <c r="D60" s="62" t="s">
        <v>40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idden="1">
      <c r="A61" s="26">
        <v>19</v>
      </c>
      <c r="B61" s="53" t="s">
        <v>118</v>
      </c>
      <c r="C61" s="54" t="s">
        <v>84</v>
      </c>
      <c r="D61" s="53" t="s">
        <v>101</v>
      </c>
      <c r="E61" s="55">
        <v>41.73</v>
      </c>
      <c r="F61" s="56">
        <f>SUM(E61*6/100)</f>
        <v>2.5038</v>
      </c>
      <c r="G61" s="12">
        <v>1654.04</v>
      </c>
      <c r="H61" s="57">
        <f>SUM(F61*G61/1000)</f>
        <v>4.1413853520000004</v>
      </c>
      <c r="I61" s="12">
        <f>F61/6*G61</f>
        <v>690.23089200000004</v>
      </c>
    </row>
    <row r="62" spans="1:9" ht="14.25" customHeight="1">
      <c r="A62" s="26"/>
      <c r="B62" s="76" t="s">
        <v>42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166</v>
      </c>
      <c r="C63" s="63" t="s">
        <v>50</v>
      </c>
      <c r="D63" s="62" t="s">
        <v>51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18" customHeight="1">
      <c r="A64" s="26">
        <v>7</v>
      </c>
      <c r="B64" s="62" t="s">
        <v>81</v>
      </c>
      <c r="C64" s="63" t="s">
        <v>25</v>
      </c>
      <c r="D64" s="62" t="s">
        <v>192</v>
      </c>
      <c r="E64" s="64">
        <v>203.1</v>
      </c>
      <c r="F64" s="67">
        <f>E64*12</f>
        <v>2437.1999999999998</v>
      </c>
      <c r="G64" s="48">
        <v>1.4</v>
      </c>
      <c r="H64" s="65">
        <f>F64*G64/1000</f>
        <v>3.4120799999999996</v>
      </c>
      <c r="I64" s="12">
        <f>2400/12*G64</f>
        <v>280</v>
      </c>
    </row>
    <row r="65" spans="1:9" ht="16.5" customHeight="1">
      <c r="A65" s="26"/>
      <c r="B65" s="76" t="s">
        <v>43</v>
      </c>
      <c r="C65" s="63"/>
      <c r="D65" s="62"/>
      <c r="E65" s="64"/>
      <c r="F65" s="67"/>
      <c r="G65" s="67"/>
      <c r="H65" s="65" t="s">
        <v>119</v>
      </c>
      <c r="I65" s="12"/>
    </row>
    <row r="66" spans="1:9" ht="15" hidden="1" customHeight="1">
      <c r="A66" s="26">
        <v>9</v>
      </c>
      <c r="B66" s="13" t="s">
        <v>44</v>
      </c>
      <c r="C66" s="15" t="s">
        <v>80</v>
      </c>
      <c r="D66" s="13" t="s">
        <v>185</v>
      </c>
      <c r="E66" s="17">
        <v>10</v>
      </c>
      <c r="F66" s="56">
        <v>10</v>
      </c>
      <c r="G66" s="135">
        <v>291.68</v>
      </c>
      <c r="H66" s="68">
        <f t="shared" ref="H66:H79" si="3">SUM(F66*G66/1000)</f>
        <v>2.9168000000000003</v>
      </c>
      <c r="I66" s="12">
        <f>G66*2</f>
        <v>583.36</v>
      </c>
    </row>
    <row r="67" spans="1:9">
      <c r="A67" s="26">
        <v>8</v>
      </c>
      <c r="B67" s="13" t="s">
        <v>45</v>
      </c>
      <c r="C67" s="15" t="s">
        <v>80</v>
      </c>
      <c r="D67" s="13" t="s">
        <v>191</v>
      </c>
      <c r="E67" s="17">
        <v>5</v>
      </c>
      <c r="F67" s="56">
        <v>5</v>
      </c>
      <c r="G67" s="135">
        <v>100.01</v>
      </c>
      <c r="H67" s="68">
        <f t="shared" si="3"/>
        <v>0.50004999999999999</v>
      </c>
      <c r="I67" s="12">
        <f>G67*1</f>
        <v>100.01</v>
      </c>
    </row>
    <row r="68" spans="1:9" hidden="1">
      <c r="A68" s="26">
        <v>25</v>
      </c>
      <c r="B68" s="13" t="s">
        <v>46</v>
      </c>
      <c r="C68" s="15" t="s">
        <v>103</v>
      </c>
      <c r="D68" s="13" t="s">
        <v>51</v>
      </c>
      <c r="E68" s="55">
        <v>14205</v>
      </c>
      <c r="F68" s="12">
        <f>SUM(E68/100)</f>
        <v>142.05000000000001</v>
      </c>
      <c r="G68" s="135">
        <v>278.24</v>
      </c>
      <c r="H68" s="68">
        <f t="shared" si="3"/>
        <v>39.523992000000007</v>
      </c>
      <c r="I68" s="12">
        <f>F68*G68</f>
        <v>39523.992000000006</v>
      </c>
    </row>
    <row r="69" spans="1:9" hidden="1">
      <c r="A69" s="26">
        <v>26</v>
      </c>
      <c r="B69" s="13" t="s">
        <v>47</v>
      </c>
      <c r="C69" s="15" t="s">
        <v>104</v>
      </c>
      <c r="D69" s="13" t="s">
        <v>51</v>
      </c>
      <c r="E69" s="55">
        <v>14205</v>
      </c>
      <c r="F69" s="12">
        <f>SUM(E69/1000)</f>
        <v>14.205</v>
      </c>
      <c r="G69" s="135">
        <v>216.68</v>
      </c>
      <c r="H69" s="68">
        <f t="shared" si="3"/>
        <v>3.0779394</v>
      </c>
      <c r="I69" s="12">
        <f>F69*G69</f>
        <v>3077.9394000000002</v>
      </c>
    </row>
    <row r="70" spans="1:9" hidden="1">
      <c r="A70" s="26">
        <v>27</v>
      </c>
      <c r="B70" s="13" t="s">
        <v>48</v>
      </c>
      <c r="C70" s="15" t="s">
        <v>72</v>
      </c>
      <c r="D70" s="13" t="s">
        <v>51</v>
      </c>
      <c r="E70" s="55">
        <v>2131</v>
      </c>
      <c r="F70" s="12">
        <f>SUM(E70/100)</f>
        <v>21.31</v>
      </c>
      <c r="G70" s="135">
        <v>2720.94</v>
      </c>
      <c r="H70" s="68">
        <f t="shared" si="3"/>
        <v>57.983231399999994</v>
      </c>
      <c r="I70" s="12">
        <f>F70*G70</f>
        <v>57983.231399999997</v>
      </c>
    </row>
    <row r="71" spans="1:9" hidden="1">
      <c r="A71" s="26">
        <v>28</v>
      </c>
      <c r="B71" s="69" t="s">
        <v>105</v>
      </c>
      <c r="C71" s="15" t="s">
        <v>32</v>
      </c>
      <c r="D71" s="13" t="s">
        <v>51</v>
      </c>
      <c r="E71" s="55">
        <v>12.48</v>
      </c>
      <c r="F71" s="12">
        <f>SUM(E71)</f>
        <v>12.48</v>
      </c>
      <c r="G71" s="135">
        <v>44.31</v>
      </c>
      <c r="H71" s="68">
        <f t="shared" si="3"/>
        <v>0.55298880000000006</v>
      </c>
      <c r="I71" s="12">
        <f>7*G71</f>
        <v>310.17</v>
      </c>
    </row>
    <row r="72" spans="1:9" hidden="1">
      <c r="A72" s="26">
        <v>29</v>
      </c>
      <c r="B72" s="69" t="s">
        <v>106</v>
      </c>
      <c r="C72" s="15" t="s">
        <v>32</v>
      </c>
      <c r="D72" s="13" t="s">
        <v>51</v>
      </c>
      <c r="E72" s="55">
        <v>12.48</v>
      </c>
      <c r="F72" s="12">
        <f>SUM(E72)</f>
        <v>12.48</v>
      </c>
      <c r="G72" s="135">
        <v>47.79</v>
      </c>
      <c r="H72" s="68">
        <f t="shared" si="3"/>
        <v>0.59641920000000004</v>
      </c>
      <c r="I72" s="12">
        <f>7*G72</f>
        <v>334.53</v>
      </c>
    </row>
    <row r="73" spans="1:9" hidden="1">
      <c r="A73" s="26">
        <v>21</v>
      </c>
      <c r="B73" s="13" t="s">
        <v>54</v>
      </c>
      <c r="C73" s="15" t="s">
        <v>55</v>
      </c>
      <c r="D73" s="13" t="s">
        <v>51</v>
      </c>
      <c r="E73" s="17">
        <v>5</v>
      </c>
      <c r="F73" s="56">
        <v>6</v>
      </c>
      <c r="G73" s="12">
        <v>65.42</v>
      </c>
      <c r="H73" s="68">
        <f t="shared" si="3"/>
        <v>0.39251999999999998</v>
      </c>
      <c r="I73" s="12">
        <f>F73/1*G73</f>
        <v>392.52</v>
      </c>
    </row>
    <row r="74" spans="1:9">
      <c r="A74" s="26"/>
      <c r="B74" s="159" t="s">
        <v>67</v>
      </c>
      <c r="C74" s="15"/>
      <c r="D74" s="13"/>
      <c r="E74" s="17"/>
      <c r="F74" s="12"/>
      <c r="G74" s="12"/>
      <c r="H74" s="68" t="s">
        <v>119</v>
      </c>
      <c r="I74" s="12"/>
    </row>
    <row r="75" spans="1:9">
      <c r="A75" s="26">
        <v>9</v>
      </c>
      <c r="B75" s="13" t="s">
        <v>68</v>
      </c>
      <c r="C75" s="15" t="s">
        <v>70</v>
      </c>
      <c r="D75" s="13" t="s">
        <v>198</v>
      </c>
      <c r="E75" s="17">
        <v>2</v>
      </c>
      <c r="F75" s="12">
        <v>0.2</v>
      </c>
      <c r="G75" s="135">
        <v>657.87</v>
      </c>
      <c r="H75" s="68">
        <f t="shared" si="3"/>
        <v>0.13157400000000002</v>
      </c>
      <c r="I75" s="12">
        <f>G75*0.1</f>
        <v>65.787000000000006</v>
      </c>
    </row>
    <row r="76" spans="1:9" hidden="1">
      <c r="A76" s="26"/>
      <c r="B76" s="13" t="s">
        <v>69</v>
      </c>
      <c r="C76" s="15" t="s">
        <v>30</v>
      </c>
      <c r="D76" s="13" t="s">
        <v>63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idden="1">
      <c r="A77" s="26"/>
      <c r="B77" s="13" t="s">
        <v>167</v>
      </c>
      <c r="C77" s="15" t="s">
        <v>30</v>
      </c>
      <c r="D77" s="13" t="s">
        <v>63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71</v>
      </c>
      <c r="C78" s="15"/>
      <c r="D78" s="13"/>
      <c r="E78" s="17"/>
      <c r="F78" s="12"/>
      <c r="G78" s="12" t="s">
        <v>119</v>
      </c>
      <c r="H78" s="68" t="s">
        <v>119</v>
      </c>
      <c r="I78" s="12"/>
    </row>
    <row r="79" spans="1:9" hidden="1">
      <c r="A79" s="26">
        <v>22</v>
      </c>
      <c r="B79" s="39" t="s">
        <v>109</v>
      </c>
      <c r="C79" s="15" t="s">
        <v>72</v>
      </c>
      <c r="D79" s="13"/>
      <c r="E79" s="17"/>
      <c r="F79" s="12">
        <v>0.9</v>
      </c>
      <c r="G79" s="12">
        <v>2757.42</v>
      </c>
      <c r="H79" s="68">
        <f t="shared" si="3"/>
        <v>2.4816780000000005</v>
      </c>
      <c r="I79" s="12">
        <f>G79*F79</f>
        <v>2481.6780000000003</v>
      </c>
    </row>
    <row r="80" spans="1:9" ht="16.5" customHeight="1">
      <c r="A80" s="26"/>
      <c r="B80" s="159" t="s">
        <v>107</v>
      </c>
      <c r="C80" s="70"/>
      <c r="D80" s="28"/>
      <c r="E80" s="29"/>
      <c r="F80" s="59"/>
      <c r="G80" s="59"/>
      <c r="H80" s="71">
        <f>SUM(H58:H79)</f>
        <v>151.283798588</v>
      </c>
      <c r="I80" s="59"/>
    </row>
    <row r="81" spans="1:9">
      <c r="A81" s="124">
        <v>10</v>
      </c>
      <c r="B81" s="62" t="s">
        <v>108</v>
      </c>
      <c r="C81" s="125"/>
      <c r="D81" s="126"/>
      <c r="E81" s="49"/>
      <c r="F81" s="74">
        <v>1</v>
      </c>
      <c r="G81" s="74">
        <v>10801</v>
      </c>
      <c r="H81" s="127">
        <f>G81*F81/1000</f>
        <v>10.801</v>
      </c>
      <c r="I81" s="74">
        <f>G81</f>
        <v>10801</v>
      </c>
    </row>
    <row r="82" spans="1:9" ht="17.25" customHeight="1">
      <c r="A82" s="26"/>
      <c r="B82" s="147" t="s">
        <v>135</v>
      </c>
      <c r="C82" s="137"/>
      <c r="D82" s="13"/>
      <c r="E82" s="17"/>
      <c r="F82" s="12"/>
      <c r="G82" s="12"/>
      <c r="H82" s="12"/>
      <c r="I82" s="12"/>
    </row>
    <row r="83" spans="1:9" ht="35.25" customHeight="1">
      <c r="A83" s="26">
        <v>11</v>
      </c>
      <c r="B83" s="106" t="s">
        <v>136</v>
      </c>
      <c r="C83" s="32" t="s">
        <v>137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29.25" customHeight="1">
      <c r="A84" s="26">
        <v>12</v>
      </c>
      <c r="B84" s="110" t="s">
        <v>138</v>
      </c>
      <c r="C84" s="111" t="s">
        <v>80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30" t="s">
        <v>150</v>
      </c>
      <c r="B85" s="231"/>
      <c r="C85" s="231"/>
      <c r="D85" s="231"/>
      <c r="E85" s="231"/>
      <c r="F85" s="231"/>
      <c r="G85" s="231"/>
      <c r="H85" s="231"/>
      <c r="I85" s="232"/>
    </row>
    <row r="86" spans="1:9" ht="17.25" customHeight="1">
      <c r="A86" s="77">
        <v>13</v>
      </c>
      <c r="B86" s="128" t="s">
        <v>110</v>
      </c>
      <c r="C86" s="129" t="s">
        <v>52</v>
      </c>
      <c r="D86" s="130"/>
      <c r="E86" s="131">
        <v>3945</v>
      </c>
      <c r="F86" s="131">
        <f>SUM(E86*12)</f>
        <v>47340</v>
      </c>
      <c r="G86" s="136">
        <v>3.1</v>
      </c>
      <c r="H86" s="132">
        <f>SUM(F86*G86/1000)</f>
        <v>146.75399999999999</v>
      </c>
      <c r="I86" s="131">
        <f>F86/12*G86</f>
        <v>12229.5</v>
      </c>
    </row>
    <row r="87" spans="1:9" ht="30.75" customHeight="1">
      <c r="A87" s="26">
        <v>14</v>
      </c>
      <c r="B87" s="13" t="s">
        <v>73</v>
      </c>
      <c r="C87" s="15"/>
      <c r="D87" s="130"/>
      <c r="E87" s="55">
        <f>E86</f>
        <v>3945</v>
      </c>
      <c r="F87" s="12">
        <f>E87*12</f>
        <v>47340</v>
      </c>
      <c r="G87" s="135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75</v>
      </c>
      <c r="C88" s="32"/>
      <c r="D88" s="14"/>
      <c r="E88" s="14"/>
      <c r="F88" s="17"/>
      <c r="G88" s="133"/>
      <c r="H88" s="71">
        <f>H87</f>
        <v>165.69</v>
      </c>
      <c r="I88" s="29">
        <f>I87+I86+I84+I83+I75+I67+I64+I32+I30+I29+I18+I17+I16+I81</f>
        <v>64741.077128000004</v>
      </c>
    </row>
    <row r="89" spans="1:9">
      <c r="A89" s="227" t="s">
        <v>57</v>
      </c>
      <c r="B89" s="228"/>
      <c r="C89" s="228"/>
      <c r="D89" s="228"/>
      <c r="E89" s="228"/>
      <c r="F89" s="228"/>
      <c r="G89" s="228"/>
      <c r="H89" s="228"/>
      <c r="I89" s="229"/>
    </row>
    <row r="90" spans="1:9">
      <c r="A90" s="26">
        <v>15</v>
      </c>
      <c r="B90" s="110" t="s">
        <v>308</v>
      </c>
      <c r="C90" s="111" t="s">
        <v>181</v>
      </c>
      <c r="D90" s="201"/>
      <c r="E90" s="107"/>
      <c r="F90" s="107">
        <v>4</v>
      </c>
      <c r="G90" s="107">
        <v>295.36</v>
      </c>
      <c r="H90" s="12"/>
      <c r="I90" s="74">
        <f>G90*4</f>
        <v>1181.44</v>
      </c>
    </row>
    <row r="91" spans="1:9">
      <c r="A91" s="26">
        <v>16</v>
      </c>
      <c r="B91" s="110" t="s">
        <v>292</v>
      </c>
      <c r="C91" s="111" t="s">
        <v>247</v>
      </c>
      <c r="D91" s="201"/>
      <c r="E91" s="107"/>
      <c r="F91" s="107">
        <v>4</v>
      </c>
      <c r="G91" s="107">
        <v>236.08</v>
      </c>
      <c r="H91" s="68"/>
      <c r="I91" s="74">
        <f>G91*1</f>
        <v>236.08</v>
      </c>
    </row>
    <row r="92" spans="1:9">
      <c r="A92" s="26">
        <v>17</v>
      </c>
      <c r="B92" s="110" t="s">
        <v>309</v>
      </c>
      <c r="C92" s="111" t="s">
        <v>29</v>
      </c>
      <c r="D92" s="201" t="s">
        <v>191</v>
      </c>
      <c r="E92" s="107"/>
      <c r="F92" s="107">
        <v>0.1</v>
      </c>
      <c r="G92" s="107">
        <v>898.48</v>
      </c>
      <c r="H92" s="68"/>
      <c r="I92" s="74">
        <v>0</v>
      </c>
    </row>
    <row r="93" spans="1:9">
      <c r="A93" s="26">
        <v>18</v>
      </c>
      <c r="B93" s="110" t="s">
        <v>304</v>
      </c>
      <c r="C93" s="111" t="s">
        <v>80</v>
      </c>
      <c r="D93" s="201"/>
      <c r="E93" s="107"/>
      <c r="F93" s="107">
        <v>2</v>
      </c>
      <c r="G93" s="107">
        <v>224.48</v>
      </c>
      <c r="H93" s="68"/>
      <c r="I93" s="74">
        <f>G93*1</f>
        <v>224.48</v>
      </c>
    </row>
    <row r="94" spans="1:9" ht="16.5" customHeight="1">
      <c r="A94" s="26"/>
      <c r="B94" s="37" t="s">
        <v>49</v>
      </c>
      <c r="C94" s="33"/>
      <c r="D94" s="40"/>
      <c r="E94" s="33">
        <v>1</v>
      </c>
      <c r="F94" s="33"/>
      <c r="G94" s="33"/>
      <c r="H94" s="33"/>
      <c r="I94" s="29">
        <f>SUM(I90:I93)</f>
        <v>1642</v>
      </c>
    </row>
    <row r="95" spans="1:9">
      <c r="A95" s="26"/>
      <c r="B95" s="39" t="s">
        <v>74</v>
      </c>
      <c r="C95" s="14"/>
      <c r="D95" s="14"/>
      <c r="E95" s="34"/>
      <c r="F95" s="34"/>
      <c r="G95" s="35"/>
      <c r="H95" s="35"/>
      <c r="I95" s="16">
        <v>0</v>
      </c>
    </row>
    <row r="96" spans="1:9">
      <c r="A96" s="41"/>
      <c r="B96" s="38" t="s">
        <v>168</v>
      </c>
      <c r="C96" s="30"/>
      <c r="D96" s="30"/>
      <c r="E96" s="30"/>
      <c r="F96" s="30"/>
      <c r="G96" s="30"/>
      <c r="H96" s="30"/>
      <c r="I96" s="36">
        <f>I88+I94</f>
        <v>66383.077128000004</v>
      </c>
    </row>
    <row r="97" spans="1:9" ht="15.75">
      <c r="A97" s="226" t="s">
        <v>310</v>
      </c>
      <c r="B97" s="226"/>
      <c r="C97" s="226"/>
      <c r="D97" s="226"/>
      <c r="E97" s="226"/>
      <c r="F97" s="226"/>
      <c r="G97" s="226"/>
      <c r="H97" s="226"/>
      <c r="I97" s="226"/>
    </row>
    <row r="98" spans="1:9" ht="15.75">
      <c r="A98" s="78"/>
      <c r="B98" s="233" t="s">
        <v>311</v>
      </c>
      <c r="C98" s="233"/>
      <c r="D98" s="233"/>
      <c r="E98" s="233"/>
      <c r="F98" s="233"/>
      <c r="G98" s="233"/>
      <c r="H98" s="52"/>
      <c r="I98" s="3"/>
    </row>
    <row r="99" spans="1:9">
      <c r="A99" s="164"/>
      <c r="B99" s="234" t="s">
        <v>6</v>
      </c>
      <c r="C99" s="234"/>
      <c r="D99" s="234"/>
      <c r="E99" s="234"/>
      <c r="F99" s="234"/>
      <c r="G99" s="234"/>
      <c r="H99" s="21"/>
      <c r="I99" s="5"/>
    </row>
    <row r="100" spans="1:9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5.75">
      <c r="A101" s="235" t="s">
        <v>7</v>
      </c>
      <c r="B101" s="235"/>
      <c r="C101" s="235"/>
      <c r="D101" s="235"/>
      <c r="E101" s="235"/>
      <c r="F101" s="235"/>
      <c r="G101" s="235"/>
      <c r="H101" s="235"/>
      <c r="I101" s="235"/>
    </row>
    <row r="102" spans="1:9" ht="15.75">
      <c r="A102" s="235" t="s">
        <v>8</v>
      </c>
      <c r="B102" s="235"/>
      <c r="C102" s="235"/>
      <c r="D102" s="235"/>
      <c r="E102" s="235"/>
      <c r="F102" s="235"/>
      <c r="G102" s="235"/>
      <c r="H102" s="235"/>
      <c r="I102" s="235"/>
    </row>
    <row r="103" spans="1:9" ht="15.75">
      <c r="A103" s="236" t="s">
        <v>58</v>
      </c>
      <c r="B103" s="236"/>
      <c r="C103" s="236"/>
      <c r="D103" s="236"/>
      <c r="E103" s="236"/>
      <c r="F103" s="236"/>
      <c r="G103" s="236"/>
      <c r="H103" s="236"/>
      <c r="I103" s="236"/>
    </row>
    <row r="104" spans="1:9" ht="15.75">
      <c r="A104" s="10"/>
    </row>
    <row r="105" spans="1:9" ht="15.75">
      <c r="A105" s="220" t="s">
        <v>9</v>
      </c>
      <c r="B105" s="220"/>
      <c r="C105" s="220"/>
      <c r="D105" s="220"/>
      <c r="E105" s="220"/>
      <c r="F105" s="220"/>
      <c r="G105" s="220"/>
      <c r="H105" s="220"/>
      <c r="I105" s="220"/>
    </row>
    <row r="106" spans="1:9" ht="15.75">
      <c r="A106" s="4"/>
    </row>
    <row r="107" spans="1:9" ht="15.75">
      <c r="B107" s="162" t="s">
        <v>10</v>
      </c>
      <c r="C107" s="238" t="s">
        <v>215</v>
      </c>
      <c r="D107" s="238"/>
      <c r="E107" s="238"/>
      <c r="F107" s="50"/>
      <c r="I107" s="163"/>
    </row>
    <row r="108" spans="1:9">
      <c r="A108" s="164"/>
      <c r="C108" s="234" t="s">
        <v>11</v>
      </c>
      <c r="D108" s="234"/>
      <c r="E108" s="234"/>
      <c r="F108" s="21"/>
      <c r="I108" s="161" t="s">
        <v>12</v>
      </c>
    </row>
    <row r="109" spans="1:9" ht="15.75">
      <c r="A109" s="22"/>
      <c r="C109" s="11"/>
      <c r="D109" s="11"/>
      <c r="G109" s="11"/>
      <c r="H109" s="11"/>
    </row>
    <row r="110" spans="1:9" ht="15.75">
      <c r="B110" s="162" t="s">
        <v>13</v>
      </c>
      <c r="C110" s="239"/>
      <c r="D110" s="239"/>
      <c r="E110" s="239"/>
      <c r="F110" s="51"/>
      <c r="I110" s="163"/>
    </row>
    <row r="111" spans="1:9">
      <c r="A111" s="164"/>
      <c r="C111" s="240" t="s">
        <v>11</v>
      </c>
      <c r="D111" s="240"/>
      <c r="E111" s="240"/>
      <c r="F111" s="164"/>
      <c r="I111" s="161" t="s">
        <v>12</v>
      </c>
    </row>
    <row r="112" spans="1:9" ht="15.75">
      <c r="A112" s="4" t="s">
        <v>14</v>
      </c>
    </row>
    <row r="113" spans="1:9">
      <c r="A113" s="241" t="s">
        <v>15</v>
      </c>
      <c r="B113" s="241"/>
      <c r="C113" s="241"/>
      <c r="D113" s="241"/>
      <c r="E113" s="241"/>
      <c r="F113" s="241"/>
      <c r="G113" s="241"/>
      <c r="H113" s="241"/>
      <c r="I113" s="241"/>
    </row>
    <row r="114" spans="1:9" ht="42.75" customHeight="1">
      <c r="A114" s="237" t="s">
        <v>16</v>
      </c>
      <c r="B114" s="237"/>
      <c r="C114" s="237"/>
      <c r="D114" s="237"/>
      <c r="E114" s="237"/>
      <c r="F114" s="237"/>
      <c r="G114" s="237"/>
      <c r="H114" s="237"/>
      <c r="I114" s="237"/>
    </row>
    <row r="115" spans="1:9" ht="37.5" customHeight="1">
      <c r="A115" s="237" t="s">
        <v>17</v>
      </c>
      <c r="B115" s="237"/>
      <c r="C115" s="237"/>
      <c r="D115" s="237"/>
      <c r="E115" s="237"/>
      <c r="F115" s="237"/>
      <c r="G115" s="237"/>
      <c r="H115" s="237"/>
      <c r="I115" s="237"/>
    </row>
    <row r="116" spans="1:9" ht="39.75" customHeight="1">
      <c r="A116" s="237" t="s">
        <v>21</v>
      </c>
      <c r="B116" s="237"/>
      <c r="C116" s="237"/>
      <c r="D116" s="237"/>
      <c r="E116" s="237"/>
      <c r="F116" s="237"/>
      <c r="G116" s="237"/>
      <c r="H116" s="237"/>
      <c r="I116" s="237"/>
    </row>
    <row r="117" spans="1:9" ht="15.75">
      <c r="A117" s="237" t="s">
        <v>20</v>
      </c>
      <c r="B117" s="237"/>
      <c r="C117" s="237"/>
      <c r="D117" s="237"/>
      <c r="E117" s="237"/>
      <c r="F117" s="237"/>
      <c r="G117" s="237"/>
      <c r="H117" s="237"/>
      <c r="I117" s="237"/>
    </row>
  </sheetData>
  <mergeCells count="28">
    <mergeCell ref="A14:I14"/>
    <mergeCell ref="A3:I3"/>
    <mergeCell ref="A4:I4"/>
    <mergeCell ref="A5:I5"/>
    <mergeCell ref="A8:I8"/>
    <mergeCell ref="A10:I10"/>
    <mergeCell ref="A103:I103"/>
    <mergeCell ref="A15:I15"/>
    <mergeCell ref="A27:I27"/>
    <mergeCell ref="A45:I45"/>
    <mergeCell ref="A56:I56"/>
    <mergeCell ref="A85:I85"/>
    <mergeCell ref="A89:I89"/>
    <mergeCell ref="A97:I97"/>
    <mergeCell ref="B98:G98"/>
    <mergeCell ref="B99:G99"/>
    <mergeCell ref="A101:I101"/>
    <mergeCell ref="A102:I102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.11811023622047245" top="0.74803149606299213" bottom="0.74803149606299213" header="0.31496062992125984" footer="0.31496062992125984"/>
  <pageSetup paperSize="9" scale="61" orientation="portrait" horizontalDpi="0" verticalDpi="0" r:id="rId1"/>
  <rowBreaks count="1" manualBreakCount="1">
    <brk id="11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2"/>
  <sheetViews>
    <sheetView view="pageBreakPreview" topLeftCell="A55" zoomScale="60" zoomScaleNormal="100" workbookViewId="0">
      <selection activeCell="J106" sqref="J106"/>
    </sheetView>
  </sheetViews>
  <sheetFormatPr defaultRowHeight="15"/>
  <cols>
    <col min="1" max="1" width="10.5703125" customWidth="1"/>
    <col min="2" max="2" width="50.140625" customWidth="1"/>
    <col min="3" max="3" width="17.85546875" customWidth="1"/>
    <col min="4" max="4" width="17.7109375" customWidth="1"/>
    <col min="5" max="5" width="10" hidden="1" customWidth="1"/>
    <col min="6" max="6" width="13.85546875" hidden="1" customWidth="1"/>
    <col min="7" max="7" width="16.85546875" customWidth="1"/>
    <col min="8" max="8" width="0" hidden="1" customWidth="1"/>
    <col min="9" max="9" width="15.7109375" customWidth="1"/>
  </cols>
  <sheetData>
    <row r="1" spans="1:9" ht="15.75">
      <c r="A1" s="24" t="s">
        <v>170</v>
      </c>
      <c r="I1" s="23"/>
    </row>
    <row r="2" spans="1:9" ht="15.75">
      <c r="A2" s="25" t="s">
        <v>59</v>
      </c>
    </row>
    <row r="3" spans="1:9" ht="15.75">
      <c r="A3" s="215" t="s">
        <v>177</v>
      </c>
      <c r="B3" s="215"/>
      <c r="C3" s="215"/>
      <c r="D3" s="215"/>
      <c r="E3" s="215"/>
      <c r="F3" s="215"/>
      <c r="G3" s="215"/>
      <c r="H3" s="215"/>
      <c r="I3" s="215"/>
    </row>
    <row r="4" spans="1:9" ht="30.75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9" ht="15.75">
      <c r="A5" s="215" t="s">
        <v>312</v>
      </c>
      <c r="B5" s="217"/>
      <c r="C5" s="217"/>
      <c r="D5" s="217"/>
      <c r="E5" s="217"/>
      <c r="F5" s="217"/>
      <c r="G5" s="217"/>
      <c r="H5" s="217"/>
      <c r="I5" s="217"/>
    </row>
    <row r="6" spans="1:9" ht="15.75">
      <c r="A6" s="2"/>
      <c r="B6" s="170"/>
      <c r="C6" s="170"/>
      <c r="D6" s="170"/>
      <c r="E6" s="170"/>
      <c r="F6" s="170"/>
      <c r="G6" s="170"/>
      <c r="H6" s="170"/>
      <c r="I6" s="27">
        <v>44530</v>
      </c>
    </row>
    <row r="7" spans="1:9" ht="15.75">
      <c r="B7" s="168"/>
      <c r="C7" s="168"/>
      <c r="D7" s="168"/>
      <c r="E7" s="3"/>
      <c r="F7" s="3"/>
      <c r="G7" s="3"/>
      <c r="H7" s="3"/>
    </row>
    <row r="8" spans="1:9" ht="102" customHeight="1">
      <c r="A8" s="218" t="s">
        <v>213</v>
      </c>
      <c r="B8" s="218"/>
      <c r="C8" s="218"/>
      <c r="D8" s="218"/>
      <c r="E8" s="218"/>
      <c r="F8" s="218"/>
      <c r="G8" s="218"/>
      <c r="H8" s="218"/>
      <c r="I8" s="218"/>
    </row>
    <row r="9" spans="1:9" ht="15.75">
      <c r="A9" s="4"/>
    </row>
    <row r="10" spans="1:9" ht="69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</row>
    <row r="11" spans="1:9" ht="15.75">
      <c r="A11" s="4"/>
    </row>
    <row r="12" spans="1:9" ht="69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</row>
    <row r="16" spans="1:9" ht="19.5" customHeight="1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>SUM(F16*G16/1000)</f>
        <v>34.100352000000008</v>
      </c>
      <c r="I16" s="12">
        <f>F16/12*G16</f>
        <v>2841.6960000000004</v>
      </c>
    </row>
    <row r="17" spans="1:9" ht="17.25" customHeight="1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>SUM(F17*G17/1000)</f>
        <v>90.934271999999993</v>
      </c>
      <c r="I17" s="12">
        <f>F17/12*G17</f>
        <v>7577.8560000000007</v>
      </c>
    </row>
    <row r="18" spans="1:9" ht="16.5" customHeight="1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>SUM(F18*G18/1000)</f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85</v>
      </c>
      <c r="C19" s="54" t="s">
        <v>86</v>
      </c>
      <c r="D19" s="53" t="s">
        <v>87</v>
      </c>
      <c r="E19" s="55">
        <v>93.4</v>
      </c>
      <c r="F19" s="56">
        <f>SUM(E19/10)</f>
        <v>9.34</v>
      </c>
      <c r="G19" s="139">
        <v>223.17</v>
      </c>
      <c r="H19" s="57">
        <f t="shared" ref="H19:H24" si="0">SUM(F19*G19/1000)</f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88</v>
      </c>
      <c r="C20" s="54" t="s">
        <v>84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>
        <v>5</v>
      </c>
      <c r="B21" s="53" t="s">
        <v>89</v>
      </c>
      <c r="C21" s="54" t="s">
        <v>84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90</v>
      </c>
      <c r="C22" s="54" t="s">
        <v>50</v>
      </c>
      <c r="D22" s="53" t="s">
        <v>87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91</v>
      </c>
      <c r="C23" s="54" t="s">
        <v>50</v>
      </c>
      <c r="D23" s="53" t="s">
        <v>87</v>
      </c>
      <c r="E23" s="58">
        <v>35.28</v>
      </c>
      <c r="F23" s="56">
        <f>SUM(E23/100)</f>
        <v>0.3528</v>
      </c>
      <c r="G23" s="139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92</v>
      </c>
      <c r="C24" s="54" t="s">
        <v>50</v>
      </c>
      <c r="D24" s="53" t="s">
        <v>87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0"/>
        <v>0.19671840000000002</v>
      </c>
      <c r="I24" s="12">
        <f>F24*G24</f>
        <v>196.7184</v>
      </c>
    </row>
    <row r="25" spans="1:9" ht="18.75" hidden="1" customHeight="1">
      <c r="A25" s="26">
        <v>4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 hidden="1">
      <c r="A26" s="26">
        <v>5</v>
      </c>
      <c r="B26" s="61" t="s">
        <v>23</v>
      </c>
      <c r="C26" s="54" t="s">
        <v>24</v>
      </c>
      <c r="D26" s="53" t="s">
        <v>155</v>
      </c>
      <c r="E26" s="55">
        <v>3945</v>
      </c>
      <c r="F26" s="56">
        <f>SUM(E26*12)</f>
        <v>47340</v>
      </c>
      <c r="G26" s="139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22" t="s">
        <v>156</v>
      </c>
      <c r="B27" s="223"/>
      <c r="C27" s="223"/>
      <c r="D27" s="223"/>
      <c r="E27" s="223"/>
      <c r="F27" s="223"/>
      <c r="G27" s="223"/>
      <c r="H27" s="223"/>
      <c r="I27" s="224"/>
    </row>
    <row r="28" spans="1:9" hidden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idden="1">
      <c r="A29" s="26">
        <v>6</v>
      </c>
      <c r="B29" s="53" t="s">
        <v>93</v>
      </c>
      <c r="C29" s="54" t="s">
        <v>157</v>
      </c>
      <c r="D29" s="53" t="s">
        <v>127</v>
      </c>
      <c r="E29" s="56">
        <v>1044.6500000000001</v>
      </c>
      <c r="F29" s="56">
        <f>SUM(E29*52/1000)</f>
        <v>54.321800000000003</v>
      </c>
      <c r="G29" s="139">
        <v>204.44</v>
      </c>
      <c r="H29" s="57">
        <f t="shared" ref="H29:H35" si="1">SUM(F29*G29/1000)</f>
        <v>11.105548792000002</v>
      </c>
      <c r="I29" s="12">
        <f>17.064/6*G29</f>
        <v>581.42736000000002</v>
      </c>
    </row>
    <row r="30" spans="1:9" ht="45" hidden="1">
      <c r="A30" s="26">
        <v>7</v>
      </c>
      <c r="B30" s="53" t="s">
        <v>121</v>
      </c>
      <c r="C30" s="54" t="s">
        <v>94</v>
      </c>
      <c r="D30" s="53" t="s">
        <v>128</v>
      </c>
      <c r="E30" s="56">
        <v>116.93</v>
      </c>
      <c r="F30" s="56">
        <f>SUM(E30*78/1000)</f>
        <v>9.1205400000000001</v>
      </c>
      <c r="G30" s="139">
        <v>339.21</v>
      </c>
      <c r="H30" s="57">
        <f t="shared" si="1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94</v>
      </c>
      <c r="D31" s="53" t="s">
        <v>51</v>
      </c>
      <c r="E31" s="56">
        <v>1044.6500000000001</v>
      </c>
      <c r="F31" s="56">
        <f>SUM(E31/1000)</f>
        <v>1.0446500000000001</v>
      </c>
      <c r="G31" s="139">
        <v>3961.23</v>
      </c>
      <c r="H31" s="57">
        <f t="shared" si="1"/>
        <v>4.1380989195</v>
      </c>
      <c r="I31" s="12">
        <f>0.3555*G31</f>
        <v>1408.217265</v>
      </c>
    </row>
    <row r="32" spans="1:9" hidden="1">
      <c r="A32" s="26">
        <v>8</v>
      </c>
      <c r="B32" s="53" t="s">
        <v>112</v>
      </c>
      <c r="C32" s="54" t="s">
        <v>38</v>
      </c>
      <c r="D32" s="53" t="s">
        <v>129</v>
      </c>
      <c r="E32" s="56">
        <v>6</v>
      </c>
      <c r="F32" s="56">
        <v>9.3000000000000007</v>
      </c>
      <c r="G32" s="139">
        <v>1707.63</v>
      </c>
      <c r="H32" s="57">
        <f>G32*F32/1000</f>
        <v>15.880959000000002</v>
      </c>
      <c r="I32" s="12">
        <f>2.88/6*G32</f>
        <v>819.66240000000005</v>
      </c>
    </row>
    <row r="33" spans="1:9" hidden="1">
      <c r="A33" s="26">
        <v>9</v>
      </c>
      <c r="B33" s="53" t="s">
        <v>95</v>
      </c>
      <c r="C33" s="54" t="s">
        <v>30</v>
      </c>
      <c r="D33" s="53" t="s">
        <v>60</v>
      </c>
      <c r="E33" s="60">
        <v>0.33333333333333331</v>
      </c>
      <c r="F33" s="56">
        <f>155/3</f>
        <v>51.666666666666664</v>
      </c>
      <c r="G33" s="139">
        <v>74.349999999999994</v>
      </c>
      <c r="H33" s="57">
        <f>SUM(G33*155/3/1000)</f>
        <v>3.8414166666666665</v>
      </c>
      <c r="I33" s="12">
        <f>F33/6*G33</f>
        <v>640.23611111111109</v>
      </c>
    </row>
    <row r="34" spans="1:9" hidden="1">
      <c r="A34" s="26"/>
      <c r="B34" s="53" t="s">
        <v>61</v>
      </c>
      <c r="C34" s="54" t="s">
        <v>32</v>
      </c>
      <c r="D34" s="53" t="s">
        <v>63</v>
      </c>
      <c r="E34" s="55"/>
      <c r="F34" s="56">
        <v>3</v>
      </c>
      <c r="G34" s="56">
        <v>204.52</v>
      </c>
      <c r="H34" s="57">
        <f t="shared" si="1"/>
        <v>0.61356000000000011</v>
      </c>
      <c r="I34" s="12">
        <v>0</v>
      </c>
    </row>
    <row r="35" spans="1:9" hidden="1">
      <c r="A35" s="26"/>
      <c r="B35" s="53" t="s">
        <v>62</v>
      </c>
      <c r="C35" s="54" t="s">
        <v>31</v>
      </c>
      <c r="D35" s="53" t="s">
        <v>63</v>
      </c>
      <c r="E35" s="55"/>
      <c r="F35" s="56">
        <v>2</v>
      </c>
      <c r="G35" s="56">
        <v>1136.33</v>
      </c>
      <c r="H35" s="57">
        <f t="shared" si="1"/>
        <v>2.2726599999999997</v>
      </c>
      <c r="I35" s="12">
        <v>0</v>
      </c>
    </row>
    <row r="36" spans="1:9" ht="18" customHeight="1">
      <c r="A36" s="26"/>
      <c r="B36" s="75" t="s">
        <v>5</v>
      </c>
      <c r="C36" s="54"/>
      <c r="D36" s="53"/>
      <c r="E36" s="171"/>
      <c r="F36" s="139"/>
      <c r="G36" s="139"/>
      <c r="H36" s="57" t="s">
        <v>119</v>
      </c>
      <c r="I36" s="12"/>
    </row>
    <row r="37" spans="1:9" ht="15" customHeight="1">
      <c r="A37" s="26">
        <v>4</v>
      </c>
      <c r="B37" s="53" t="s">
        <v>26</v>
      </c>
      <c r="C37" s="54" t="s">
        <v>31</v>
      </c>
      <c r="D37" s="53" t="s">
        <v>313</v>
      </c>
      <c r="E37" s="171"/>
      <c r="F37" s="139">
        <v>3</v>
      </c>
      <c r="G37" s="139">
        <v>2003</v>
      </c>
      <c r="H37" s="57">
        <f t="shared" ref="H37:H44" si="2">SUM(F37*G37/1000)</f>
        <v>6.0090000000000003</v>
      </c>
      <c r="I37" s="12">
        <f>G37*0.5</f>
        <v>1001.5</v>
      </c>
    </row>
    <row r="38" spans="1:9" ht="16.5" customHeight="1">
      <c r="A38" s="26">
        <v>5</v>
      </c>
      <c r="B38" s="53" t="s">
        <v>131</v>
      </c>
      <c r="C38" s="54" t="s">
        <v>29</v>
      </c>
      <c r="D38" s="53" t="s">
        <v>185</v>
      </c>
      <c r="E38" s="171">
        <v>111.6</v>
      </c>
      <c r="F38" s="173">
        <f>E38*30/1000</f>
        <v>3.3479999999999999</v>
      </c>
      <c r="G38" s="139">
        <v>2757.78</v>
      </c>
      <c r="H38" s="57">
        <f>G38*F38/1000</f>
        <v>9.23304744</v>
      </c>
      <c r="I38" s="12">
        <f>F38/6*G38</f>
        <v>1538.84124</v>
      </c>
    </row>
    <row r="39" spans="1:9" ht="19.5" hidden="1" customHeight="1">
      <c r="A39" s="26">
        <v>8</v>
      </c>
      <c r="B39" s="53" t="s">
        <v>160</v>
      </c>
      <c r="C39" s="54" t="s">
        <v>29</v>
      </c>
      <c r="D39" s="53" t="s">
        <v>96</v>
      </c>
      <c r="E39" s="139">
        <v>111.6</v>
      </c>
      <c r="F39" s="173">
        <f>SUM(E39*155/1000)</f>
        <v>17.297999999999998</v>
      </c>
      <c r="G39" s="139">
        <v>460.02</v>
      </c>
      <c r="H39" s="57">
        <f>G39*F39/1000</f>
        <v>7.9574259599999984</v>
      </c>
      <c r="I39" s="12">
        <f>F39/6*G39</f>
        <v>1326.2376599999998</v>
      </c>
    </row>
    <row r="40" spans="1:9" ht="14.25" hidden="1" customHeight="1">
      <c r="A40" s="26"/>
      <c r="B40" s="53" t="s">
        <v>161</v>
      </c>
      <c r="C40" s="54" t="s">
        <v>162</v>
      </c>
      <c r="D40" s="53" t="s">
        <v>63</v>
      </c>
      <c r="E40" s="139">
        <v>111.6</v>
      </c>
      <c r="F40" s="173">
        <f>SUM(E40*30/1000)</f>
        <v>3.3479999999999999</v>
      </c>
      <c r="G40" s="139">
        <v>7611.16</v>
      </c>
      <c r="H40" s="57">
        <f>G40*F40/1000</f>
        <v>25.482163679999999</v>
      </c>
      <c r="I40" s="12">
        <v>0</v>
      </c>
    </row>
    <row r="41" spans="1:9" ht="16.5" customHeight="1">
      <c r="A41" s="26">
        <v>6</v>
      </c>
      <c r="B41" s="53" t="s">
        <v>64</v>
      </c>
      <c r="C41" s="54" t="s">
        <v>29</v>
      </c>
      <c r="D41" s="53" t="s">
        <v>188</v>
      </c>
      <c r="E41" s="139">
        <v>111.6</v>
      </c>
      <c r="F41" s="173">
        <f>SUM(E41*155/1000)</f>
        <v>17.297999999999998</v>
      </c>
      <c r="G41" s="139">
        <v>460.02</v>
      </c>
      <c r="H41" s="57">
        <f t="shared" si="2"/>
        <v>7.9574259599999984</v>
      </c>
      <c r="I41" s="12">
        <f>F41/6*G41</f>
        <v>1326.2376599999998</v>
      </c>
    </row>
    <row r="42" spans="1:9" ht="49.5" customHeight="1">
      <c r="A42" s="26">
        <v>7</v>
      </c>
      <c r="B42" s="53" t="s">
        <v>76</v>
      </c>
      <c r="C42" s="54" t="s">
        <v>94</v>
      </c>
      <c r="D42" s="53" t="s">
        <v>194</v>
      </c>
      <c r="E42" s="139">
        <v>111.6</v>
      </c>
      <c r="F42" s="173">
        <f>SUM(E42*30/1000)</f>
        <v>3.3479999999999999</v>
      </c>
      <c r="G42" s="139">
        <v>7611.16</v>
      </c>
      <c r="H42" s="57">
        <f t="shared" si="2"/>
        <v>25.482163679999999</v>
      </c>
      <c r="I42" s="12">
        <f>F42/6*G42</f>
        <v>4247.0272799999993</v>
      </c>
    </row>
    <row r="43" spans="1:9" ht="17.25" hidden="1" customHeight="1">
      <c r="A43" s="26">
        <v>9</v>
      </c>
      <c r="B43" s="53" t="s">
        <v>98</v>
      </c>
      <c r="C43" s="54" t="s">
        <v>94</v>
      </c>
      <c r="D43" s="53" t="s">
        <v>195</v>
      </c>
      <c r="E43" s="139">
        <v>111.6</v>
      </c>
      <c r="F43" s="173">
        <f>SUM(E43*24/1000)</f>
        <v>2.6783999999999994</v>
      </c>
      <c r="G43" s="139">
        <v>562.25</v>
      </c>
      <c r="H43" s="57">
        <f t="shared" si="2"/>
        <v>1.5059303999999998</v>
      </c>
      <c r="I43" s="12">
        <f>F43/7.5*G43</f>
        <v>200.79071999999996</v>
      </c>
    </row>
    <row r="44" spans="1:9" ht="15.75" hidden="1" customHeight="1">
      <c r="A44" s="124">
        <v>10</v>
      </c>
      <c r="B44" s="62" t="s">
        <v>65</v>
      </c>
      <c r="C44" s="63" t="s">
        <v>32</v>
      </c>
      <c r="D44" s="62"/>
      <c r="E44" s="172"/>
      <c r="F44" s="173">
        <v>0.6</v>
      </c>
      <c r="G44" s="173">
        <v>974.83</v>
      </c>
      <c r="H44" s="65">
        <f t="shared" si="2"/>
        <v>0.58489800000000003</v>
      </c>
      <c r="I44" s="74">
        <f>F44/7.5*G44</f>
        <v>77.986400000000003</v>
      </c>
    </row>
    <row r="45" spans="1:9" ht="32.25" customHeight="1">
      <c r="A45" s="26">
        <v>8</v>
      </c>
      <c r="B45" s="110" t="s">
        <v>132</v>
      </c>
      <c r="C45" s="111" t="s">
        <v>29</v>
      </c>
      <c r="D45" s="174" t="s">
        <v>190</v>
      </c>
      <c r="E45" s="175">
        <v>1.2</v>
      </c>
      <c r="F45" s="176">
        <f>SUM(E45*12/1000)</f>
        <v>1.4399999999999998E-2</v>
      </c>
      <c r="G45" s="176">
        <v>260.2</v>
      </c>
      <c r="H45" s="12"/>
      <c r="I45" s="12">
        <f>G45*F45/6</f>
        <v>0.62447999999999981</v>
      </c>
    </row>
    <row r="46" spans="1:9" ht="23.25" customHeight="1">
      <c r="A46" s="222" t="s">
        <v>164</v>
      </c>
      <c r="B46" s="223"/>
      <c r="C46" s="223"/>
      <c r="D46" s="223"/>
      <c r="E46" s="223"/>
      <c r="F46" s="223"/>
      <c r="G46" s="223"/>
      <c r="H46" s="223"/>
      <c r="I46" s="224"/>
    </row>
    <row r="47" spans="1:9" ht="21" hidden="1" customHeight="1">
      <c r="A47" s="26">
        <v>12</v>
      </c>
      <c r="B47" s="53" t="s">
        <v>115</v>
      </c>
      <c r="C47" s="54" t="s">
        <v>94</v>
      </c>
      <c r="D47" s="53" t="s">
        <v>40</v>
      </c>
      <c r="E47" s="55">
        <v>1030.4000000000001</v>
      </c>
      <c r="F47" s="56">
        <f>SUM(E47*2/1000)</f>
        <v>2.0608</v>
      </c>
      <c r="G47" s="135">
        <v>1114.1300000000001</v>
      </c>
      <c r="H47" s="57">
        <f t="shared" ref="H47:H56" si="3">SUM(F47*G47/1000)</f>
        <v>2.2959991039999998</v>
      </c>
      <c r="I47" s="12">
        <f>F47/2*G47</f>
        <v>1147.999552</v>
      </c>
    </row>
    <row r="48" spans="1:9" ht="20.25" hidden="1" customHeight="1">
      <c r="A48" s="26">
        <v>13</v>
      </c>
      <c r="B48" s="53" t="s">
        <v>33</v>
      </c>
      <c r="C48" s="54" t="s">
        <v>94</v>
      </c>
      <c r="D48" s="53" t="s">
        <v>40</v>
      </c>
      <c r="E48" s="55">
        <v>132</v>
      </c>
      <c r="F48" s="56">
        <f>E48*2/1000</f>
        <v>0.26400000000000001</v>
      </c>
      <c r="G48" s="135">
        <v>4419.05</v>
      </c>
      <c r="H48" s="57">
        <f t="shared" si="3"/>
        <v>1.1666292</v>
      </c>
      <c r="I48" s="12">
        <f>F48/2*G48</f>
        <v>583.31460000000004</v>
      </c>
    </row>
    <row r="49" spans="1:9" ht="19.5" hidden="1" customHeight="1">
      <c r="A49" s="26">
        <v>14</v>
      </c>
      <c r="B49" s="53" t="s">
        <v>34</v>
      </c>
      <c r="C49" s="54" t="s">
        <v>94</v>
      </c>
      <c r="D49" s="53" t="s">
        <v>40</v>
      </c>
      <c r="E49" s="55">
        <v>4248.22</v>
      </c>
      <c r="F49" s="56">
        <f>SUM(E49*2/1000)</f>
        <v>8.4964399999999998</v>
      </c>
      <c r="G49" s="135">
        <v>1803.69</v>
      </c>
      <c r="H49" s="57">
        <f t="shared" si="3"/>
        <v>15.3249438636</v>
      </c>
      <c r="I49" s="12">
        <f>F49/2*G49</f>
        <v>7662.4719317999998</v>
      </c>
    </row>
    <row r="50" spans="1:9" ht="24.75" hidden="1" customHeight="1">
      <c r="A50" s="26">
        <v>15</v>
      </c>
      <c r="B50" s="53" t="s">
        <v>35</v>
      </c>
      <c r="C50" s="54" t="s">
        <v>94</v>
      </c>
      <c r="D50" s="53" t="s">
        <v>40</v>
      </c>
      <c r="E50" s="55">
        <v>2163.66</v>
      </c>
      <c r="F50" s="56">
        <f>SUM(E50*2/1000)</f>
        <v>4.3273199999999994</v>
      </c>
      <c r="G50" s="135">
        <v>1243.43</v>
      </c>
      <c r="H50" s="57">
        <f t="shared" si="3"/>
        <v>5.3807195075999994</v>
      </c>
      <c r="I50" s="12">
        <f>F50/2*G50</f>
        <v>2690.3597537999999</v>
      </c>
    </row>
    <row r="51" spans="1:9" ht="27.75" hidden="1" customHeight="1">
      <c r="A51" s="26">
        <v>16</v>
      </c>
      <c r="B51" s="53" t="s">
        <v>53</v>
      </c>
      <c r="C51" s="54" t="s">
        <v>94</v>
      </c>
      <c r="D51" s="53" t="s">
        <v>125</v>
      </c>
      <c r="E51" s="55">
        <v>1015.4</v>
      </c>
      <c r="F51" s="56">
        <f>SUM(E51*5/1000)</f>
        <v>5.077</v>
      </c>
      <c r="G51" s="135">
        <v>1083.69</v>
      </c>
      <c r="H51" s="57">
        <f t="shared" si="3"/>
        <v>5.5018941300000002</v>
      </c>
      <c r="I51" s="12">
        <f>3.945*G51</f>
        <v>4275.1570499999998</v>
      </c>
    </row>
    <row r="52" spans="1:9" ht="19.5" hidden="1" customHeight="1">
      <c r="A52" s="26">
        <v>10</v>
      </c>
      <c r="B52" s="53" t="s">
        <v>99</v>
      </c>
      <c r="C52" s="54" t="s">
        <v>94</v>
      </c>
      <c r="D52" s="53" t="s">
        <v>40</v>
      </c>
      <c r="E52" s="171">
        <v>3945</v>
      </c>
      <c r="F52" s="139">
        <f>SUM(E52*2/1000)</f>
        <v>7.89</v>
      </c>
      <c r="G52" s="135">
        <v>1591.6</v>
      </c>
      <c r="H52" s="57">
        <f t="shared" si="3"/>
        <v>12.557723999999999</v>
      </c>
      <c r="I52" s="12">
        <f>G52*F52/2</f>
        <v>6278.8619999999992</v>
      </c>
    </row>
    <row r="53" spans="1:9" ht="18" hidden="1" customHeight="1">
      <c r="A53" s="26">
        <v>11</v>
      </c>
      <c r="B53" s="53" t="s">
        <v>100</v>
      </c>
      <c r="C53" s="54" t="s">
        <v>36</v>
      </c>
      <c r="D53" s="53" t="s">
        <v>40</v>
      </c>
      <c r="E53" s="171">
        <v>30</v>
      </c>
      <c r="F53" s="139">
        <f>SUM(E53*2/100)</f>
        <v>0.6</v>
      </c>
      <c r="G53" s="135">
        <v>4058.32</v>
      </c>
      <c r="H53" s="57">
        <f t="shared" si="3"/>
        <v>2.4349920000000003</v>
      </c>
      <c r="I53" s="12">
        <f>G53*F53/2</f>
        <v>1217.4960000000001</v>
      </c>
    </row>
    <row r="54" spans="1:9" ht="15.75" hidden="1" customHeight="1">
      <c r="A54" s="26">
        <v>12</v>
      </c>
      <c r="B54" s="53" t="s">
        <v>37</v>
      </c>
      <c r="C54" s="54" t="s">
        <v>38</v>
      </c>
      <c r="D54" s="53" t="s">
        <v>40</v>
      </c>
      <c r="E54" s="171">
        <v>1</v>
      </c>
      <c r="F54" s="139">
        <v>0.02</v>
      </c>
      <c r="G54" s="135">
        <v>7412.92</v>
      </c>
      <c r="H54" s="57">
        <f t="shared" si="3"/>
        <v>0.14825839999999998</v>
      </c>
      <c r="I54" s="12">
        <f>G54*F54/2</f>
        <v>74.129199999999997</v>
      </c>
    </row>
    <row r="55" spans="1:9" ht="18.75" customHeight="1">
      <c r="A55" s="26">
        <v>9</v>
      </c>
      <c r="B55" s="53" t="s">
        <v>114</v>
      </c>
      <c r="C55" s="54" t="s">
        <v>80</v>
      </c>
      <c r="D55" s="195">
        <v>44510</v>
      </c>
      <c r="E55" s="55">
        <v>90</v>
      </c>
      <c r="F55" s="56">
        <f>E55*4</f>
        <v>360</v>
      </c>
      <c r="G55" s="135">
        <v>185.08</v>
      </c>
      <c r="H55" s="57">
        <f>F55*G55/1000</f>
        <v>66.628799999999998</v>
      </c>
      <c r="I55" s="12">
        <f>G55*E55</f>
        <v>16657.2</v>
      </c>
    </row>
    <row r="56" spans="1:9" ht="14.25" customHeight="1">
      <c r="A56" s="26">
        <v>10</v>
      </c>
      <c r="B56" s="53" t="s">
        <v>39</v>
      </c>
      <c r="C56" s="54" t="s">
        <v>80</v>
      </c>
      <c r="D56" s="195">
        <v>44510</v>
      </c>
      <c r="E56" s="55">
        <v>180</v>
      </c>
      <c r="F56" s="56">
        <f>SUM(E56)*3</f>
        <v>540</v>
      </c>
      <c r="G56" s="138">
        <v>86.15</v>
      </c>
      <c r="H56" s="57">
        <f t="shared" si="3"/>
        <v>46.521000000000001</v>
      </c>
      <c r="I56" s="12">
        <f>G56*E56</f>
        <v>15507.000000000002</v>
      </c>
    </row>
    <row r="57" spans="1:9">
      <c r="A57" s="222" t="s">
        <v>149</v>
      </c>
      <c r="B57" s="223"/>
      <c r="C57" s="223"/>
      <c r="D57" s="223"/>
      <c r="E57" s="223"/>
      <c r="F57" s="223"/>
      <c r="G57" s="223"/>
      <c r="H57" s="223"/>
      <c r="I57" s="224"/>
    </row>
    <row r="58" spans="1:9">
      <c r="A58" s="26"/>
      <c r="B58" s="75" t="s">
        <v>41</v>
      </c>
      <c r="C58" s="54"/>
      <c r="D58" s="53"/>
      <c r="E58" s="55"/>
      <c r="F58" s="56"/>
      <c r="G58" s="56"/>
      <c r="H58" s="57"/>
      <c r="I58" s="12"/>
    </row>
    <row r="59" spans="1:9" ht="30">
      <c r="A59" s="26">
        <v>11</v>
      </c>
      <c r="B59" s="53" t="s">
        <v>165</v>
      </c>
      <c r="C59" s="54" t="s">
        <v>84</v>
      </c>
      <c r="D59" s="53"/>
      <c r="E59" s="55">
        <v>148.04</v>
      </c>
      <c r="F59" s="56">
        <f>SUM(E59*6/100)</f>
        <v>8.8824000000000005</v>
      </c>
      <c r="G59" s="135">
        <v>2029.3</v>
      </c>
      <c r="H59" s="57">
        <f>SUM(F59*G59/1000)</f>
        <v>18.025054319999999</v>
      </c>
      <c r="I59" s="12">
        <f>G59*0.24</f>
        <v>487.03199999999998</v>
      </c>
    </row>
    <row r="60" spans="1:9" ht="30.75" customHeight="1">
      <c r="A60" s="26">
        <v>12</v>
      </c>
      <c r="B60" s="53" t="s">
        <v>78</v>
      </c>
      <c r="C60" s="54" t="s">
        <v>84</v>
      </c>
      <c r="D60" s="53" t="s">
        <v>190</v>
      </c>
      <c r="E60" s="171">
        <v>39.69</v>
      </c>
      <c r="F60" s="139">
        <f>SUM(E60*12/100)</f>
        <v>4.7627999999999995</v>
      </c>
      <c r="G60" s="135">
        <v>2029.3</v>
      </c>
      <c r="H60" s="57">
        <f>SUM(F60*G60/1000)</f>
        <v>9.6651500399999986</v>
      </c>
      <c r="I60" s="12">
        <f>F60/6*G60</f>
        <v>1610.8583399999998</v>
      </c>
    </row>
    <row r="61" spans="1:9" ht="16.5" hidden="1" customHeight="1">
      <c r="A61" s="26">
        <v>18</v>
      </c>
      <c r="B61" s="62" t="s">
        <v>116</v>
      </c>
      <c r="C61" s="63" t="s">
        <v>117</v>
      </c>
      <c r="D61" s="62" t="s">
        <v>40</v>
      </c>
      <c r="E61" s="64">
        <v>8</v>
      </c>
      <c r="F61" s="65">
        <v>16</v>
      </c>
      <c r="G61" s="12">
        <v>193.25</v>
      </c>
      <c r="H61" s="66">
        <f>F61*G61/1000</f>
        <v>3.0920000000000001</v>
      </c>
      <c r="I61" s="12">
        <f>F61/2*G61</f>
        <v>1546</v>
      </c>
    </row>
    <row r="62" spans="1:9" ht="16.5" hidden="1" customHeight="1">
      <c r="A62" s="26">
        <v>12</v>
      </c>
      <c r="B62" s="53" t="s">
        <v>118</v>
      </c>
      <c r="C62" s="54" t="s">
        <v>84</v>
      </c>
      <c r="D62" s="53" t="s">
        <v>191</v>
      </c>
      <c r="E62" s="171">
        <v>18.84</v>
      </c>
      <c r="F62" s="139">
        <f>SUM(E62*6/100)</f>
        <v>1.1303999999999998</v>
      </c>
      <c r="G62" s="135">
        <v>2029.3</v>
      </c>
      <c r="H62" s="57">
        <f>SUM(F62*G62/1000)</f>
        <v>2.2939207199999996</v>
      </c>
      <c r="I62" s="12">
        <f>F62/6*G62</f>
        <v>382.32011999999997</v>
      </c>
    </row>
    <row r="63" spans="1:9" ht="17.25" customHeight="1">
      <c r="A63" s="26"/>
      <c r="B63" s="76" t="s">
        <v>42</v>
      </c>
      <c r="C63" s="63"/>
      <c r="D63" s="62"/>
      <c r="E63" s="64"/>
      <c r="F63" s="65"/>
      <c r="G63" s="12"/>
      <c r="H63" s="66"/>
      <c r="I63" s="12"/>
    </row>
    <row r="64" spans="1:9" hidden="1">
      <c r="A64" s="26"/>
      <c r="B64" s="62" t="s">
        <v>166</v>
      </c>
      <c r="C64" s="63" t="s">
        <v>50</v>
      </c>
      <c r="D64" s="62" t="s">
        <v>51</v>
      </c>
      <c r="E64" s="64">
        <v>1015.4</v>
      </c>
      <c r="F64" s="65">
        <v>10.154</v>
      </c>
      <c r="G64" s="12">
        <v>848.37</v>
      </c>
      <c r="H64" s="66">
        <f>F64*G64/1000</f>
        <v>8.6143489800000008</v>
      </c>
      <c r="I64" s="12">
        <v>0</v>
      </c>
    </row>
    <row r="65" spans="1:9" ht="16.5" customHeight="1">
      <c r="A65" s="26">
        <v>13</v>
      </c>
      <c r="B65" s="62" t="s">
        <v>81</v>
      </c>
      <c r="C65" s="63" t="s">
        <v>25</v>
      </c>
      <c r="D65" s="62" t="s">
        <v>192</v>
      </c>
      <c r="E65" s="64">
        <v>203.1</v>
      </c>
      <c r="F65" s="67">
        <f>E65*12</f>
        <v>2437.1999999999998</v>
      </c>
      <c r="G65" s="48">
        <v>1.4</v>
      </c>
      <c r="H65" s="65">
        <f>F65*G65/1000</f>
        <v>3.4120799999999996</v>
      </c>
      <c r="I65" s="12">
        <f>2400/12*G65</f>
        <v>280</v>
      </c>
    </row>
    <row r="66" spans="1:9" ht="18.75" hidden="1" customHeight="1">
      <c r="A66" s="26"/>
      <c r="B66" s="76" t="s">
        <v>43</v>
      </c>
      <c r="C66" s="63"/>
      <c r="D66" s="62"/>
      <c r="E66" s="64"/>
      <c r="F66" s="67"/>
      <c r="G66" s="67"/>
      <c r="H66" s="65" t="s">
        <v>119</v>
      </c>
      <c r="I66" s="12"/>
    </row>
    <row r="67" spans="1:9" hidden="1">
      <c r="A67" s="26">
        <v>14</v>
      </c>
      <c r="B67" s="13" t="s">
        <v>44</v>
      </c>
      <c r="C67" s="15" t="s">
        <v>80</v>
      </c>
      <c r="D67" s="13"/>
      <c r="E67" s="17">
        <v>10</v>
      </c>
      <c r="F67" s="56">
        <v>10</v>
      </c>
      <c r="G67" s="135">
        <v>291.68</v>
      </c>
      <c r="H67" s="68">
        <f t="shared" ref="H67:H80" si="4">SUM(F67*G67/1000)</f>
        <v>2.9168000000000003</v>
      </c>
      <c r="I67" s="12">
        <f>G67*2</f>
        <v>583.36</v>
      </c>
    </row>
    <row r="68" spans="1:9" hidden="1">
      <c r="A68" s="26"/>
      <c r="B68" s="13" t="s">
        <v>45</v>
      </c>
      <c r="C68" s="15" t="s">
        <v>80</v>
      </c>
      <c r="D68" s="13" t="s">
        <v>63</v>
      </c>
      <c r="E68" s="17">
        <v>5</v>
      </c>
      <c r="F68" s="56">
        <v>5</v>
      </c>
      <c r="G68" s="12">
        <v>81.510000000000005</v>
      </c>
      <c r="H68" s="68">
        <f t="shared" si="4"/>
        <v>0.40755000000000002</v>
      </c>
      <c r="I68" s="12">
        <v>0</v>
      </c>
    </row>
    <row r="69" spans="1:9" hidden="1">
      <c r="A69" s="26">
        <v>25</v>
      </c>
      <c r="B69" s="13" t="s">
        <v>46</v>
      </c>
      <c r="C69" s="15" t="s">
        <v>103</v>
      </c>
      <c r="D69" s="13" t="s">
        <v>51</v>
      </c>
      <c r="E69" s="55">
        <v>14205</v>
      </c>
      <c r="F69" s="12">
        <f>SUM(E69/100)</f>
        <v>142.05000000000001</v>
      </c>
      <c r="G69" s="135">
        <v>278.24</v>
      </c>
      <c r="H69" s="68">
        <f t="shared" si="4"/>
        <v>39.523992000000007</v>
      </c>
      <c r="I69" s="12">
        <f>F69*G69</f>
        <v>39523.992000000006</v>
      </c>
    </row>
    <row r="70" spans="1:9" hidden="1">
      <c r="A70" s="26">
        <v>26</v>
      </c>
      <c r="B70" s="13" t="s">
        <v>47</v>
      </c>
      <c r="C70" s="15" t="s">
        <v>104</v>
      </c>
      <c r="D70" s="13" t="s">
        <v>51</v>
      </c>
      <c r="E70" s="55">
        <v>14205</v>
      </c>
      <c r="F70" s="12">
        <f>SUM(E70/1000)</f>
        <v>14.205</v>
      </c>
      <c r="G70" s="135">
        <v>216.68</v>
      </c>
      <c r="H70" s="68">
        <f t="shared" si="4"/>
        <v>3.0779394</v>
      </c>
      <c r="I70" s="12">
        <f>F70*G70</f>
        <v>3077.9394000000002</v>
      </c>
    </row>
    <row r="71" spans="1:9" hidden="1">
      <c r="A71" s="26">
        <v>27</v>
      </c>
      <c r="B71" s="13" t="s">
        <v>48</v>
      </c>
      <c r="C71" s="15" t="s">
        <v>72</v>
      </c>
      <c r="D71" s="13" t="s">
        <v>51</v>
      </c>
      <c r="E71" s="55">
        <v>2131</v>
      </c>
      <c r="F71" s="12">
        <f>SUM(E71/100)</f>
        <v>21.31</v>
      </c>
      <c r="G71" s="135">
        <v>2720.94</v>
      </c>
      <c r="H71" s="68">
        <f t="shared" si="4"/>
        <v>57.983231399999994</v>
      </c>
      <c r="I71" s="12">
        <f>F71*G71</f>
        <v>57983.231399999997</v>
      </c>
    </row>
    <row r="72" spans="1:9" hidden="1">
      <c r="A72" s="26">
        <v>28</v>
      </c>
      <c r="B72" s="69" t="s">
        <v>105</v>
      </c>
      <c r="C72" s="15" t="s">
        <v>32</v>
      </c>
      <c r="D72" s="13" t="s">
        <v>51</v>
      </c>
      <c r="E72" s="55">
        <v>12.48</v>
      </c>
      <c r="F72" s="12">
        <f>SUM(E72)</f>
        <v>12.48</v>
      </c>
      <c r="G72" s="135">
        <v>44.31</v>
      </c>
      <c r="H72" s="68">
        <f t="shared" si="4"/>
        <v>0.55298880000000006</v>
      </c>
      <c r="I72" s="12">
        <f>7*G72</f>
        <v>310.17</v>
      </c>
    </row>
    <row r="73" spans="1:9" hidden="1">
      <c r="A73" s="26">
        <v>29</v>
      </c>
      <c r="B73" s="69" t="s">
        <v>106</v>
      </c>
      <c r="C73" s="15" t="s">
        <v>32</v>
      </c>
      <c r="D73" s="13" t="s">
        <v>51</v>
      </c>
      <c r="E73" s="55">
        <v>12.48</v>
      </c>
      <c r="F73" s="12">
        <f>SUM(E73)</f>
        <v>12.48</v>
      </c>
      <c r="G73" s="135">
        <v>47.79</v>
      </c>
      <c r="H73" s="68">
        <f t="shared" si="4"/>
        <v>0.59641920000000004</v>
      </c>
      <c r="I73" s="12">
        <f>7*G73</f>
        <v>334.53</v>
      </c>
    </row>
    <row r="74" spans="1:9" hidden="1">
      <c r="A74" s="26">
        <v>21</v>
      </c>
      <c r="B74" s="13" t="s">
        <v>54</v>
      </c>
      <c r="C74" s="15" t="s">
        <v>55</v>
      </c>
      <c r="D74" s="13" t="s">
        <v>51</v>
      </c>
      <c r="E74" s="17">
        <v>5</v>
      </c>
      <c r="F74" s="56">
        <v>6</v>
      </c>
      <c r="G74" s="12">
        <v>65.42</v>
      </c>
      <c r="H74" s="68">
        <f t="shared" si="4"/>
        <v>0.39251999999999998</v>
      </c>
      <c r="I74" s="12">
        <f>F74/1*G74</f>
        <v>392.52</v>
      </c>
    </row>
    <row r="75" spans="1:9" ht="19.5" hidden="1" customHeight="1">
      <c r="A75" s="26"/>
      <c r="B75" s="169" t="s">
        <v>67</v>
      </c>
      <c r="C75" s="15"/>
      <c r="D75" s="13"/>
      <c r="E75" s="17"/>
      <c r="F75" s="12"/>
      <c r="G75" s="12"/>
      <c r="H75" s="68" t="s">
        <v>119</v>
      </c>
      <c r="I75" s="12"/>
    </row>
    <row r="76" spans="1:9" ht="17.25" hidden="1" customHeight="1">
      <c r="A76" s="26">
        <v>10</v>
      </c>
      <c r="B76" s="13" t="s">
        <v>68</v>
      </c>
      <c r="C76" s="15" t="s">
        <v>70</v>
      </c>
      <c r="D76" s="13" t="s">
        <v>198</v>
      </c>
      <c r="E76" s="17">
        <v>2</v>
      </c>
      <c r="F76" s="135">
        <f>E76/10</f>
        <v>0.2</v>
      </c>
      <c r="G76" s="135">
        <v>657.87</v>
      </c>
      <c r="H76" s="68">
        <f t="shared" si="4"/>
        <v>0.13157400000000002</v>
      </c>
      <c r="I76" s="12">
        <f>G76*0.1</f>
        <v>65.787000000000006</v>
      </c>
    </row>
    <row r="77" spans="1:9" hidden="1">
      <c r="A77" s="26"/>
      <c r="B77" s="13" t="s">
        <v>69</v>
      </c>
      <c r="C77" s="15" t="s">
        <v>30</v>
      </c>
      <c r="D77" s="13" t="s">
        <v>63</v>
      </c>
      <c r="E77" s="17">
        <v>1</v>
      </c>
      <c r="F77" s="48">
        <v>1</v>
      </c>
      <c r="G77" s="12">
        <v>911.85</v>
      </c>
      <c r="H77" s="68">
        <f>F77*G77/1000</f>
        <v>0.91185000000000005</v>
      </c>
      <c r="I77" s="12">
        <v>0</v>
      </c>
    </row>
    <row r="78" spans="1:9" hidden="1">
      <c r="A78" s="26"/>
      <c r="B78" s="13" t="s">
        <v>167</v>
      </c>
      <c r="C78" s="15" t="s">
        <v>30</v>
      </c>
      <c r="D78" s="13" t="s">
        <v>63</v>
      </c>
      <c r="E78" s="17">
        <v>1</v>
      </c>
      <c r="F78" s="12">
        <v>1</v>
      </c>
      <c r="G78" s="12">
        <v>383.25</v>
      </c>
      <c r="H78" s="68">
        <f>G78*F78/1000</f>
        <v>0.38324999999999998</v>
      </c>
      <c r="I78" s="12">
        <v>0</v>
      </c>
    </row>
    <row r="79" spans="1:9" hidden="1">
      <c r="A79" s="26"/>
      <c r="B79" s="70" t="s">
        <v>71</v>
      </c>
      <c r="C79" s="15"/>
      <c r="D79" s="13"/>
      <c r="E79" s="17"/>
      <c r="F79" s="12"/>
      <c r="G79" s="12" t="s">
        <v>119</v>
      </c>
      <c r="H79" s="68" t="s">
        <v>119</v>
      </c>
      <c r="I79" s="12"/>
    </row>
    <row r="80" spans="1:9" hidden="1">
      <c r="A80" s="26">
        <v>22</v>
      </c>
      <c r="B80" s="39" t="s">
        <v>109</v>
      </c>
      <c r="C80" s="15" t="s">
        <v>72</v>
      </c>
      <c r="D80" s="13"/>
      <c r="E80" s="17"/>
      <c r="F80" s="12">
        <v>0.9</v>
      </c>
      <c r="G80" s="12">
        <v>2757.42</v>
      </c>
      <c r="H80" s="68">
        <f t="shared" si="4"/>
        <v>2.4816780000000005</v>
      </c>
      <c r="I80" s="12">
        <f>G80*F80</f>
        <v>2481.6780000000003</v>
      </c>
    </row>
    <row r="81" spans="1:9" ht="28.5" hidden="1">
      <c r="A81" s="26"/>
      <c r="B81" s="169" t="s">
        <v>107</v>
      </c>
      <c r="C81" s="70"/>
      <c r="D81" s="28"/>
      <c r="E81" s="29"/>
      <c r="F81" s="59"/>
      <c r="G81" s="59"/>
      <c r="H81" s="71">
        <f>SUM(H59:H80)</f>
        <v>154.46234686</v>
      </c>
      <c r="I81" s="59"/>
    </row>
    <row r="82" spans="1:9" hidden="1">
      <c r="A82" s="124">
        <v>14</v>
      </c>
      <c r="B82" s="62" t="s">
        <v>108</v>
      </c>
      <c r="C82" s="125"/>
      <c r="D82" s="126"/>
      <c r="E82" s="49"/>
      <c r="F82" s="74">
        <v>1</v>
      </c>
      <c r="G82" s="74">
        <v>8402.6</v>
      </c>
      <c r="H82" s="127">
        <f>G82*F82/1000</f>
        <v>8.4025999999999996</v>
      </c>
      <c r="I82" s="74">
        <f>G82</f>
        <v>8402.6</v>
      </c>
    </row>
    <row r="83" spans="1:9" ht="17.25" customHeight="1">
      <c r="A83" s="26"/>
      <c r="B83" s="147" t="s">
        <v>135</v>
      </c>
      <c r="C83" s="137"/>
      <c r="D83" s="13"/>
      <c r="E83" s="17"/>
      <c r="F83" s="12"/>
      <c r="G83" s="12"/>
      <c r="H83" s="12"/>
      <c r="I83" s="12"/>
    </row>
    <row r="84" spans="1:9" ht="32.25" customHeight="1">
      <c r="A84" s="26">
        <v>14</v>
      </c>
      <c r="B84" s="106" t="s">
        <v>136</v>
      </c>
      <c r="C84" s="32" t="s">
        <v>137</v>
      </c>
      <c r="D84" s="13"/>
      <c r="E84" s="17"/>
      <c r="F84" s="12"/>
      <c r="G84" s="107">
        <v>2.2799999999999998</v>
      </c>
      <c r="H84" s="12"/>
      <c r="I84" s="12">
        <f>47340/12*G84</f>
        <v>8994.5999999999985</v>
      </c>
    </row>
    <row r="85" spans="1:9" ht="30" customHeight="1">
      <c r="A85" s="26">
        <v>15</v>
      </c>
      <c r="B85" s="110" t="s">
        <v>138</v>
      </c>
      <c r="C85" s="111" t="s">
        <v>80</v>
      </c>
      <c r="D85" s="13"/>
      <c r="E85" s="17"/>
      <c r="F85" s="12"/>
      <c r="G85" s="107">
        <v>50.68</v>
      </c>
      <c r="H85" s="12"/>
      <c r="I85" s="12">
        <f>12/12*G85</f>
        <v>50.68</v>
      </c>
    </row>
    <row r="86" spans="1:9">
      <c r="A86" s="230" t="s">
        <v>150</v>
      </c>
      <c r="B86" s="231"/>
      <c r="C86" s="231"/>
      <c r="D86" s="231"/>
      <c r="E86" s="231"/>
      <c r="F86" s="231"/>
      <c r="G86" s="231"/>
      <c r="H86" s="231"/>
      <c r="I86" s="232"/>
    </row>
    <row r="87" spans="1:9" ht="17.25" customHeight="1">
      <c r="A87" s="77">
        <v>16</v>
      </c>
      <c r="B87" s="128" t="s">
        <v>110</v>
      </c>
      <c r="C87" s="129" t="s">
        <v>52</v>
      </c>
      <c r="D87" s="130"/>
      <c r="E87" s="131">
        <v>3945</v>
      </c>
      <c r="F87" s="131">
        <f>SUM(E87*12)</f>
        <v>47340</v>
      </c>
      <c r="G87" s="136">
        <v>3.1</v>
      </c>
      <c r="H87" s="132">
        <f>SUM(F87*G87/1000)</f>
        <v>146.75399999999999</v>
      </c>
      <c r="I87" s="131">
        <f>F87/12*G87</f>
        <v>12229.5</v>
      </c>
    </row>
    <row r="88" spans="1:9" ht="28.5" customHeight="1">
      <c r="A88" s="26">
        <v>17</v>
      </c>
      <c r="B88" s="13" t="s">
        <v>73</v>
      </c>
      <c r="C88" s="15"/>
      <c r="D88" s="130"/>
      <c r="E88" s="55">
        <f>E87</f>
        <v>3945</v>
      </c>
      <c r="F88" s="12">
        <f>E88*12</f>
        <v>47340</v>
      </c>
      <c r="G88" s="135">
        <v>3.5</v>
      </c>
      <c r="H88" s="68">
        <f>F88*G88/1000</f>
        <v>165.69</v>
      </c>
      <c r="I88" s="12">
        <f>F88/12*G88</f>
        <v>13807.5</v>
      </c>
    </row>
    <row r="89" spans="1:9">
      <c r="A89" s="26"/>
      <c r="B89" s="31" t="s">
        <v>75</v>
      </c>
      <c r="C89" s="32"/>
      <c r="D89" s="14"/>
      <c r="E89" s="14"/>
      <c r="F89" s="17"/>
      <c r="G89" s="133"/>
      <c r="H89" s="71">
        <f>H88</f>
        <v>165.69</v>
      </c>
      <c r="I89" s="29">
        <f>I88+I87+I85+I84+I65+I60+I59+I56+I55+I45+I42+I41+I38+I37+I18+I17+I16</f>
        <v>94446.664679999973</v>
      </c>
    </row>
    <row r="90" spans="1:9">
      <c r="A90" s="227" t="s">
        <v>57</v>
      </c>
      <c r="B90" s="228"/>
      <c r="C90" s="228"/>
      <c r="D90" s="228"/>
      <c r="E90" s="228"/>
      <c r="F90" s="228"/>
      <c r="G90" s="228"/>
      <c r="H90" s="228"/>
      <c r="I90" s="229"/>
    </row>
    <row r="91" spans="1:9">
      <c r="A91" s="26">
        <v>18</v>
      </c>
      <c r="B91" s="110" t="s">
        <v>314</v>
      </c>
      <c r="C91" s="111" t="s">
        <v>80</v>
      </c>
      <c r="D91" s="201" t="s">
        <v>320</v>
      </c>
      <c r="E91" s="107"/>
      <c r="F91" s="107">
        <v>1</v>
      </c>
      <c r="G91" s="107">
        <v>1226.45</v>
      </c>
      <c r="H91" s="12"/>
      <c r="I91" s="74">
        <f>G91*1</f>
        <v>1226.45</v>
      </c>
    </row>
    <row r="92" spans="1:9">
      <c r="A92" s="26">
        <v>19</v>
      </c>
      <c r="B92" s="110" t="s">
        <v>203</v>
      </c>
      <c r="C92" s="111" t="s">
        <v>297</v>
      </c>
      <c r="D92" s="201"/>
      <c r="E92" s="107"/>
      <c r="F92" s="107">
        <v>2</v>
      </c>
      <c r="G92" s="107">
        <v>98</v>
      </c>
      <c r="H92" s="12"/>
      <c r="I92" s="74">
        <f>G92*1</f>
        <v>98</v>
      </c>
    </row>
    <row r="93" spans="1:9">
      <c r="A93" s="26">
        <v>20</v>
      </c>
      <c r="B93" s="110" t="s">
        <v>202</v>
      </c>
      <c r="C93" s="111" t="s">
        <v>30</v>
      </c>
      <c r="D93" s="201"/>
      <c r="E93" s="107"/>
      <c r="F93" s="107">
        <v>3</v>
      </c>
      <c r="G93" s="107">
        <v>235</v>
      </c>
      <c r="H93" s="12"/>
      <c r="I93" s="74">
        <f>G93*1</f>
        <v>235</v>
      </c>
    </row>
    <row r="94" spans="1:9">
      <c r="A94" s="26">
        <v>21</v>
      </c>
      <c r="B94" s="110" t="s">
        <v>315</v>
      </c>
      <c r="C94" s="111" t="s">
        <v>30</v>
      </c>
      <c r="D94" s="201"/>
      <c r="E94" s="107"/>
      <c r="F94" s="107">
        <v>1</v>
      </c>
      <c r="G94" s="107">
        <v>139</v>
      </c>
      <c r="H94" s="12"/>
      <c r="I94" s="74">
        <f>G94*1</f>
        <v>139</v>
      </c>
    </row>
    <row r="95" spans="1:9">
      <c r="A95" s="26">
        <v>22</v>
      </c>
      <c r="B95" s="110" t="s">
        <v>318</v>
      </c>
      <c r="C95" s="111" t="s">
        <v>80</v>
      </c>
      <c r="D95" s="201"/>
      <c r="E95" s="107"/>
      <c r="F95" s="107">
        <v>1</v>
      </c>
      <c r="G95" s="107">
        <v>70</v>
      </c>
      <c r="H95" s="12"/>
      <c r="I95" s="74">
        <f>G95*1</f>
        <v>70</v>
      </c>
    </row>
    <row r="96" spans="1:9">
      <c r="A96" s="26">
        <v>23</v>
      </c>
      <c r="B96" s="110" t="s">
        <v>37</v>
      </c>
      <c r="C96" s="111" t="s">
        <v>316</v>
      </c>
      <c r="D96" s="201" t="s">
        <v>191</v>
      </c>
      <c r="E96" s="107"/>
      <c r="F96" s="107">
        <v>0.01</v>
      </c>
      <c r="G96" s="107">
        <v>8763.7900000000009</v>
      </c>
      <c r="H96" s="12"/>
      <c r="I96" s="74">
        <v>0</v>
      </c>
    </row>
    <row r="97" spans="1:9">
      <c r="A97" s="26">
        <v>24</v>
      </c>
      <c r="B97" s="110" t="s">
        <v>197</v>
      </c>
      <c r="C97" s="111" t="s">
        <v>317</v>
      </c>
      <c r="D97" s="201" t="s">
        <v>191</v>
      </c>
      <c r="E97" s="107"/>
      <c r="F97" s="107">
        <v>0.01</v>
      </c>
      <c r="G97" s="107">
        <v>28224.75</v>
      </c>
      <c r="H97" s="12"/>
      <c r="I97" s="74">
        <v>0</v>
      </c>
    </row>
    <row r="98" spans="1:9">
      <c r="A98" s="26">
        <v>25</v>
      </c>
      <c r="B98" s="110" t="s">
        <v>267</v>
      </c>
      <c r="C98" s="111" t="s">
        <v>181</v>
      </c>
      <c r="D98" s="201" t="s">
        <v>319</v>
      </c>
      <c r="E98" s="107"/>
      <c r="F98" s="107">
        <v>29</v>
      </c>
      <c r="G98" s="107">
        <v>295.36</v>
      </c>
      <c r="H98" s="12"/>
      <c r="I98" s="74">
        <v>0</v>
      </c>
    </row>
    <row r="99" spans="1:9" ht="14.25" customHeight="1">
      <c r="A99" s="26"/>
      <c r="B99" s="37" t="s">
        <v>49</v>
      </c>
      <c r="C99" s="33"/>
      <c r="D99" s="40"/>
      <c r="E99" s="33">
        <v>1</v>
      </c>
      <c r="F99" s="33"/>
      <c r="G99" s="33"/>
      <c r="H99" s="33"/>
      <c r="I99" s="29">
        <f>SUM(I91:I98)</f>
        <v>1768.45</v>
      </c>
    </row>
    <row r="100" spans="1:9">
      <c r="A100" s="26"/>
      <c r="B100" s="39" t="s">
        <v>74</v>
      </c>
      <c r="C100" s="14"/>
      <c r="D100" s="14"/>
      <c r="E100" s="34"/>
      <c r="F100" s="34"/>
      <c r="G100" s="35"/>
      <c r="H100" s="35"/>
      <c r="I100" s="16">
        <v>0</v>
      </c>
    </row>
    <row r="101" spans="1:9">
      <c r="A101" s="41"/>
      <c r="B101" s="38" t="s">
        <v>168</v>
      </c>
      <c r="C101" s="30"/>
      <c r="D101" s="30"/>
      <c r="E101" s="30"/>
      <c r="F101" s="30"/>
      <c r="G101" s="30"/>
      <c r="H101" s="30"/>
      <c r="I101" s="36">
        <f>I89+I99</f>
        <v>96215.11467999997</v>
      </c>
    </row>
    <row r="102" spans="1:9" ht="15.75">
      <c r="A102" s="226" t="s">
        <v>321</v>
      </c>
      <c r="B102" s="226"/>
      <c r="C102" s="226"/>
      <c r="D102" s="226"/>
      <c r="E102" s="226"/>
      <c r="F102" s="226"/>
      <c r="G102" s="226"/>
      <c r="H102" s="226"/>
      <c r="I102" s="226"/>
    </row>
    <row r="103" spans="1:9" ht="15.75">
      <c r="A103" s="78"/>
      <c r="B103" s="233" t="s">
        <v>322</v>
      </c>
      <c r="C103" s="233"/>
      <c r="D103" s="233"/>
      <c r="E103" s="233"/>
      <c r="F103" s="233"/>
      <c r="G103" s="233"/>
      <c r="H103" s="52"/>
      <c r="I103" s="3"/>
    </row>
    <row r="104" spans="1:9">
      <c r="A104" s="167"/>
      <c r="B104" s="234" t="s">
        <v>6</v>
      </c>
      <c r="C104" s="234"/>
      <c r="D104" s="234"/>
      <c r="E104" s="234"/>
      <c r="F104" s="234"/>
      <c r="G104" s="234"/>
      <c r="H104" s="21"/>
      <c r="I104" s="5"/>
    </row>
    <row r="105" spans="1:9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5.75">
      <c r="A106" s="235" t="s">
        <v>7</v>
      </c>
      <c r="B106" s="235"/>
      <c r="C106" s="235"/>
      <c r="D106" s="235"/>
      <c r="E106" s="235"/>
      <c r="F106" s="235"/>
      <c r="G106" s="235"/>
      <c r="H106" s="235"/>
      <c r="I106" s="235"/>
    </row>
    <row r="107" spans="1:9" ht="15.75">
      <c r="A107" s="235" t="s">
        <v>8</v>
      </c>
      <c r="B107" s="235"/>
      <c r="C107" s="235"/>
      <c r="D107" s="235"/>
      <c r="E107" s="235"/>
      <c r="F107" s="235"/>
      <c r="G107" s="235"/>
      <c r="H107" s="235"/>
      <c r="I107" s="235"/>
    </row>
    <row r="108" spans="1:9" ht="15.75">
      <c r="A108" s="236" t="s">
        <v>58</v>
      </c>
      <c r="B108" s="236"/>
      <c r="C108" s="236"/>
      <c r="D108" s="236"/>
      <c r="E108" s="236"/>
      <c r="F108" s="236"/>
      <c r="G108" s="236"/>
      <c r="H108" s="236"/>
      <c r="I108" s="236"/>
    </row>
    <row r="109" spans="1:9" ht="15.75">
      <c r="A109" s="10"/>
    </row>
    <row r="110" spans="1:9" ht="15.75">
      <c r="A110" s="220" t="s">
        <v>9</v>
      </c>
      <c r="B110" s="220"/>
      <c r="C110" s="220"/>
      <c r="D110" s="220"/>
      <c r="E110" s="220"/>
      <c r="F110" s="220"/>
      <c r="G110" s="220"/>
      <c r="H110" s="220"/>
      <c r="I110" s="220"/>
    </row>
    <row r="111" spans="1:9" ht="15.75">
      <c r="A111" s="4"/>
    </row>
    <row r="112" spans="1:9" ht="15.75">
      <c r="B112" s="168" t="s">
        <v>10</v>
      </c>
      <c r="C112" s="238" t="s">
        <v>215</v>
      </c>
      <c r="D112" s="238"/>
      <c r="E112" s="238"/>
      <c r="F112" s="50"/>
      <c r="I112" s="166"/>
    </row>
    <row r="113" spans="1:9">
      <c r="A113" s="167"/>
      <c r="C113" s="234" t="s">
        <v>11</v>
      </c>
      <c r="D113" s="234"/>
      <c r="E113" s="234"/>
      <c r="F113" s="21"/>
      <c r="I113" s="165" t="s">
        <v>12</v>
      </c>
    </row>
    <row r="114" spans="1:9" ht="15.75">
      <c r="A114" s="22"/>
      <c r="C114" s="11"/>
      <c r="D114" s="11"/>
      <c r="G114" s="11"/>
      <c r="H114" s="11"/>
    </row>
    <row r="115" spans="1:9" ht="15.75">
      <c r="B115" s="168" t="s">
        <v>13</v>
      </c>
      <c r="C115" s="239"/>
      <c r="D115" s="239"/>
      <c r="E115" s="239"/>
      <c r="F115" s="51"/>
      <c r="I115" s="166"/>
    </row>
    <row r="116" spans="1:9">
      <c r="A116" s="167"/>
      <c r="C116" s="240" t="s">
        <v>11</v>
      </c>
      <c r="D116" s="240"/>
      <c r="E116" s="240"/>
      <c r="F116" s="167"/>
      <c r="I116" s="165" t="s">
        <v>12</v>
      </c>
    </row>
    <row r="117" spans="1:9" ht="15.75">
      <c r="A117" s="4" t="s">
        <v>14</v>
      </c>
    </row>
    <row r="118" spans="1:9">
      <c r="A118" s="241" t="s">
        <v>15</v>
      </c>
      <c r="B118" s="241"/>
      <c r="C118" s="241"/>
      <c r="D118" s="241"/>
      <c r="E118" s="241"/>
      <c r="F118" s="241"/>
      <c r="G118" s="241"/>
      <c r="H118" s="241"/>
      <c r="I118" s="241"/>
    </row>
    <row r="119" spans="1:9" ht="45.75" customHeight="1">
      <c r="A119" s="237" t="s">
        <v>16</v>
      </c>
      <c r="B119" s="237"/>
      <c r="C119" s="237"/>
      <c r="D119" s="237"/>
      <c r="E119" s="237"/>
      <c r="F119" s="237"/>
      <c r="G119" s="237"/>
      <c r="H119" s="237"/>
      <c r="I119" s="237"/>
    </row>
    <row r="120" spans="1:9" ht="30.75" customHeight="1">
      <c r="A120" s="237" t="s">
        <v>17</v>
      </c>
      <c r="B120" s="237"/>
      <c r="C120" s="237"/>
      <c r="D120" s="237"/>
      <c r="E120" s="237"/>
      <c r="F120" s="237"/>
      <c r="G120" s="237"/>
      <c r="H120" s="237"/>
      <c r="I120" s="237"/>
    </row>
    <row r="121" spans="1:9" ht="33" customHeight="1">
      <c r="A121" s="237" t="s">
        <v>21</v>
      </c>
      <c r="B121" s="237"/>
      <c r="C121" s="237"/>
      <c r="D121" s="237"/>
      <c r="E121" s="237"/>
      <c r="F121" s="237"/>
      <c r="G121" s="237"/>
      <c r="H121" s="237"/>
      <c r="I121" s="237"/>
    </row>
    <row r="122" spans="1:9" ht="15.75">
      <c r="A122" s="237" t="s">
        <v>20</v>
      </c>
      <c r="B122" s="237"/>
      <c r="C122" s="237"/>
      <c r="D122" s="237"/>
      <c r="E122" s="237"/>
      <c r="F122" s="237"/>
      <c r="G122" s="237"/>
      <c r="H122" s="237"/>
      <c r="I122" s="237"/>
    </row>
  </sheetData>
  <mergeCells count="28">
    <mergeCell ref="A119:I119"/>
    <mergeCell ref="A120:I120"/>
    <mergeCell ref="A121:I121"/>
    <mergeCell ref="A122:I122"/>
    <mergeCell ref="A110:I110"/>
    <mergeCell ref="C112:E112"/>
    <mergeCell ref="C113:E113"/>
    <mergeCell ref="C115:E115"/>
    <mergeCell ref="C116:E116"/>
    <mergeCell ref="A118:I118"/>
    <mergeCell ref="A108:I108"/>
    <mergeCell ref="A15:I15"/>
    <mergeCell ref="A27:I27"/>
    <mergeCell ref="A46:I46"/>
    <mergeCell ref="A57:I57"/>
    <mergeCell ref="A86:I86"/>
    <mergeCell ref="A90:I90"/>
    <mergeCell ref="A102:I102"/>
    <mergeCell ref="B103:G103"/>
    <mergeCell ref="B104:G104"/>
    <mergeCell ref="A106:I106"/>
    <mergeCell ref="A107:I107"/>
    <mergeCell ref="A14:I14"/>
    <mergeCell ref="A3:I3"/>
    <mergeCell ref="A4:I4"/>
    <mergeCell ref="A5:I5"/>
    <mergeCell ref="A8:I8"/>
    <mergeCell ref="A10:I10"/>
  </mergeCells>
  <pageMargins left="0.31496062992125984" right="0" top="0.74803149606299213" bottom="0.74803149606299213" header="0.31496062992125984" footer="0.31496062992125984"/>
  <pageSetup paperSize="9" scale="70" orientation="portrait" horizontalDpi="0" verticalDpi="0" r:id="rId1"/>
  <rowBreaks count="1" manualBreakCount="1">
    <brk id="94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I121"/>
  <sheetViews>
    <sheetView tabSelected="1" topLeftCell="A74" workbookViewId="0">
      <selection activeCell="M96" sqref="M96"/>
    </sheetView>
  </sheetViews>
  <sheetFormatPr defaultRowHeight="15"/>
  <cols>
    <col min="1" max="1" width="8.42578125" customWidth="1"/>
    <col min="2" max="2" width="49.28515625" customWidth="1"/>
    <col min="3" max="3" width="17.28515625" customWidth="1"/>
    <col min="4" max="4" width="17.5703125" customWidth="1"/>
    <col min="5" max="5" width="0" hidden="1" customWidth="1"/>
    <col min="6" max="6" width="12" hidden="1" customWidth="1"/>
    <col min="7" max="7" width="15" customWidth="1"/>
    <col min="8" max="8" width="0" hidden="1" customWidth="1"/>
    <col min="9" max="9" width="15.85546875" customWidth="1"/>
  </cols>
  <sheetData>
    <row r="1" spans="1:9" ht="15.75">
      <c r="A1" s="24" t="s">
        <v>170</v>
      </c>
      <c r="I1" s="23"/>
    </row>
    <row r="2" spans="1:9" ht="15.75">
      <c r="A2" s="25" t="s">
        <v>59</v>
      </c>
    </row>
    <row r="3" spans="1:9" ht="15.75">
      <c r="A3" s="215" t="s">
        <v>178</v>
      </c>
      <c r="B3" s="215"/>
      <c r="C3" s="215"/>
      <c r="D3" s="215"/>
      <c r="E3" s="215"/>
      <c r="F3" s="215"/>
      <c r="G3" s="215"/>
      <c r="H3" s="215"/>
      <c r="I3" s="215"/>
    </row>
    <row r="4" spans="1:9" ht="31.5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9" ht="15.75">
      <c r="A5" s="215" t="s">
        <v>323</v>
      </c>
      <c r="B5" s="217"/>
      <c r="C5" s="217"/>
      <c r="D5" s="217"/>
      <c r="E5" s="217"/>
      <c r="F5" s="217"/>
      <c r="G5" s="217"/>
      <c r="H5" s="217"/>
      <c r="I5" s="217"/>
    </row>
    <row r="6" spans="1:9" ht="15.75">
      <c r="A6" s="2"/>
      <c r="B6" s="182"/>
      <c r="C6" s="182"/>
      <c r="D6" s="182"/>
      <c r="E6" s="182"/>
      <c r="F6" s="182"/>
      <c r="G6" s="182"/>
      <c r="H6" s="182"/>
      <c r="I6" s="27">
        <v>44561</v>
      </c>
    </row>
    <row r="7" spans="1:9" ht="15.75">
      <c r="B7" s="180"/>
      <c r="C7" s="180"/>
      <c r="D7" s="180"/>
      <c r="E7" s="3"/>
      <c r="F7" s="3"/>
      <c r="G7" s="3"/>
      <c r="H7" s="3"/>
    </row>
    <row r="8" spans="1:9" ht="106.5" customHeight="1">
      <c r="A8" s="218" t="s">
        <v>172</v>
      </c>
      <c r="B8" s="218"/>
      <c r="C8" s="218"/>
      <c r="D8" s="218"/>
      <c r="E8" s="218"/>
      <c r="F8" s="218"/>
      <c r="G8" s="218"/>
      <c r="H8" s="218"/>
      <c r="I8" s="218"/>
    </row>
    <row r="9" spans="1:9" ht="15.75">
      <c r="A9" s="4"/>
    </row>
    <row r="10" spans="1:9" ht="79.5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</row>
    <row r="11" spans="1:9" ht="15.75">
      <c r="A11" s="4"/>
    </row>
    <row r="12" spans="1:9" ht="87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</row>
    <row r="16" spans="1:9" ht="15.75" customHeight="1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7.25" customHeight="1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6.5" customHeight="1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85</v>
      </c>
      <c r="C19" s="54" t="s">
        <v>86</v>
      </c>
      <c r="D19" s="53" t="s">
        <v>87</v>
      </c>
      <c r="E19" s="55">
        <v>93.4</v>
      </c>
      <c r="F19" s="56">
        <f>SUM(E19/10)</f>
        <v>9.34</v>
      </c>
      <c r="G19" s="139">
        <v>223.17</v>
      </c>
      <c r="H19" s="57">
        <f t="shared" si="0"/>
        <v>2.0844078000000001</v>
      </c>
      <c r="I19" s="12">
        <f>5.76*G19</f>
        <v>1285.4591999999998</v>
      </c>
    </row>
    <row r="20" spans="1:9" hidden="1">
      <c r="A20" s="26">
        <v>4</v>
      </c>
      <c r="B20" s="53" t="s">
        <v>88</v>
      </c>
      <c r="C20" s="54" t="s">
        <v>84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>
        <v>5</v>
      </c>
      <c r="B21" s="53" t="s">
        <v>89</v>
      </c>
      <c r="C21" s="54" t="s">
        <v>84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90</v>
      </c>
      <c r="C22" s="54" t="s">
        <v>50</v>
      </c>
      <c r="D22" s="53" t="s">
        <v>87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91</v>
      </c>
      <c r="C23" s="54" t="s">
        <v>50</v>
      </c>
      <c r="D23" s="53" t="s">
        <v>87</v>
      </c>
      <c r="E23" s="58">
        <v>35.28</v>
      </c>
      <c r="F23" s="56">
        <f>SUM(E23/100)</f>
        <v>0.3528</v>
      </c>
      <c r="G23" s="139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92</v>
      </c>
      <c r="C24" s="54" t="s">
        <v>50</v>
      </c>
      <c r="D24" s="53" t="s">
        <v>87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0"/>
        <v>0.19671840000000002</v>
      </c>
      <c r="I24" s="12">
        <f>F24*G24</f>
        <v>196.7184</v>
      </c>
    </row>
    <row r="25" spans="1:9" ht="15" hidden="1" customHeight="1">
      <c r="A25" s="26">
        <v>4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 hidden="1">
      <c r="A26" s="26">
        <v>5</v>
      </c>
      <c r="B26" s="61" t="s">
        <v>23</v>
      </c>
      <c r="C26" s="54" t="s">
        <v>24</v>
      </c>
      <c r="D26" s="53" t="s">
        <v>155</v>
      </c>
      <c r="E26" s="55">
        <v>3945</v>
      </c>
      <c r="F26" s="56">
        <f>SUM(E26*12)</f>
        <v>47340</v>
      </c>
      <c r="G26" s="139">
        <v>3.64</v>
      </c>
      <c r="H26" s="57">
        <f>SUM(F26*G26/1000)</f>
        <v>172.3176</v>
      </c>
      <c r="I26" s="12">
        <f>F26/12*G26</f>
        <v>14359.800000000001</v>
      </c>
    </row>
    <row r="27" spans="1:9">
      <c r="A27" s="222" t="s">
        <v>156</v>
      </c>
      <c r="B27" s="223"/>
      <c r="C27" s="223"/>
      <c r="D27" s="223"/>
      <c r="E27" s="223"/>
      <c r="F27" s="223"/>
      <c r="G27" s="223"/>
      <c r="H27" s="223"/>
      <c r="I27" s="224"/>
    </row>
    <row r="28" spans="1:9" hidden="1">
      <c r="A28" s="26"/>
      <c r="B28" s="75" t="s">
        <v>28</v>
      </c>
      <c r="C28" s="54"/>
      <c r="D28" s="53"/>
      <c r="E28" s="55"/>
      <c r="F28" s="56"/>
      <c r="G28" s="56"/>
      <c r="H28" s="57"/>
      <c r="I28" s="12"/>
    </row>
    <row r="29" spans="1:9" hidden="1">
      <c r="A29" s="26">
        <v>6</v>
      </c>
      <c r="B29" s="53" t="s">
        <v>93</v>
      </c>
      <c r="C29" s="54" t="s">
        <v>157</v>
      </c>
      <c r="D29" s="53" t="s">
        <v>127</v>
      </c>
      <c r="E29" s="56">
        <v>1044.6500000000001</v>
      </c>
      <c r="F29" s="56">
        <f>SUM(E29*52/1000)</f>
        <v>54.321800000000003</v>
      </c>
      <c r="G29" s="139">
        <v>204.44</v>
      </c>
      <c r="H29" s="57">
        <f t="shared" ref="H29:H35" si="1">SUM(F29*G29/1000)</f>
        <v>11.105548792000002</v>
      </c>
      <c r="I29" s="12">
        <f>17.064/6*G29</f>
        <v>581.42736000000002</v>
      </c>
    </row>
    <row r="30" spans="1:9" ht="45" hidden="1">
      <c r="A30" s="26">
        <v>7</v>
      </c>
      <c r="B30" s="53" t="s">
        <v>121</v>
      </c>
      <c r="C30" s="54" t="s">
        <v>94</v>
      </c>
      <c r="D30" s="53" t="s">
        <v>128</v>
      </c>
      <c r="E30" s="56">
        <v>116.93</v>
      </c>
      <c r="F30" s="56">
        <f>SUM(E30*78/1000)</f>
        <v>9.1205400000000001</v>
      </c>
      <c r="G30" s="139">
        <v>339.21</v>
      </c>
      <c r="H30" s="57">
        <f t="shared" si="1"/>
        <v>3.0937783734000002</v>
      </c>
      <c r="I30" s="12">
        <f>5.3568/6*G30</f>
        <v>302.84668799999997</v>
      </c>
    </row>
    <row r="31" spans="1:9" hidden="1">
      <c r="A31" s="26">
        <v>14</v>
      </c>
      <c r="B31" s="53" t="s">
        <v>27</v>
      </c>
      <c r="C31" s="54" t="s">
        <v>94</v>
      </c>
      <c r="D31" s="53" t="s">
        <v>51</v>
      </c>
      <c r="E31" s="56">
        <v>1044.6500000000001</v>
      </c>
      <c r="F31" s="56">
        <f>SUM(E31/1000)</f>
        <v>1.0446500000000001</v>
      </c>
      <c r="G31" s="139">
        <v>3961.23</v>
      </c>
      <c r="H31" s="57">
        <f t="shared" si="1"/>
        <v>4.1380989195</v>
      </c>
      <c r="I31" s="12">
        <f>0.3555*G31</f>
        <v>1408.217265</v>
      </c>
    </row>
    <row r="32" spans="1:9" hidden="1">
      <c r="A32" s="26">
        <v>8</v>
      </c>
      <c r="B32" s="53" t="s">
        <v>112</v>
      </c>
      <c r="C32" s="54" t="s">
        <v>38</v>
      </c>
      <c r="D32" s="53" t="s">
        <v>129</v>
      </c>
      <c r="E32" s="56">
        <v>6</v>
      </c>
      <c r="F32" s="56">
        <v>9.3000000000000007</v>
      </c>
      <c r="G32" s="139">
        <v>1707.63</v>
      </c>
      <c r="H32" s="57">
        <f>G32*F32/1000</f>
        <v>15.880959000000002</v>
      </c>
      <c r="I32" s="12">
        <f>2.88/6*G32</f>
        <v>819.66240000000005</v>
      </c>
    </row>
    <row r="33" spans="1:9" hidden="1">
      <c r="A33" s="26">
        <v>9</v>
      </c>
      <c r="B33" s="53" t="s">
        <v>95</v>
      </c>
      <c r="C33" s="54" t="s">
        <v>30</v>
      </c>
      <c r="D33" s="53" t="s">
        <v>60</v>
      </c>
      <c r="E33" s="60">
        <v>0.33333333333333331</v>
      </c>
      <c r="F33" s="56">
        <f>155/3</f>
        <v>51.666666666666664</v>
      </c>
      <c r="G33" s="139">
        <v>74.349999999999994</v>
      </c>
      <c r="H33" s="57">
        <f>SUM(G33*155/3/1000)</f>
        <v>3.8414166666666665</v>
      </c>
      <c r="I33" s="12">
        <f>F33/6*G33</f>
        <v>640.23611111111109</v>
      </c>
    </row>
    <row r="34" spans="1:9" hidden="1">
      <c r="A34" s="26"/>
      <c r="B34" s="53" t="s">
        <v>61</v>
      </c>
      <c r="C34" s="54" t="s">
        <v>32</v>
      </c>
      <c r="D34" s="53" t="s">
        <v>63</v>
      </c>
      <c r="E34" s="55"/>
      <c r="F34" s="56">
        <v>3</v>
      </c>
      <c r="G34" s="56">
        <v>204.52</v>
      </c>
      <c r="H34" s="57">
        <f t="shared" si="1"/>
        <v>0.61356000000000011</v>
      </c>
      <c r="I34" s="12">
        <v>0</v>
      </c>
    </row>
    <row r="35" spans="1:9" hidden="1">
      <c r="A35" s="26"/>
      <c r="B35" s="53" t="s">
        <v>62</v>
      </c>
      <c r="C35" s="54" t="s">
        <v>31</v>
      </c>
      <c r="D35" s="53" t="s">
        <v>63</v>
      </c>
      <c r="E35" s="55"/>
      <c r="F35" s="56">
        <v>2</v>
      </c>
      <c r="G35" s="56">
        <v>1136.33</v>
      </c>
      <c r="H35" s="57">
        <f t="shared" si="1"/>
        <v>2.2726599999999997</v>
      </c>
      <c r="I35" s="12">
        <v>0</v>
      </c>
    </row>
    <row r="36" spans="1:9" ht="16.5" customHeight="1">
      <c r="A36" s="26"/>
      <c r="B36" s="75" t="s">
        <v>5</v>
      </c>
      <c r="C36" s="54"/>
      <c r="D36" s="53"/>
      <c r="E36" s="171"/>
      <c r="F36" s="139"/>
      <c r="G36" s="139"/>
      <c r="H36" s="57" t="s">
        <v>119</v>
      </c>
      <c r="I36" s="12"/>
    </row>
    <row r="37" spans="1:9" ht="31.5" customHeight="1">
      <c r="A37" s="26">
        <v>4</v>
      </c>
      <c r="B37" s="53" t="s">
        <v>26</v>
      </c>
      <c r="C37" s="54" t="s">
        <v>31</v>
      </c>
      <c r="D37" s="53" t="s">
        <v>324</v>
      </c>
      <c r="E37" s="171"/>
      <c r="F37" s="139">
        <v>3</v>
      </c>
      <c r="G37" s="139">
        <v>2003</v>
      </c>
      <c r="H37" s="57">
        <f>SUM(F37*G37/1000)</f>
        <v>6.0090000000000003</v>
      </c>
      <c r="I37" s="12">
        <f>G37*1</f>
        <v>2003</v>
      </c>
    </row>
    <row r="38" spans="1:9" ht="15" customHeight="1">
      <c r="A38" s="26">
        <v>5</v>
      </c>
      <c r="B38" s="53" t="s">
        <v>131</v>
      </c>
      <c r="C38" s="54" t="s">
        <v>29</v>
      </c>
      <c r="D38" s="53" t="s">
        <v>185</v>
      </c>
      <c r="E38" s="171">
        <v>111.6</v>
      </c>
      <c r="F38" s="173">
        <f>E38*30/1000</f>
        <v>3.3479999999999999</v>
      </c>
      <c r="G38" s="139">
        <v>2757.78</v>
      </c>
      <c r="H38" s="57">
        <f>G38*F38/1000</f>
        <v>9.23304744</v>
      </c>
      <c r="I38" s="12">
        <f>F38/6*G38</f>
        <v>1538.84124</v>
      </c>
    </row>
    <row r="39" spans="1:9" ht="28.5" hidden="1" customHeight="1">
      <c r="A39" s="26"/>
      <c r="B39" s="53" t="s">
        <v>161</v>
      </c>
      <c r="C39" s="54" t="s">
        <v>162</v>
      </c>
      <c r="D39" s="53" t="s">
        <v>63</v>
      </c>
      <c r="E39" s="139">
        <v>111.6</v>
      </c>
      <c r="F39" s="173">
        <f>SUM(E39*30/1000)</f>
        <v>3.3479999999999999</v>
      </c>
      <c r="G39" s="139">
        <v>7611.16</v>
      </c>
      <c r="H39" s="57">
        <f>G39*F39/1000</f>
        <v>25.482163679999999</v>
      </c>
      <c r="I39" s="12">
        <v>0</v>
      </c>
    </row>
    <row r="40" spans="1:9" ht="29.25" customHeight="1">
      <c r="A40" s="26">
        <v>6</v>
      </c>
      <c r="B40" s="53" t="s">
        <v>64</v>
      </c>
      <c r="C40" s="54" t="s">
        <v>29</v>
      </c>
      <c r="D40" s="53" t="s">
        <v>188</v>
      </c>
      <c r="E40" s="139">
        <v>111.6</v>
      </c>
      <c r="F40" s="173">
        <f>SUM(E40*155/1000)</f>
        <v>17.297999999999998</v>
      </c>
      <c r="G40" s="139">
        <v>460.02</v>
      </c>
      <c r="H40" s="57">
        <f>SUM(F40*G40/1000)</f>
        <v>7.9574259599999984</v>
      </c>
      <c r="I40" s="12">
        <f>F40/6*G40</f>
        <v>1326.2376599999998</v>
      </c>
    </row>
    <row r="41" spans="1:9" ht="45.75" customHeight="1">
      <c r="A41" s="26">
        <v>7</v>
      </c>
      <c r="B41" s="53" t="s">
        <v>76</v>
      </c>
      <c r="C41" s="54" t="s">
        <v>94</v>
      </c>
      <c r="D41" s="53" t="s">
        <v>194</v>
      </c>
      <c r="E41" s="139">
        <v>111.6</v>
      </c>
      <c r="F41" s="173">
        <f>SUM(E41*30/1000)</f>
        <v>3.3479999999999999</v>
      </c>
      <c r="G41" s="139">
        <v>7611.16</v>
      </c>
      <c r="H41" s="57">
        <f>SUM(F41*G41/1000)</f>
        <v>25.482163679999999</v>
      </c>
      <c r="I41" s="12">
        <f>F41/6*G41</f>
        <v>4247.0272799999993</v>
      </c>
    </row>
    <row r="42" spans="1:9" ht="18" hidden="1" customHeight="1">
      <c r="A42" s="26">
        <v>9</v>
      </c>
      <c r="B42" s="53" t="s">
        <v>98</v>
      </c>
      <c r="C42" s="54" t="s">
        <v>94</v>
      </c>
      <c r="D42" s="53" t="s">
        <v>195</v>
      </c>
      <c r="E42" s="139">
        <v>111.6</v>
      </c>
      <c r="F42" s="173">
        <f>SUM(E42*24/1000)</f>
        <v>2.6783999999999994</v>
      </c>
      <c r="G42" s="139">
        <v>562.25</v>
      </c>
      <c r="H42" s="57">
        <f>SUM(F42*G42/1000)</f>
        <v>1.5059303999999998</v>
      </c>
      <c r="I42" s="12">
        <f>F42/7.5*G42</f>
        <v>200.79071999999996</v>
      </c>
    </row>
    <row r="43" spans="1:9" ht="15.75" hidden="1" customHeight="1">
      <c r="A43" s="124">
        <v>10</v>
      </c>
      <c r="B43" s="62" t="s">
        <v>65</v>
      </c>
      <c r="C43" s="63" t="s">
        <v>32</v>
      </c>
      <c r="D43" s="62"/>
      <c r="E43" s="172"/>
      <c r="F43" s="173">
        <v>0.6</v>
      </c>
      <c r="G43" s="173">
        <v>974.83</v>
      </c>
      <c r="H43" s="65">
        <f>SUM(F43*G43/1000)</f>
        <v>0.58489800000000003</v>
      </c>
      <c r="I43" s="74">
        <f>F43/7.5*G43</f>
        <v>77.986400000000003</v>
      </c>
    </row>
    <row r="44" spans="1:9" ht="31.5" customHeight="1">
      <c r="A44" s="26">
        <v>8</v>
      </c>
      <c r="B44" s="110" t="s">
        <v>132</v>
      </c>
      <c r="C44" s="111" t="s">
        <v>29</v>
      </c>
      <c r="D44" s="174" t="s">
        <v>190</v>
      </c>
      <c r="E44" s="175">
        <v>1.2</v>
      </c>
      <c r="F44" s="176">
        <f>SUM(E44*12/1000)</f>
        <v>1.4399999999999998E-2</v>
      </c>
      <c r="G44" s="176">
        <v>260.2</v>
      </c>
      <c r="H44" s="12"/>
      <c r="I44" s="12">
        <f>G44*F44/6</f>
        <v>0.62447999999999981</v>
      </c>
    </row>
    <row r="45" spans="1:9">
      <c r="A45" s="222" t="s">
        <v>164</v>
      </c>
      <c r="B45" s="223"/>
      <c r="C45" s="223"/>
      <c r="D45" s="223"/>
      <c r="E45" s="223"/>
      <c r="F45" s="223"/>
      <c r="G45" s="223"/>
      <c r="H45" s="223"/>
      <c r="I45" s="224"/>
    </row>
    <row r="46" spans="1:9" hidden="1">
      <c r="A46" s="26">
        <v>12</v>
      </c>
      <c r="B46" s="53" t="s">
        <v>115</v>
      </c>
      <c r="C46" s="54" t="s">
        <v>94</v>
      </c>
      <c r="D46" s="53" t="s">
        <v>40</v>
      </c>
      <c r="E46" s="55">
        <v>1030.4000000000001</v>
      </c>
      <c r="F46" s="56">
        <f>SUM(E46*2/1000)</f>
        <v>2.0608</v>
      </c>
      <c r="G46" s="135">
        <v>1114.1300000000001</v>
      </c>
      <c r="H46" s="57">
        <f t="shared" ref="H46:H55" si="2">SUM(F46*G46/1000)</f>
        <v>2.2959991039999998</v>
      </c>
      <c r="I46" s="12">
        <f>F46/2*G46</f>
        <v>1147.999552</v>
      </c>
    </row>
    <row r="47" spans="1:9" hidden="1">
      <c r="A47" s="26">
        <v>13</v>
      </c>
      <c r="B47" s="53" t="s">
        <v>33</v>
      </c>
      <c r="C47" s="54" t="s">
        <v>94</v>
      </c>
      <c r="D47" s="53" t="s">
        <v>40</v>
      </c>
      <c r="E47" s="55">
        <v>132</v>
      </c>
      <c r="F47" s="56">
        <f>E47*2/1000</f>
        <v>0.26400000000000001</v>
      </c>
      <c r="G47" s="135">
        <v>4419.05</v>
      </c>
      <c r="H47" s="57">
        <f t="shared" si="2"/>
        <v>1.1666292</v>
      </c>
      <c r="I47" s="12">
        <f>F47/2*G47</f>
        <v>583.31460000000004</v>
      </c>
    </row>
    <row r="48" spans="1:9" hidden="1">
      <c r="A48" s="26">
        <v>14</v>
      </c>
      <c r="B48" s="53" t="s">
        <v>34</v>
      </c>
      <c r="C48" s="54" t="s">
        <v>94</v>
      </c>
      <c r="D48" s="53" t="s">
        <v>40</v>
      </c>
      <c r="E48" s="55">
        <v>4248.22</v>
      </c>
      <c r="F48" s="56">
        <f>SUM(E48*2/1000)</f>
        <v>8.4964399999999998</v>
      </c>
      <c r="G48" s="135">
        <v>1803.69</v>
      </c>
      <c r="H48" s="57">
        <f t="shared" si="2"/>
        <v>15.3249438636</v>
      </c>
      <c r="I48" s="12">
        <f>F48/2*G48</f>
        <v>7662.4719317999998</v>
      </c>
    </row>
    <row r="49" spans="1:9" hidden="1">
      <c r="A49" s="26">
        <v>15</v>
      </c>
      <c r="B49" s="53" t="s">
        <v>35</v>
      </c>
      <c r="C49" s="54" t="s">
        <v>94</v>
      </c>
      <c r="D49" s="53" t="s">
        <v>40</v>
      </c>
      <c r="E49" s="55">
        <v>2163.66</v>
      </c>
      <c r="F49" s="56">
        <f>SUM(E49*2/1000)</f>
        <v>4.3273199999999994</v>
      </c>
      <c r="G49" s="135">
        <v>1243.43</v>
      </c>
      <c r="H49" s="57">
        <f t="shared" si="2"/>
        <v>5.3807195075999994</v>
      </c>
      <c r="I49" s="12">
        <f>F49/2*G49</f>
        <v>2690.3597537999999</v>
      </c>
    </row>
    <row r="50" spans="1:9" ht="18" customHeight="1">
      <c r="A50" s="26">
        <v>9</v>
      </c>
      <c r="B50" s="53" t="s">
        <v>53</v>
      </c>
      <c r="C50" s="54" t="s">
        <v>94</v>
      </c>
      <c r="D50" s="53" t="s">
        <v>191</v>
      </c>
      <c r="E50" s="55">
        <v>1015.4</v>
      </c>
      <c r="F50" s="56">
        <f>SUM(E50*5/1000)</f>
        <v>5.077</v>
      </c>
      <c r="G50" s="135">
        <v>1083.69</v>
      </c>
      <c r="H50" s="57">
        <f t="shared" si="2"/>
        <v>5.5018941300000002</v>
      </c>
      <c r="I50" s="12">
        <f>3.945*G50</f>
        <v>4275.1570499999998</v>
      </c>
    </row>
    <row r="51" spans="1:9" ht="45" hidden="1">
      <c r="A51" s="26">
        <v>10</v>
      </c>
      <c r="B51" s="53" t="s">
        <v>99</v>
      </c>
      <c r="C51" s="54" t="s">
        <v>94</v>
      </c>
      <c r="D51" s="53" t="s">
        <v>40</v>
      </c>
      <c r="E51" s="171">
        <v>3945</v>
      </c>
      <c r="F51" s="139">
        <f>SUM(E51*2/1000)</f>
        <v>7.89</v>
      </c>
      <c r="G51" s="135">
        <v>1591.6</v>
      </c>
      <c r="H51" s="57">
        <f t="shared" si="2"/>
        <v>12.557723999999999</v>
      </c>
      <c r="I51" s="12">
        <f>G51*F51/2</f>
        <v>6278.8619999999992</v>
      </c>
    </row>
    <row r="52" spans="1:9" ht="30" hidden="1">
      <c r="A52" s="26">
        <v>11</v>
      </c>
      <c r="B52" s="53" t="s">
        <v>100</v>
      </c>
      <c r="C52" s="54" t="s">
        <v>36</v>
      </c>
      <c r="D52" s="53" t="s">
        <v>40</v>
      </c>
      <c r="E52" s="171">
        <v>30</v>
      </c>
      <c r="F52" s="139">
        <f>SUM(E52*2/100)</f>
        <v>0.6</v>
      </c>
      <c r="G52" s="135">
        <v>4058.32</v>
      </c>
      <c r="H52" s="57">
        <f t="shared" si="2"/>
        <v>2.4349920000000003</v>
      </c>
      <c r="I52" s="12">
        <f>G52*F52/2</f>
        <v>1217.4960000000001</v>
      </c>
    </row>
    <row r="53" spans="1:9" hidden="1">
      <c r="A53" s="26">
        <v>12</v>
      </c>
      <c r="B53" s="53" t="s">
        <v>37</v>
      </c>
      <c r="C53" s="54" t="s">
        <v>38</v>
      </c>
      <c r="D53" s="53" t="s">
        <v>40</v>
      </c>
      <c r="E53" s="171">
        <v>1</v>
      </c>
      <c r="F53" s="139">
        <v>0.02</v>
      </c>
      <c r="G53" s="135">
        <v>7412.92</v>
      </c>
      <c r="H53" s="57">
        <f t="shared" si="2"/>
        <v>0.14825839999999998</v>
      </c>
      <c r="I53" s="12">
        <f>G53*F53/2</f>
        <v>74.129199999999997</v>
      </c>
    </row>
    <row r="54" spans="1:9" hidden="1">
      <c r="A54" s="26">
        <v>11</v>
      </c>
      <c r="B54" s="53" t="s">
        <v>114</v>
      </c>
      <c r="C54" s="54" t="s">
        <v>80</v>
      </c>
      <c r="D54" s="195">
        <v>44168</v>
      </c>
      <c r="E54" s="55">
        <v>90</v>
      </c>
      <c r="F54" s="56">
        <f>E54*4</f>
        <v>360</v>
      </c>
      <c r="G54" s="135">
        <v>185.08</v>
      </c>
      <c r="H54" s="57">
        <f>F54*G54/1000</f>
        <v>66.628799999999998</v>
      </c>
      <c r="I54" s="12">
        <f>G54*E54</f>
        <v>16657.2</v>
      </c>
    </row>
    <row r="55" spans="1:9" hidden="1">
      <c r="A55" s="26">
        <v>12</v>
      </c>
      <c r="B55" s="53" t="s">
        <v>39</v>
      </c>
      <c r="C55" s="54" t="s">
        <v>80</v>
      </c>
      <c r="D55" s="195">
        <v>44168</v>
      </c>
      <c r="E55" s="55">
        <v>180</v>
      </c>
      <c r="F55" s="56">
        <f>SUM(E55)*3</f>
        <v>540</v>
      </c>
      <c r="G55" s="138">
        <v>86.15</v>
      </c>
      <c r="H55" s="57">
        <f t="shared" si="2"/>
        <v>46.521000000000001</v>
      </c>
      <c r="I55" s="12">
        <f>G55*E55</f>
        <v>15507.000000000002</v>
      </c>
    </row>
    <row r="56" spans="1:9">
      <c r="A56" s="222" t="s">
        <v>122</v>
      </c>
      <c r="B56" s="223"/>
      <c r="C56" s="223"/>
      <c r="D56" s="223"/>
      <c r="E56" s="223"/>
      <c r="F56" s="223"/>
      <c r="G56" s="223"/>
      <c r="H56" s="223"/>
      <c r="I56" s="224"/>
    </row>
    <row r="57" spans="1:9">
      <c r="A57" s="26"/>
      <c r="B57" s="75" t="s">
        <v>41</v>
      </c>
      <c r="C57" s="54"/>
      <c r="D57" s="53"/>
      <c r="E57" s="55"/>
      <c r="F57" s="56"/>
      <c r="G57" s="56"/>
      <c r="H57" s="57"/>
      <c r="I57" s="12"/>
    </row>
    <row r="58" spans="1:9" ht="36.75" customHeight="1">
      <c r="A58" s="26">
        <v>10</v>
      </c>
      <c r="B58" s="53" t="s">
        <v>165</v>
      </c>
      <c r="C58" s="54" t="s">
        <v>84</v>
      </c>
      <c r="D58" s="53"/>
      <c r="E58" s="55">
        <v>148.04</v>
      </c>
      <c r="F58" s="56">
        <f>SUM(E58*6/100)</f>
        <v>8.8824000000000005</v>
      </c>
      <c r="G58" s="135">
        <v>2029.3</v>
      </c>
      <c r="H58" s="57">
        <f>SUM(F58*G58/1000)</f>
        <v>18.025054319999999</v>
      </c>
      <c r="I58" s="135">
        <f>G58*0.24</f>
        <v>487.03199999999998</v>
      </c>
    </row>
    <row r="59" spans="1:9" ht="31.5" customHeight="1">
      <c r="A59" s="26">
        <v>11</v>
      </c>
      <c r="B59" s="53" t="s">
        <v>78</v>
      </c>
      <c r="C59" s="54" t="s">
        <v>84</v>
      </c>
      <c r="D59" s="53" t="s">
        <v>190</v>
      </c>
      <c r="E59" s="171">
        <v>39.69</v>
      </c>
      <c r="F59" s="139">
        <f>SUM(E59*12/100)</f>
        <v>4.7627999999999995</v>
      </c>
      <c r="G59" s="135">
        <v>2029.3</v>
      </c>
      <c r="H59" s="57">
        <f>SUM(F59*G59/1000)</f>
        <v>9.6651500399999986</v>
      </c>
      <c r="I59" s="12">
        <f>F59/6*G59</f>
        <v>1610.8583399999998</v>
      </c>
    </row>
    <row r="60" spans="1:9" hidden="1">
      <c r="A60" s="26">
        <v>18</v>
      </c>
      <c r="B60" s="62" t="s">
        <v>116</v>
      </c>
      <c r="C60" s="63" t="s">
        <v>117</v>
      </c>
      <c r="D60" s="62" t="s">
        <v>40</v>
      </c>
      <c r="E60" s="64">
        <v>8</v>
      </c>
      <c r="F60" s="65">
        <v>16</v>
      </c>
      <c r="G60" s="12">
        <v>193.25</v>
      </c>
      <c r="H60" s="66">
        <f>F60*G60/1000</f>
        <v>3.0920000000000001</v>
      </c>
      <c r="I60" s="12">
        <f>F60/2*G60</f>
        <v>1546</v>
      </c>
    </row>
    <row r="61" spans="1:9" ht="18" hidden="1" customHeight="1">
      <c r="A61" s="26">
        <v>13</v>
      </c>
      <c r="B61" s="53" t="s">
        <v>118</v>
      </c>
      <c r="C61" s="54" t="s">
        <v>84</v>
      </c>
      <c r="D61" s="53" t="s">
        <v>191</v>
      </c>
      <c r="E61" s="171">
        <v>18.84</v>
      </c>
      <c r="F61" s="139">
        <f>SUM(E61*6/100)</f>
        <v>1.1303999999999998</v>
      </c>
      <c r="G61" s="135">
        <v>2029.3</v>
      </c>
      <c r="H61" s="57">
        <f>SUM(F61*G61/1000)</f>
        <v>2.2939207199999996</v>
      </c>
      <c r="I61" s="12">
        <f>F61/6*G61</f>
        <v>382.32011999999997</v>
      </c>
    </row>
    <row r="62" spans="1:9" ht="17.25" customHeight="1">
      <c r="A62" s="26"/>
      <c r="B62" s="76" t="s">
        <v>42</v>
      </c>
      <c r="C62" s="63"/>
      <c r="D62" s="62"/>
      <c r="E62" s="64"/>
      <c r="F62" s="65"/>
      <c r="G62" s="12"/>
      <c r="H62" s="66"/>
      <c r="I62" s="12"/>
    </row>
    <row r="63" spans="1:9" hidden="1">
      <c r="A63" s="26"/>
      <c r="B63" s="62" t="s">
        <v>166</v>
      </c>
      <c r="C63" s="63" t="s">
        <v>50</v>
      </c>
      <c r="D63" s="62" t="s">
        <v>51</v>
      </c>
      <c r="E63" s="64">
        <v>1015.4</v>
      </c>
      <c r="F63" s="65">
        <v>10.154</v>
      </c>
      <c r="G63" s="12">
        <v>848.37</v>
      </c>
      <c r="H63" s="66">
        <f>F63*G63/1000</f>
        <v>8.6143489800000008</v>
      </c>
      <c r="I63" s="12">
        <v>0</v>
      </c>
    </row>
    <row r="64" spans="1:9" ht="16.5" customHeight="1">
      <c r="A64" s="26">
        <v>12</v>
      </c>
      <c r="B64" s="62" t="s">
        <v>81</v>
      </c>
      <c r="C64" s="63" t="s">
        <v>25</v>
      </c>
      <c r="D64" s="62" t="s">
        <v>191</v>
      </c>
      <c r="E64" s="64">
        <v>203.1</v>
      </c>
      <c r="F64" s="67">
        <f>E64*12</f>
        <v>2437.1999999999998</v>
      </c>
      <c r="G64" s="48">
        <v>1.4</v>
      </c>
      <c r="H64" s="65">
        <f>F64*G64/1000</f>
        <v>3.4120799999999996</v>
      </c>
      <c r="I64" s="12">
        <f>2400/12*G64</f>
        <v>280</v>
      </c>
    </row>
    <row r="65" spans="1:9" hidden="1">
      <c r="A65" s="26"/>
      <c r="B65" s="76" t="s">
        <v>43</v>
      </c>
      <c r="C65" s="63"/>
      <c r="D65" s="62"/>
      <c r="E65" s="64"/>
      <c r="F65" s="67"/>
      <c r="G65" s="67"/>
      <c r="H65" s="65" t="s">
        <v>119</v>
      </c>
      <c r="I65" s="12"/>
    </row>
    <row r="66" spans="1:9" hidden="1">
      <c r="A66" s="26">
        <v>14</v>
      </c>
      <c r="B66" s="13" t="s">
        <v>44</v>
      </c>
      <c r="C66" s="15" t="s">
        <v>80</v>
      </c>
      <c r="D66" s="13"/>
      <c r="E66" s="17">
        <v>10</v>
      </c>
      <c r="F66" s="56">
        <v>10</v>
      </c>
      <c r="G66" s="135">
        <v>291.68</v>
      </c>
      <c r="H66" s="68">
        <f t="shared" ref="H66:H79" si="3">SUM(F66*G66/1000)</f>
        <v>2.9168000000000003</v>
      </c>
      <c r="I66" s="12">
        <f>G66*2</f>
        <v>583.36</v>
      </c>
    </row>
    <row r="67" spans="1:9" hidden="1">
      <c r="A67" s="26"/>
      <c r="B67" s="13" t="s">
        <v>45</v>
      </c>
      <c r="C67" s="15" t="s">
        <v>80</v>
      </c>
      <c r="D67" s="13" t="s">
        <v>63</v>
      </c>
      <c r="E67" s="17">
        <v>5</v>
      </c>
      <c r="F67" s="56">
        <v>5</v>
      </c>
      <c r="G67" s="12">
        <v>81.510000000000005</v>
      </c>
      <c r="H67" s="68">
        <f t="shared" si="3"/>
        <v>0.40755000000000002</v>
      </c>
      <c r="I67" s="12">
        <v>0</v>
      </c>
    </row>
    <row r="68" spans="1:9" hidden="1">
      <c r="A68" s="26">
        <v>25</v>
      </c>
      <c r="B68" s="13" t="s">
        <v>46</v>
      </c>
      <c r="C68" s="15" t="s">
        <v>103</v>
      </c>
      <c r="D68" s="13" t="s">
        <v>51</v>
      </c>
      <c r="E68" s="55">
        <v>14205</v>
      </c>
      <c r="F68" s="12">
        <f>SUM(E68/100)</f>
        <v>142.05000000000001</v>
      </c>
      <c r="G68" s="135">
        <v>278.24</v>
      </c>
      <c r="H68" s="68">
        <f t="shared" si="3"/>
        <v>39.523992000000007</v>
      </c>
      <c r="I68" s="12">
        <f>F68*G68</f>
        <v>39523.992000000006</v>
      </c>
    </row>
    <row r="69" spans="1:9" hidden="1">
      <c r="A69" s="26">
        <v>26</v>
      </c>
      <c r="B69" s="13" t="s">
        <v>47</v>
      </c>
      <c r="C69" s="15" t="s">
        <v>104</v>
      </c>
      <c r="D69" s="13" t="s">
        <v>51</v>
      </c>
      <c r="E69" s="55">
        <v>14205</v>
      </c>
      <c r="F69" s="12">
        <f>SUM(E69/1000)</f>
        <v>14.205</v>
      </c>
      <c r="G69" s="135">
        <v>216.68</v>
      </c>
      <c r="H69" s="68">
        <f t="shared" si="3"/>
        <v>3.0779394</v>
      </c>
      <c r="I69" s="12">
        <f>F69*G69</f>
        <v>3077.9394000000002</v>
      </c>
    </row>
    <row r="70" spans="1:9" hidden="1">
      <c r="A70" s="26">
        <v>27</v>
      </c>
      <c r="B70" s="13" t="s">
        <v>48</v>
      </c>
      <c r="C70" s="15" t="s">
        <v>72</v>
      </c>
      <c r="D70" s="13" t="s">
        <v>51</v>
      </c>
      <c r="E70" s="55">
        <v>2131</v>
      </c>
      <c r="F70" s="12">
        <f>SUM(E70/100)</f>
        <v>21.31</v>
      </c>
      <c r="G70" s="135">
        <v>2720.94</v>
      </c>
      <c r="H70" s="68">
        <f t="shared" si="3"/>
        <v>57.983231399999994</v>
      </c>
      <c r="I70" s="12">
        <f>F70*G70</f>
        <v>57983.231399999997</v>
      </c>
    </row>
    <row r="71" spans="1:9" hidden="1">
      <c r="A71" s="26">
        <v>28</v>
      </c>
      <c r="B71" s="69" t="s">
        <v>105</v>
      </c>
      <c r="C71" s="15" t="s">
        <v>32</v>
      </c>
      <c r="D71" s="13" t="s">
        <v>51</v>
      </c>
      <c r="E71" s="55">
        <v>12.48</v>
      </c>
      <c r="F71" s="12">
        <f>SUM(E71)</f>
        <v>12.48</v>
      </c>
      <c r="G71" s="135">
        <v>44.31</v>
      </c>
      <c r="H71" s="68">
        <f t="shared" si="3"/>
        <v>0.55298880000000006</v>
      </c>
      <c r="I71" s="12">
        <f>7*G71</f>
        <v>310.17</v>
      </c>
    </row>
    <row r="72" spans="1:9" hidden="1">
      <c r="A72" s="26">
        <v>29</v>
      </c>
      <c r="B72" s="69" t="s">
        <v>106</v>
      </c>
      <c r="C72" s="15" t="s">
        <v>32</v>
      </c>
      <c r="D72" s="13" t="s">
        <v>51</v>
      </c>
      <c r="E72" s="55">
        <v>12.48</v>
      </c>
      <c r="F72" s="12">
        <f>SUM(E72)</f>
        <v>12.48</v>
      </c>
      <c r="G72" s="135">
        <v>47.79</v>
      </c>
      <c r="H72" s="68">
        <f t="shared" si="3"/>
        <v>0.59641920000000004</v>
      </c>
      <c r="I72" s="12">
        <f>7*G72</f>
        <v>334.53</v>
      </c>
    </row>
    <row r="73" spans="1:9" hidden="1">
      <c r="A73" s="26">
        <v>21</v>
      </c>
      <c r="B73" s="13" t="s">
        <v>54</v>
      </c>
      <c r="C73" s="15" t="s">
        <v>55</v>
      </c>
      <c r="D73" s="13" t="s">
        <v>51</v>
      </c>
      <c r="E73" s="17">
        <v>5</v>
      </c>
      <c r="F73" s="56">
        <v>6</v>
      </c>
      <c r="G73" s="12">
        <v>65.42</v>
      </c>
      <c r="H73" s="68">
        <f t="shared" si="3"/>
        <v>0.39251999999999998</v>
      </c>
      <c r="I73" s="12">
        <f>F73/1*G73</f>
        <v>392.52</v>
      </c>
    </row>
    <row r="74" spans="1:9" ht="15.75" customHeight="1">
      <c r="A74" s="26"/>
      <c r="B74" s="181" t="s">
        <v>67</v>
      </c>
      <c r="C74" s="15"/>
      <c r="D74" s="13"/>
      <c r="E74" s="17"/>
      <c r="F74" s="12"/>
      <c r="G74" s="12"/>
      <c r="H74" s="68" t="s">
        <v>119</v>
      </c>
      <c r="I74" s="12"/>
    </row>
    <row r="75" spans="1:9" ht="15.75" customHeight="1">
      <c r="A75" s="26">
        <v>13</v>
      </c>
      <c r="B75" s="13" t="s">
        <v>68</v>
      </c>
      <c r="C75" s="15" t="s">
        <v>70</v>
      </c>
      <c r="D75" s="13" t="s">
        <v>151</v>
      </c>
      <c r="E75" s="17">
        <v>2</v>
      </c>
      <c r="F75" s="135">
        <f>E75/10</f>
        <v>0.2</v>
      </c>
      <c r="G75" s="135">
        <v>657.87</v>
      </c>
      <c r="H75" s="68">
        <f t="shared" si="3"/>
        <v>0.13157400000000002</v>
      </c>
      <c r="I75" s="12">
        <f>G75*0.1</f>
        <v>65.787000000000006</v>
      </c>
    </row>
    <row r="76" spans="1:9" hidden="1">
      <c r="A76" s="26"/>
      <c r="B76" s="13" t="s">
        <v>69</v>
      </c>
      <c r="C76" s="15" t="s">
        <v>30</v>
      </c>
      <c r="D76" s="13" t="s">
        <v>63</v>
      </c>
      <c r="E76" s="17">
        <v>1</v>
      </c>
      <c r="F76" s="48">
        <v>1</v>
      </c>
      <c r="G76" s="12">
        <v>911.85</v>
      </c>
      <c r="H76" s="68">
        <f>F76*G76/1000</f>
        <v>0.91185000000000005</v>
      </c>
      <c r="I76" s="12">
        <v>0</v>
      </c>
    </row>
    <row r="77" spans="1:9" hidden="1">
      <c r="A77" s="26"/>
      <c r="B77" s="13" t="s">
        <v>167</v>
      </c>
      <c r="C77" s="15" t="s">
        <v>30</v>
      </c>
      <c r="D77" s="13" t="s">
        <v>63</v>
      </c>
      <c r="E77" s="17">
        <v>1</v>
      </c>
      <c r="F77" s="12">
        <v>1</v>
      </c>
      <c r="G77" s="12">
        <v>383.25</v>
      </c>
      <c r="H77" s="68">
        <f>G77*F77/1000</f>
        <v>0.38324999999999998</v>
      </c>
      <c r="I77" s="12">
        <v>0</v>
      </c>
    </row>
    <row r="78" spans="1:9" hidden="1">
      <c r="A78" s="26"/>
      <c r="B78" s="70" t="s">
        <v>71</v>
      </c>
      <c r="C78" s="15"/>
      <c r="D78" s="13"/>
      <c r="E78" s="17"/>
      <c r="F78" s="12"/>
      <c r="G78" s="12" t="s">
        <v>119</v>
      </c>
      <c r="H78" s="68" t="s">
        <v>119</v>
      </c>
      <c r="I78" s="12"/>
    </row>
    <row r="79" spans="1:9" hidden="1">
      <c r="A79" s="26">
        <v>22</v>
      </c>
      <c r="B79" s="39" t="s">
        <v>109</v>
      </c>
      <c r="C79" s="15" t="s">
        <v>72</v>
      </c>
      <c r="D79" s="13"/>
      <c r="E79" s="17"/>
      <c r="F79" s="12">
        <v>0.9</v>
      </c>
      <c r="G79" s="12">
        <v>2757.42</v>
      </c>
      <c r="H79" s="68">
        <f t="shared" si="3"/>
        <v>2.4816780000000005</v>
      </c>
      <c r="I79" s="12">
        <f>G79*F79</f>
        <v>2481.6780000000003</v>
      </c>
    </row>
    <row r="80" spans="1:9" ht="30.75" hidden="1" customHeight="1">
      <c r="A80" s="26"/>
      <c r="B80" s="181" t="s">
        <v>107</v>
      </c>
      <c r="C80" s="70"/>
      <c r="D80" s="28"/>
      <c r="E80" s="29"/>
      <c r="F80" s="59"/>
      <c r="G80" s="59"/>
      <c r="H80" s="71">
        <f>SUM(H58:H79)</f>
        <v>154.46234686</v>
      </c>
      <c r="I80" s="59"/>
    </row>
    <row r="81" spans="1:9" ht="15.75" hidden="1" customHeight="1">
      <c r="A81" s="124">
        <v>15</v>
      </c>
      <c r="B81" s="62" t="s">
        <v>108</v>
      </c>
      <c r="C81" s="125"/>
      <c r="D81" s="126"/>
      <c r="E81" s="49"/>
      <c r="F81" s="74">
        <v>1</v>
      </c>
      <c r="G81" s="74">
        <v>9822</v>
      </c>
      <c r="H81" s="127">
        <f>G81*F81/1000</f>
        <v>9.8219999999999992</v>
      </c>
      <c r="I81" s="74">
        <f>G81</f>
        <v>9822</v>
      </c>
    </row>
    <row r="82" spans="1:9" ht="15" customHeight="1">
      <c r="A82" s="26"/>
      <c r="B82" s="147" t="s">
        <v>135</v>
      </c>
      <c r="C82" s="137"/>
      <c r="D82" s="13"/>
      <c r="E82" s="17"/>
      <c r="F82" s="12"/>
      <c r="G82" s="12"/>
      <c r="H82" s="12"/>
      <c r="I82" s="12"/>
    </row>
    <row r="83" spans="1:9" ht="33.75" customHeight="1">
      <c r="A83" s="26">
        <v>14</v>
      </c>
      <c r="B83" s="106" t="s">
        <v>136</v>
      </c>
      <c r="C83" s="32" t="s">
        <v>137</v>
      </c>
      <c r="D83" s="13"/>
      <c r="E83" s="17"/>
      <c r="F83" s="12"/>
      <c r="G83" s="107">
        <v>2.2799999999999998</v>
      </c>
      <c r="H83" s="12"/>
      <c r="I83" s="12">
        <f>47340/12*G83</f>
        <v>8994.5999999999985</v>
      </c>
    </row>
    <row r="84" spans="1:9" ht="30" customHeight="1">
      <c r="A84" s="26">
        <v>15</v>
      </c>
      <c r="B84" s="110" t="s">
        <v>138</v>
      </c>
      <c r="C84" s="111" t="s">
        <v>80</v>
      </c>
      <c r="D84" s="13"/>
      <c r="E84" s="17"/>
      <c r="F84" s="12"/>
      <c r="G84" s="107">
        <v>50.68</v>
      </c>
      <c r="H84" s="12"/>
      <c r="I84" s="12">
        <f>12/12*G84</f>
        <v>50.68</v>
      </c>
    </row>
    <row r="85" spans="1:9">
      <c r="A85" s="230" t="s">
        <v>123</v>
      </c>
      <c r="B85" s="231"/>
      <c r="C85" s="231"/>
      <c r="D85" s="231"/>
      <c r="E85" s="231"/>
      <c r="F85" s="231"/>
      <c r="G85" s="231"/>
      <c r="H85" s="231"/>
      <c r="I85" s="232"/>
    </row>
    <row r="86" spans="1:9" ht="15.75" customHeight="1">
      <c r="A86" s="77">
        <v>16</v>
      </c>
      <c r="B86" s="128" t="s">
        <v>110</v>
      </c>
      <c r="C86" s="129" t="s">
        <v>52</v>
      </c>
      <c r="D86" s="130"/>
      <c r="E86" s="131">
        <v>3945</v>
      </c>
      <c r="F86" s="131">
        <f>SUM(E86*12)</f>
        <v>47340</v>
      </c>
      <c r="G86" s="135">
        <v>3.1</v>
      </c>
      <c r="H86" s="132">
        <f>SUM(F86*G86/1000)</f>
        <v>146.75399999999999</v>
      </c>
      <c r="I86" s="131">
        <f>F86/12*G86</f>
        <v>12229.5</v>
      </c>
    </row>
    <row r="87" spans="1:9" ht="35.25" customHeight="1">
      <c r="A87" s="26">
        <v>17</v>
      </c>
      <c r="B87" s="13" t="s">
        <v>73</v>
      </c>
      <c r="C87" s="15"/>
      <c r="D87" s="130"/>
      <c r="E87" s="55">
        <f>E86</f>
        <v>3945</v>
      </c>
      <c r="F87" s="12">
        <f>E87*12</f>
        <v>47340</v>
      </c>
      <c r="G87" s="135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75</v>
      </c>
      <c r="C88" s="32"/>
      <c r="D88" s="14"/>
      <c r="E88" s="14"/>
      <c r="F88" s="17"/>
      <c r="G88" s="133"/>
      <c r="H88" s="71">
        <f>H87</f>
        <v>165.69</v>
      </c>
      <c r="I88" s="29">
        <f>I87+I86+I84+I83+I75+I64+I59+I58+I50+I44+I41+I40+I38+I37+I18+I17+I16</f>
        <v>67624.908729999996</v>
      </c>
    </row>
    <row r="89" spans="1:9">
      <c r="A89" s="227" t="s">
        <v>57</v>
      </c>
      <c r="B89" s="228"/>
      <c r="C89" s="228"/>
      <c r="D89" s="228"/>
      <c r="E89" s="228"/>
      <c r="F89" s="228"/>
      <c r="G89" s="228"/>
      <c r="H89" s="228"/>
      <c r="I89" s="229"/>
    </row>
    <row r="90" spans="1:9">
      <c r="A90" s="200">
        <v>18</v>
      </c>
      <c r="B90" s="110" t="s">
        <v>211</v>
      </c>
      <c r="C90" s="111" t="s">
        <v>80</v>
      </c>
      <c r="D90" s="201" t="s">
        <v>212</v>
      </c>
      <c r="E90" s="107"/>
      <c r="F90" s="107">
        <v>2</v>
      </c>
      <c r="G90" s="107">
        <v>611.91999999999996</v>
      </c>
      <c r="H90" s="211"/>
      <c r="I90" s="207">
        <f>G90*1</f>
        <v>611.91999999999996</v>
      </c>
    </row>
    <row r="91" spans="1:9">
      <c r="A91" s="200">
        <v>19</v>
      </c>
      <c r="B91" s="110" t="s">
        <v>325</v>
      </c>
      <c r="C91" s="111" t="s">
        <v>80</v>
      </c>
      <c r="D91" s="201"/>
      <c r="E91" s="107"/>
      <c r="F91" s="107">
        <v>1</v>
      </c>
      <c r="G91" s="107">
        <v>225.64</v>
      </c>
      <c r="H91" s="211"/>
      <c r="I91" s="207">
        <f>G91*1</f>
        <v>225.64</v>
      </c>
    </row>
    <row r="92" spans="1:9">
      <c r="A92" s="200">
        <v>20</v>
      </c>
      <c r="B92" s="110" t="s">
        <v>37</v>
      </c>
      <c r="C92" s="111" t="s">
        <v>316</v>
      </c>
      <c r="D92" s="201" t="s">
        <v>191</v>
      </c>
      <c r="E92" s="107"/>
      <c r="F92" s="107">
        <v>0.02</v>
      </c>
      <c r="G92" s="107">
        <v>8763.7900000000009</v>
      </c>
      <c r="H92" s="211"/>
      <c r="I92" s="207">
        <v>0</v>
      </c>
    </row>
    <row r="93" spans="1:9">
      <c r="A93" s="200">
        <v>21</v>
      </c>
      <c r="B93" s="110" t="s">
        <v>199</v>
      </c>
      <c r="C93" s="111" t="s">
        <v>200</v>
      </c>
      <c r="D93" s="201" t="s">
        <v>261</v>
      </c>
      <c r="E93" s="107"/>
      <c r="F93" s="107">
        <v>6</v>
      </c>
      <c r="G93" s="107">
        <v>231.54</v>
      </c>
      <c r="H93" s="211"/>
      <c r="I93" s="207">
        <v>0</v>
      </c>
    </row>
    <row r="94" spans="1:9">
      <c r="A94" s="200">
        <v>22</v>
      </c>
      <c r="B94" s="110" t="s">
        <v>244</v>
      </c>
      <c r="C94" s="111" t="s">
        <v>80</v>
      </c>
      <c r="D94" s="201" t="s">
        <v>326</v>
      </c>
      <c r="E94" s="107"/>
      <c r="F94" s="107">
        <v>2</v>
      </c>
      <c r="G94" s="107">
        <v>218.81</v>
      </c>
      <c r="H94" s="211"/>
      <c r="I94" s="207">
        <v>0</v>
      </c>
    </row>
    <row r="95" spans="1:9">
      <c r="A95" s="200">
        <v>23</v>
      </c>
      <c r="B95" s="110" t="s">
        <v>245</v>
      </c>
      <c r="C95" s="111" t="s">
        <v>80</v>
      </c>
      <c r="D95" s="201" t="s">
        <v>326</v>
      </c>
      <c r="E95" s="107"/>
      <c r="F95" s="107">
        <v>2</v>
      </c>
      <c r="G95" s="107">
        <v>101.85</v>
      </c>
      <c r="H95" s="211"/>
      <c r="I95" s="207">
        <v>0</v>
      </c>
    </row>
    <row r="96" spans="1:9">
      <c r="A96" s="200">
        <v>24</v>
      </c>
      <c r="B96" s="110" t="s">
        <v>327</v>
      </c>
      <c r="C96" s="111" t="s">
        <v>181</v>
      </c>
      <c r="D96" s="201"/>
      <c r="E96" s="107"/>
      <c r="F96" s="107">
        <v>2</v>
      </c>
      <c r="G96" s="107">
        <v>295.36</v>
      </c>
      <c r="H96" s="212"/>
      <c r="I96" s="207">
        <f>G96*2</f>
        <v>590.72</v>
      </c>
    </row>
    <row r="97" spans="1:9">
      <c r="A97" s="200">
        <v>25</v>
      </c>
      <c r="B97" s="110" t="s">
        <v>267</v>
      </c>
      <c r="C97" s="111" t="s">
        <v>181</v>
      </c>
      <c r="D97" s="201" t="s">
        <v>330</v>
      </c>
      <c r="E97" s="107"/>
      <c r="F97" s="107">
        <v>32</v>
      </c>
      <c r="G97" s="107">
        <v>295.36</v>
      </c>
      <c r="H97" s="213"/>
      <c r="I97" s="207">
        <v>0</v>
      </c>
    </row>
    <row r="98" spans="1:9" ht="16.5" customHeight="1">
      <c r="A98" s="26"/>
      <c r="B98" s="37" t="s">
        <v>49</v>
      </c>
      <c r="C98" s="33"/>
      <c r="D98" s="40"/>
      <c r="E98" s="33">
        <v>1</v>
      </c>
      <c r="F98" s="33"/>
      <c r="G98" s="33"/>
      <c r="H98" s="33"/>
      <c r="I98" s="29">
        <f>SUM(I90:I97)</f>
        <v>1428.28</v>
      </c>
    </row>
    <row r="99" spans="1:9">
      <c r="A99" s="26"/>
      <c r="B99" s="39" t="s">
        <v>74</v>
      </c>
      <c r="C99" s="14"/>
      <c r="D99" s="14"/>
      <c r="E99" s="34"/>
      <c r="F99" s="34"/>
      <c r="G99" s="35"/>
      <c r="H99" s="35"/>
      <c r="I99" s="16">
        <v>0</v>
      </c>
    </row>
    <row r="100" spans="1:9">
      <c r="A100" s="41"/>
      <c r="B100" s="38" t="s">
        <v>168</v>
      </c>
      <c r="C100" s="30"/>
      <c r="D100" s="30"/>
      <c r="E100" s="30"/>
      <c r="F100" s="30"/>
      <c r="G100" s="30"/>
      <c r="H100" s="30"/>
      <c r="I100" s="36">
        <f>I88+I98</f>
        <v>69053.188729999994</v>
      </c>
    </row>
    <row r="101" spans="1:9" ht="15.75">
      <c r="A101" s="226" t="s">
        <v>328</v>
      </c>
      <c r="B101" s="226"/>
      <c r="C101" s="226"/>
      <c r="D101" s="226"/>
      <c r="E101" s="226"/>
      <c r="F101" s="226"/>
      <c r="G101" s="226"/>
      <c r="H101" s="226"/>
      <c r="I101" s="226"/>
    </row>
    <row r="102" spans="1:9" ht="15.75">
      <c r="A102" s="78"/>
      <c r="B102" s="233" t="s">
        <v>329</v>
      </c>
      <c r="C102" s="233"/>
      <c r="D102" s="233"/>
      <c r="E102" s="233"/>
      <c r="F102" s="233"/>
      <c r="G102" s="233"/>
      <c r="H102" s="52"/>
      <c r="I102" s="3"/>
    </row>
    <row r="103" spans="1:9">
      <c r="A103" s="179"/>
      <c r="B103" s="234" t="s">
        <v>6</v>
      </c>
      <c r="C103" s="234"/>
      <c r="D103" s="234"/>
      <c r="E103" s="234"/>
      <c r="F103" s="234"/>
      <c r="G103" s="234"/>
      <c r="H103" s="21"/>
      <c r="I103" s="5"/>
    </row>
    <row r="104" spans="1:9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5.75">
      <c r="A105" s="235" t="s">
        <v>7</v>
      </c>
      <c r="B105" s="235"/>
      <c r="C105" s="235"/>
      <c r="D105" s="235"/>
      <c r="E105" s="235"/>
      <c r="F105" s="235"/>
      <c r="G105" s="235"/>
      <c r="H105" s="235"/>
      <c r="I105" s="235"/>
    </row>
    <row r="106" spans="1:9" ht="15.75">
      <c r="A106" s="235" t="s">
        <v>8</v>
      </c>
      <c r="B106" s="235"/>
      <c r="C106" s="235"/>
      <c r="D106" s="235"/>
      <c r="E106" s="235"/>
      <c r="F106" s="235"/>
      <c r="G106" s="235"/>
      <c r="H106" s="235"/>
      <c r="I106" s="235"/>
    </row>
    <row r="107" spans="1:9" ht="15.75">
      <c r="A107" s="236" t="s">
        <v>58</v>
      </c>
      <c r="B107" s="236"/>
      <c r="C107" s="236"/>
      <c r="D107" s="236"/>
      <c r="E107" s="236"/>
      <c r="F107" s="236"/>
      <c r="G107" s="236"/>
      <c r="H107" s="236"/>
      <c r="I107" s="236"/>
    </row>
    <row r="108" spans="1:9" ht="15.75">
      <c r="A108" s="10"/>
    </row>
    <row r="109" spans="1:9" ht="15.75">
      <c r="A109" s="220" t="s">
        <v>9</v>
      </c>
      <c r="B109" s="220"/>
      <c r="C109" s="220"/>
      <c r="D109" s="220"/>
      <c r="E109" s="220"/>
      <c r="F109" s="220"/>
      <c r="G109" s="220"/>
      <c r="H109" s="220"/>
      <c r="I109" s="220"/>
    </row>
    <row r="110" spans="1:9" ht="15.75">
      <c r="A110" s="4"/>
    </row>
    <row r="111" spans="1:9" ht="15.75">
      <c r="B111" s="180" t="s">
        <v>10</v>
      </c>
      <c r="C111" s="238" t="s">
        <v>215</v>
      </c>
      <c r="D111" s="238"/>
      <c r="E111" s="238"/>
      <c r="F111" s="50"/>
      <c r="I111" s="178"/>
    </row>
    <row r="112" spans="1:9">
      <c r="A112" s="179"/>
      <c r="C112" s="234" t="s">
        <v>11</v>
      </c>
      <c r="D112" s="234"/>
      <c r="E112" s="234"/>
      <c r="F112" s="21"/>
      <c r="I112" s="177" t="s">
        <v>12</v>
      </c>
    </row>
    <row r="113" spans="1:9" ht="15.75">
      <c r="A113" s="22"/>
      <c r="C113" s="11"/>
      <c r="D113" s="11"/>
      <c r="G113" s="11"/>
      <c r="H113" s="11"/>
    </row>
    <row r="114" spans="1:9" ht="15.75">
      <c r="B114" s="180" t="s">
        <v>13</v>
      </c>
      <c r="C114" s="239"/>
      <c r="D114" s="239"/>
      <c r="E114" s="239"/>
      <c r="F114" s="51"/>
      <c r="I114" s="178"/>
    </row>
    <row r="115" spans="1:9">
      <c r="A115" s="179"/>
      <c r="C115" s="240" t="s">
        <v>11</v>
      </c>
      <c r="D115" s="240"/>
      <c r="E115" s="240"/>
      <c r="F115" s="179"/>
      <c r="I115" s="177" t="s">
        <v>12</v>
      </c>
    </row>
    <row r="116" spans="1:9" ht="15.75">
      <c r="A116" s="4" t="s">
        <v>14</v>
      </c>
    </row>
    <row r="117" spans="1:9">
      <c r="A117" s="241" t="s">
        <v>15</v>
      </c>
      <c r="B117" s="241"/>
      <c r="C117" s="241"/>
      <c r="D117" s="241"/>
      <c r="E117" s="241"/>
      <c r="F117" s="241"/>
      <c r="G117" s="241"/>
      <c r="H117" s="241"/>
      <c r="I117" s="241"/>
    </row>
    <row r="118" spans="1:9" ht="15.75">
      <c r="A118" s="237" t="s">
        <v>16</v>
      </c>
      <c r="B118" s="237"/>
      <c r="C118" s="237"/>
      <c r="D118" s="237"/>
      <c r="E118" s="237"/>
      <c r="F118" s="237"/>
      <c r="G118" s="237"/>
      <c r="H118" s="237"/>
      <c r="I118" s="237"/>
    </row>
    <row r="119" spans="1:9" ht="15.75">
      <c r="A119" s="237" t="s">
        <v>17</v>
      </c>
      <c r="B119" s="237"/>
      <c r="C119" s="237"/>
      <c r="D119" s="237"/>
      <c r="E119" s="237"/>
      <c r="F119" s="237"/>
      <c r="G119" s="237"/>
      <c r="H119" s="237"/>
      <c r="I119" s="237"/>
    </row>
    <row r="120" spans="1:9" ht="15.75">
      <c r="A120" s="237" t="s">
        <v>21</v>
      </c>
      <c r="B120" s="237"/>
      <c r="C120" s="237"/>
      <c r="D120" s="237"/>
      <c r="E120" s="237"/>
      <c r="F120" s="237"/>
      <c r="G120" s="237"/>
      <c r="H120" s="237"/>
      <c r="I120" s="237"/>
    </row>
    <row r="121" spans="1:9" ht="15.75">
      <c r="A121" s="237" t="s">
        <v>20</v>
      </c>
      <c r="B121" s="237"/>
      <c r="C121" s="237"/>
      <c r="D121" s="237"/>
      <c r="E121" s="237"/>
      <c r="F121" s="237"/>
      <c r="G121" s="237"/>
      <c r="H121" s="237"/>
      <c r="I121" s="237"/>
    </row>
  </sheetData>
  <mergeCells count="28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7:I27"/>
    <mergeCell ref="A45:I45"/>
    <mergeCell ref="A56:I56"/>
    <mergeCell ref="A85:I85"/>
    <mergeCell ref="A89:I89"/>
    <mergeCell ref="A101:I101"/>
    <mergeCell ref="B102:G102"/>
    <mergeCell ref="B103:G103"/>
    <mergeCell ref="A105:I105"/>
    <mergeCell ref="A106:I106"/>
    <mergeCell ref="A14:I14"/>
    <mergeCell ref="A3:I3"/>
    <mergeCell ref="A4:I4"/>
    <mergeCell ref="A5:I5"/>
    <mergeCell ref="A8:I8"/>
    <mergeCell ref="A10:I10"/>
  </mergeCells>
  <pageMargins left="0.7" right="0.7" top="0.75" bottom="0.75" header="0.3" footer="0.3"/>
  <pageSetup paperSize="9" scale="69" orientation="portrait" horizontalDpi="0" verticalDpi="0" r:id="rId1"/>
  <rowBreaks count="1" manualBreakCount="1"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117"/>
  <sheetViews>
    <sheetView topLeftCell="A73" workbookViewId="0">
      <selection activeCell="G110" sqref="G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170</v>
      </c>
      <c r="I1" s="23"/>
      <c r="J1" s="1"/>
      <c r="K1" s="1"/>
      <c r="L1" s="1"/>
      <c r="M1" s="1"/>
    </row>
    <row r="2" spans="1:13" ht="15.75">
      <c r="A2" s="25" t="s">
        <v>59</v>
      </c>
      <c r="J2" s="2"/>
      <c r="K2" s="2"/>
      <c r="L2" s="2"/>
      <c r="M2" s="2"/>
    </row>
    <row r="3" spans="1:13" ht="15.75" customHeight="1">
      <c r="A3" s="215" t="s">
        <v>124</v>
      </c>
      <c r="B3" s="215"/>
      <c r="C3" s="215"/>
      <c r="D3" s="215"/>
      <c r="E3" s="215"/>
      <c r="F3" s="215"/>
      <c r="G3" s="215"/>
      <c r="H3" s="215"/>
      <c r="I3" s="215"/>
      <c r="J3" s="3"/>
      <c r="K3" s="3"/>
      <c r="L3" s="3"/>
    </row>
    <row r="4" spans="1:13" ht="31.5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13" ht="15.75">
      <c r="A5" s="215" t="s">
        <v>221</v>
      </c>
      <c r="B5" s="217"/>
      <c r="C5" s="217"/>
      <c r="D5" s="217"/>
      <c r="E5" s="217"/>
      <c r="F5" s="217"/>
      <c r="G5" s="217"/>
      <c r="H5" s="217"/>
      <c r="I5" s="217"/>
      <c r="J5" s="2"/>
      <c r="K5" s="2"/>
      <c r="L5" s="2"/>
      <c r="M5" s="2"/>
    </row>
    <row r="6" spans="1:13" ht="15.75">
      <c r="A6" s="2"/>
      <c r="B6" s="84"/>
      <c r="C6" s="84"/>
      <c r="D6" s="84"/>
      <c r="E6" s="84"/>
      <c r="F6" s="84"/>
      <c r="G6" s="84"/>
      <c r="H6" s="84"/>
      <c r="I6" s="27" t="s">
        <v>222</v>
      </c>
      <c r="J6" s="2"/>
      <c r="K6" s="2"/>
      <c r="L6" s="2"/>
      <c r="M6" s="2"/>
    </row>
    <row r="7" spans="1:13" ht="15.75">
      <c r="B7" s="82"/>
      <c r="C7" s="82"/>
      <c r="D7" s="82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213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  <c r="J14" s="8"/>
      <c r="K14" s="8"/>
      <c r="L14" s="8"/>
      <c r="M14" s="8"/>
    </row>
    <row r="15" spans="1:13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85</v>
      </c>
      <c r="C19" s="54" t="s">
        <v>86</v>
      </c>
      <c r="D19" s="53" t="s">
        <v>87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88</v>
      </c>
      <c r="C20" s="54" t="s">
        <v>84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89</v>
      </c>
      <c r="C21" s="54" t="s">
        <v>84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90</v>
      </c>
      <c r="C22" s="54" t="s">
        <v>50</v>
      </c>
      <c r="D22" s="53" t="s">
        <v>87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91</v>
      </c>
      <c r="C23" s="54" t="s">
        <v>50</v>
      </c>
      <c r="D23" s="53" t="s">
        <v>87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92</v>
      </c>
      <c r="C24" s="54" t="s">
        <v>50</v>
      </c>
      <c r="D24" s="53" t="s">
        <v>87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  <c r="J24" s="87"/>
      <c r="K24" s="85"/>
      <c r="L24" s="85"/>
      <c r="M24" s="85"/>
    </row>
    <row r="25" spans="1:13" s="86" customFormat="1" ht="15.75" customHeight="1">
      <c r="A25" s="26">
        <v>4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  <c r="J25" s="87"/>
      <c r="K25" s="85"/>
      <c r="L25" s="85"/>
      <c r="M25" s="85"/>
    </row>
    <row r="26" spans="1:13" ht="15.75" customHeight="1">
      <c r="A26" s="222" t="s">
        <v>145</v>
      </c>
      <c r="B26" s="223"/>
      <c r="C26" s="223"/>
      <c r="D26" s="223"/>
      <c r="E26" s="223"/>
      <c r="F26" s="223"/>
      <c r="G26" s="223"/>
      <c r="H26" s="223"/>
      <c r="I26" s="224"/>
      <c r="J26" s="20"/>
      <c r="K26" s="8"/>
      <c r="L26" s="8"/>
      <c r="M26" s="8"/>
    </row>
    <row r="27" spans="1:13" s="86" customFormat="1" ht="15.75" hidden="1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  <c r="J27" s="88"/>
    </row>
    <row r="28" spans="1:13" s="86" customFormat="1" ht="15.75" hidden="1" customHeight="1">
      <c r="A28" s="26"/>
      <c r="B28" s="53" t="s">
        <v>93</v>
      </c>
      <c r="C28" s="54" t="s">
        <v>29</v>
      </c>
      <c r="D28" s="53" t="s">
        <v>127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1">SUM(F28*G28/1000)</f>
        <v>3.4885641599999997</v>
      </c>
      <c r="I28" s="12">
        <f>F28/6*G28</f>
        <v>581.42736000000002</v>
      </c>
      <c r="J28" s="87"/>
      <c r="K28" s="85"/>
      <c r="L28" s="85"/>
      <c r="M28" s="85"/>
    </row>
    <row r="29" spans="1:13" s="86" customFormat="1" ht="31.5" hidden="1" customHeight="1">
      <c r="A29" s="26"/>
      <c r="B29" s="53" t="s">
        <v>121</v>
      </c>
      <c r="C29" s="54" t="s">
        <v>94</v>
      </c>
      <c r="D29" s="53" t="s">
        <v>128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1"/>
        <v>1.8170801279999995</v>
      </c>
      <c r="I29" s="12">
        <f>F29/6*G29</f>
        <v>302.84668799999992</v>
      </c>
      <c r="J29" s="87"/>
      <c r="K29" s="85"/>
      <c r="L29" s="85"/>
      <c r="M29" s="85"/>
    </row>
    <row r="30" spans="1:13" s="86" customFormat="1" ht="15.75" hidden="1" customHeight="1">
      <c r="A30" s="26"/>
      <c r="B30" s="53" t="s">
        <v>27</v>
      </c>
      <c r="C30" s="54" t="s">
        <v>94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1"/>
        <v>1.408217265</v>
      </c>
      <c r="I30" s="12">
        <f>F30*G30</f>
        <v>1408.217265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112</v>
      </c>
      <c r="C31" s="54" t="s">
        <v>38</v>
      </c>
      <c r="D31" s="53" t="s">
        <v>129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>F31/6*G31</f>
        <v>819.66240000000005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95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>F32/6*G32</f>
        <v>640.23611111111109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1"/>
        <v>0.25091999999999998</v>
      </c>
      <c r="I33" s="12">
        <v>0</v>
      </c>
      <c r="J33" s="87"/>
      <c r="K33" s="85"/>
    </row>
    <row r="34" spans="1:14" s="86" customFormat="1" ht="15.75" hidden="1" customHeight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1"/>
        <v>1.4903299999999999</v>
      </c>
      <c r="I34" s="12">
        <v>0</v>
      </c>
      <c r="J34" s="88"/>
    </row>
    <row r="35" spans="1:14" s="86" customFormat="1" ht="15.75" customHeight="1">
      <c r="A35" s="26"/>
      <c r="B35" s="75" t="s">
        <v>5</v>
      </c>
      <c r="C35" s="54"/>
      <c r="D35" s="53"/>
      <c r="E35" s="55"/>
      <c r="F35" s="56"/>
      <c r="G35" s="56"/>
      <c r="H35" s="57" t="s">
        <v>119</v>
      </c>
      <c r="I35" s="12"/>
      <c r="J35" s="88"/>
    </row>
    <row r="36" spans="1:14" s="86" customFormat="1" ht="15.75" customHeight="1">
      <c r="A36" s="26">
        <v>5</v>
      </c>
      <c r="B36" s="53" t="s">
        <v>26</v>
      </c>
      <c r="C36" s="54" t="s">
        <v>31</v>
      </c>
      <c r="D36" s="53" t="s">
        <v>223</v>
      </c>
      <c r="E36" s="55"/>
      <c r="F36" s="56">
        <v>3</v>
      </c>
      <c r="G36" s="56">
        <v>2003</v>
      </c>
      <c r="H36" s="57">
        <f t="shared" ref="H36:H42" si="2">SUM(F36*G36/1000)</f>
        <v>6.0090000000000003</v>
      </c>
      <c r="I36" s="12">
        <f>G36*1</f>
        <v>2003</v>
      </c>
      <c r="J36" s="88"/>
    </row>
    <row r="37" spans="1:14" s="86" customFormat="1" ht="15.75" customHeight="1">
      <c r="A37" s="26">
        <v>6</v>
      </c>
      <c r="B37" s="53" t="s">
        <v>131</v>
      </c>
      <c r="C37" s="54" t="s">
        <v>29</v>
      </c>
      <c r="D37" s="53" t="s">
        <v>187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ref="I37:I42" si="3">F37/6*G37</f>
        <v>1538.84124</v>
      </c>
      <c r="J37" s="88"/>
      <c r="L37" s="18"/>
      <c r="M37" s="19"/>
      <c r="N37" s="90"/>
    </row>
    <row r="38" spans="1:14" s="86" customFormat="1" ht="15.75" customHeight="1">
      <c r="A38" s="26">
        <v>7</v>
      </c>
      <c r="B38" s="53" t="s">
        <v>64</v>
      </c>
      <c r="C38" s="54" t="s">
        <v>29</v>
      </c>
      <c r="D38" s="53" t="s">
        <v>188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2"/>
        <v>7.9574259599999984</v>
      </c>
      <c r="I38" s="12">
        <f t="shared" si="3"/>
        <v>1326.2376599999998</v>
      </c>
      <c r="J38" s="88"/>
      <c r="L38" s="18"/>
      <c r="M38" s="19"/>
      <c r="N38" s="90"/>
    </row>
    <row r="39" spans="1:14" s="86" customFormat="1" ht="15.75" customHeight="1">
      <c r="A39" s="26">
        <v>8</v>
      </c>
      <c r="B39" s="53" t="s">
        <v>76</v>
      </c>
      <c r="C39" s="54" t="s">
        <v>94</v>
      </c>
      <c r="D39" s="53" t="s">
        <v>187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2"/>
        <v>25.482163679999999</v>
      </c>
      <c r="I39" s="12">
        <f t="shared" si="3"/>
        <v>4247.0272799999993</v>
      </c>
      <c r="J39" s="88"/>
      <c r="L39" s="18"/>
      <c r="M39" s="19"/>
      <c r="N39" s="90"/>
    </row>
    <row r="40" spans="1:14" s="86" customFormat="1" ht="15.75" hidden="1" customHeight="1">
      <c r="A40" s="26">
        <v>8</v>
      </c>
      <c r="B40" s="53" t="s">
        <v>98</v>
      </c>
      <c r="C40" s="54" t="s">
        <v>94</v>
      </c>
      <c r="D40" s="53" t="s">
        <v>189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2"/>
        <v>1.5059303999999998</v>
      </c>
      <c r="I40" s="12">
        <f>F40/7.5*G40</f>
        <v>200.79071999999996</v>
      </c>
      <c r="J40" s="88"/>
      <c r="L40" s="18"/>
      <c r="M40" s="19"/>
      <c r="N40" s="90"/>
    </row>
    <row r="41" spans="1:14" s="86" customFormat="1" ht="15.75" hidden="1" customHeight="1">
      <c r="A41" s="26">
        <v>9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2"/>
        <v>0.58489800000000003</v>
      </c>
      <c r="I41" s="12">
        <f>F41/7.5*G41</f>
        <v>77.986400000000003</v>
      </c>
      <c r="J41" s="88"/>
      <c r="L41" s="18"/>
      <c r="M41" s="19"/>
      <c r="N41" s="90"/>
    </row>
    <row r="42" spans="1:14" s="86" customFormat="1" ht="35.25" customHeight="1">
      <c r="A42" s="26">
        <v>9</v>
      </c>
      <c r="B42" s="72" t="s">
        <v>132</v>
      </c>
      <c r="C42" s="73" t="s">
        <v>29</v>
      </c>
      <c r="D42" s="53" t="s">
        <v>190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2"/>
        <v>3.7468799999999993E-3</v>
      </c>
      <c r="I42" s="12">
        <f t="shared" si="3"/>
        <v>0.62447999999999992</v>
      </c>
      <c r="J42" s="88"/>
      <c r="L42" s="18"/>
      <c r="M42" s="19"/>
      <c r="N42" s="90"/>
    </row>
    <row r="43" spans="1:14" s="86" customFormat="1" ht="15.75" customHeight="1">
      <c r="A43" s="222" t="s">
        <v>146</v>
      </c>
      <c r="B43" s="223"/>
      <c r="C43" s="223"/>
      <c r="D43" s="223"/>
      <c r="E43" s="223"/>
      <c r="F43" s="223"/>
      <c r="G43" s="223"/>
      <c r="H43" s="223"/>
      <c r="I43" s="224"/>
      <c r="J43" s="88"/>
      <c r="L43" s="18"/>
      <c r="M43" s="19"/>
      <c r="N43" s="90"/>
    </row>
    <row r="44" spans="1:14" s="86" customFormat="1" ht="15.75" hidden="1" customHeight="1">
      <c r="A44" s="26"/>
      <c r="B44" s="53" t="s">
        <v>115</v>
      </c>
      <c r="C44" s="54" t="s">
        <v>94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4">SUM(F44*G44/1000)</f>
        <v>2.2959991039999998</v>
      </c>
      <c r="I44" s="12">
        <f>F44/2*G44</f>
        <v>1147.999552</v>
      </c>
      <c r="J44" s="88"/>
      <c r="L44" s="18"/>
      <c r="M44" s="19"/>
      <c r="N44" s="90"/>
    </row>
    <row r="45" spans="1:14" s="86" customFormat="1" ht="15.75" hidden="1" customHeight="1">
      <c r="A45" s="26"/>
      <c r="B45" s="53" t="s">
        <v>33</v>
      </c>
      <c r="C45" s="54" t="s">
        <v>94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4"/>
        <v>1.1666292</v>
      </c>
      <c r="I45" s="12">
        <f>F45/2*G45</f>
        <v>583.31460000000004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94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4"/>
        <v>15.3249438636</v>
      </c>
      <c r="I46" s="12">
        <f>F46/2*G46</f>
        <v>7662.4719317999998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94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4"/>
        <v>5.3807195075999994</v>
      </c>
      <c r="I47" s="12">
        <f>F47/2*G47</f>
        <v>2690.3597537999999</v>
      </c>
      <c r="J47" s="88"/>
      <c r="L47" s="18"/>
      <c r="M47" s="19"/>
      <c r="N47" s="90"/>
    </row>
    <row r="48" spans="1:14" s="86" customFormat="1" ht="15.75" customHeight="1">
      <c r="A48" s="26">
        <v>10</v>
      </c>
      <c r="B48" s="53" t="s">
        <v>53</v>
      </c>
      <c r="C48" s="54" t="s">
        <v>94</v>
      </c>
      <c r="D48" s="53" t="s">
        <v>191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4"/>
        <v>21.37578525</v>
      </c>
      <c r="I48" s="12">
        <f>F48/5*G48</f>
        <v>4275.1570500000007</v>
      </c>
      <c r="J48" s="88"/>
      <c r="L48" s="18"/>
      <c r="M48" s="19"/>
      <c r="N48" s="90"/>
    </row>
    <row r="49" spans="1:21" s="86" customFormat="1" ht="31.5" hidden="1" customHeight="1">
      <c r="A49" s="26"/>
      <c r="B49" s="53" t="s">
        <v>99</v>
      </c>
      <c r="C49" s="54" t="s">
        <v>94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4"/>
        <v>12.557723999999999</v>
      </c>
      <c r="I49" s="12">
        <f>F49/2*G49</f>
        <v>6278.8619999999992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100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4"/>
        <v>2.4349920000000003</v>
      </c>
      <c r="I50" s="12">
        <f>F50/2*G50</f>
        <v>1217.4960000000001</v>
      </c>
      <c r="J50" s="88"/>
      <c r="L50" s="18"/>
      <c r="M50" s="19"/>
      <c r="N50" s="90"/>
    </row>
    <row r="51" spans="1:21" s="86" customFormat="1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4"/>
        <v>0.14825839999999998</v>
      </c>
      <c r="I51" s="12">
        <f>F51/2*G51</f>
        <v>74.129199999999997</v>
      </c>
      <c r="J51" s="88"/>
      <c r="L51" s="18"/>
      <c r="M51" s="19"/>
      <c r="N51" s="90"/>
    </row>
    <row r="52" spans="1:21" s="86" customFormat="1" ht="17.25" customHeight="1">
      <c r="A52" s="26">
        <v>11</v>
      </c>
      <c r="B52" s="53" t="s">
        <v>114</v>
      </c>
      <c r="C52" s="54" t="s">
        <v>80</v>
      </c>
      <c r="D52" s="195">
        <v>44229</v>
      </c>
      <c r="E52" s="55">
        <v>90</v>
      </c>
      <c r="F52" s="56">
        <f>E52*3</f>
        <v>270</v>
      </c>
      <c r="G52" s="12">
        <v>185.08</v>
      </c>
      <c r="H52" s="57">
        <f t="shared" si="4"/>
        <v>49.971600000000009</v>
      </c>
      <c r="I52" s="12">
        <f>E52*G52</f>
        <v>16657.2</v>
      </c>
      <c r="J52" s="88"/>
      <c r="L52" s="18"/>
      <c r="M52" s="19"/>
      <c r="N52" s="90"/>
    </row>
    <row r="53" spans="1:21" s="86" customFormat="1" ht="15" customHeight="1">
      <c r="A53" s="26">
        <v>12</v>
      </c>
      <c r="B53" s="53" t="s">
        <v>39</v>
      </c>
      <c r="C53" s="54" t="s">
        <v>80</v>
      </c>
      <c r="D53" s="195">
        <v>44229</v>
      </c>
      <c r="E53" s="55">
        <v>180</v>
      </c>
      <c r="F53" s="56">
        <f>SUM(E53)*3</f>
        <v>540</v>
      </c>
      <c r="G53" s="12">
        <v>86.15</v>
      </c>
      <c r="H53" s="57">
        <f t="shared" si="4"/>
        <v>46.521000000000001</v>
      </c>
      <c r="I53" s="12">
        <f>E53*G53</f>
        <v>15507.000000000002</v>
      </c>
      <c r="J53" s="88"/>
      <c r="L53" s="18"/>
      <c r="M53" s="19"/>
      <c r="N53" s="90"/>
    </row>
    <row r="54" spans="1:21" s="86" customFormat="1" ht="15.75" customHeight="1">
      <c r="A54" s="222" t="s">
        <v>122</v>
      </c>
      <c r="B54" s="223"/>
      <c r="C54" s="223"/>
      <c r="D54" s="223"/>
      <c r="E54" s="223"/>
      <c r="F54" s="223"/>
      <c r="G54" s="223"/>
      <c r="H54" s="223"/>
      <c r="I54" s="224"/>
      <c r="J54" s="88"/>
      <c r="L54" s="18"/>
      <c r="M54" s="19"/>
      <c r="N54" s="90"/>
    </row>
    <row r="55" spans="1:21" s="86" customFormat="1" ht="15.75" customHeight="1">
      <c r="A55" s="26"/>
      <c r="B55" s="75" t="s">
        <v>41</v>
      </c>
      <c r="C55" s="54"/>
      <c r="D55" s="53"/>
      <c r="E55" s="55"/>
      <c r="F55" s="56"/>
      <c r="G55" s="56"/>
      <c r="H55" s="57"/>
      <c r="I55" s="12"/>
      <c r="J55" s="88"/>
      <c r="L55" s="18"/>
      <c r="M55" s="19"/>
      <c r="N55" s="90"/>
    </row>
    <row r="56" spans="1:21" s="86" customFormat="1" ht="47.25" customHeight="1">
      <c r="A56" s="26">
        <v>13</v>
      </c>
      <c r="B56" s="53" t="s">
        <v>133</v>
      </c>
      <c r="C56" s="54" t="s">
        <v>84</v>
      </c>
      <c r="D56" s="53"/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G56*0.78</f>
        <v>1582.854</v>
      </c>
      <c r="J56" s="88"/>
      <c r="L56" s="18"/>
      <c r="M56" s="19"/>
      <c r="N56" s="90"/>
    </row>
    <row r="57" spans="1:21" s="86" customFormat="1" ht="31.5" customHeight="1">
      <c r="A57" s="26">
        <v>14</v>
      </c>
      <c r="B57" s="53" t="s">
        <v>78</v>
      </c>
      <c r="C57" s="54" t="s">
        <v>84</v>
      </c>
      <c r="D57" s="53"/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F57/6*G57</f>
        <v>1610.8583399999998</v>
      </c>
      <c r="J57" s="88"/>
      <c r="L57" s="18"/>
      <c r="M57" s="19"/>
      <c r="N57" s="90"/>
    </row>
    <row r="58" spans="1:21" s="86" customFormat="1" ht="15.75" hidden="1" customHeight="1">
      <c r="A58" s="26"/>
      <c r="B58" s="62" t="s">
        <v>116</v>
      </c>
      <c r="C58" s="63" t="s">
        <v>117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  <c r="J58" s="88"/>
      <c r="L58" s="18"/>
      <c r="M58" s="19"/>
      <c r="N58" s="90"/>
    </row>
    <row r="59" spans="1:21" s="86" customFormat="1" ht="20.25" hidden="1" customHeight="1">
      <c r="A59" s="26">
        <v>16</v>
      </c>
      <c r="B59" s="53" t="s">
        <v>118</v>
      </c>
      <c r="C59" s="54" t="s">
        <v>84</v>
      </c>
      <c r="D59" s="53" t="s">
        <v>191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  <c r="J59" s="88"/>
      <c r="L59" s="18"/>
    </row>
    <row r="60" spans="1:21" s="86" customFormat="1" ht="18" hidden="1" customHeight="1">
      <c r="A60" s="26"/>
      <c r="B60" s="62" t="s">
        <v>102</v>
      </c>
      <c r="C60" s="63" t="s">
        <v>31</v>
      </c>
      <c r="D60" s="62" t="s">
        <v>130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  <c r="J60" s="88"/>
      <c r="L60" s="18"/>
    </row>
    <row r="61" spans="1:21" s="86" customFormat="1" ht="15.7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  <c r="J61" s="88"/>
      <c r="L61" s="18"/>
    </row>
    <row r="62" spans="1:21" s="86" customFormat="1" ht="15.75" hidden="1" customHeight="1">
      <c r="A62" s="26"/>
      <c r="B62" s="62" t="s">
        <v>134</v>
      </c>
      <c r="C62" s="63" t="s">
        <v>50</v>
      </c>
      <c r="D62" s="62" t="s">
        <v>51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v>0</v>
      </c>
    </row>
    <row r="63" spans="1:21" s="86" customFormat="1" ht="15.75" customHeight="1">
      <c r="A63" s="26">
        <v>15</v>
      </c>
      <c r="B63" s="62" t="s">
        <v>81</v>
      </c>
      <c r="C63" s="63" t="s">
        <v>25</v>
      </c>
      <c r="D63" s="62" t="s">
        <v>192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  <c r="J63" s="89"/>
      <c r="K63" s="89"/>
      <c r="L63" s="91"/>
      <c r="M63" s="91"/>
      <c r="N63" s="91"/>
      <c r="O63" s="91"/>
      <c r="P63" s="91"/>
      <c r="Q63" s="91"/>
      <c r="R63" s="91"/>
      <c r="S63" s="91"/>
      <c r="T63" s="91"/>
      <c r="U63" s="91"/>
    </row>
    <row r="64" spans="1:21" s="86" customFormat="1" ht="19.5" hidden="1" customHeight="1">
      <c r="A64" s="26"/>
      <c r="B64" s="76" t="s">
        <v>43</v>
      </c>
      <c r="C64" s="63"/>
      <c r="D64" s="62"/>
      <c r="E64" s="64"/>
      <c r="F64" s="67"/>
      <c r="G64" s="67"/>
      <c r="H64" s="65" t="s">
        <v>119</v>
      </c>
      <c r="I64" s="12"/>
      <c r="J64" s="91"/>
      <c r="K64" s="91"/>
      <c r="L64" s="91"/>
      <c r="M64" s="91"/>
      <c r="N64" s="91"/>
      <c r="O64" s="91"/>
      <c r="P64" s="91"/>
      <c r="Q64" s="91"/>
      <c r="S64" s="91"/>
      <c r="T64" s="91"/>
      <c r="U64" s="91"/>
    </row>
    <row r="65" spans="1:21" s="86" customFormat="1" ht="18.75" hidden="1" customHeight="1">
      <c r="A65" s="26">
        <v>13</v>
      </c>
      <c r="B65" s="13" t="s">
        <v>44</v>
      </c>
      <c r="C65" s="15" t="s">
        <v>80</v>
      </c>
      <c r="D65" s="13" t="s">
        <v>191</v>
      </c>
      <c r="E65" s="17">
        <v>7</v>
      </c>
      <c r="F65" s="67">
        <f>E65</f>
        <v>7</v>
      </c>
      <c r="G65" s="12">
        <v>291.68</v>
      </c>
      <c r="H65" s="68">
        <f t="shared" ref="H65:H83" si="5">SUM(F65*G65/1000)</f>
        <v>2.04176</v>
      </c>
      <c r="I65" s="12">
        <f>G65*1</f>
        <v>291.68</v>
      </c>
      <c r="J65" s="92"/>
      <c r="K65" s="92"/>
      <c r="L65" s="92"/>
      <c r="M65" s="92"/>
      <c r="N65" s="92"/>
      <c r="O65" s="92"/>
      <c r="P65" s="92"/>
      <c r="Q65" s="92"/>
      <c r="R65" s="225"/>
      <c r="S65" s="225"/>
      <c r="T65" s="225"/>
      <c r="U65" s="225"/>
    </row>
    <row r="66" spans="1:21" s="86" customFormat="1" ht="23.25" hidden="1" customHeight="1">
      <c r="A66" s="26"/>
      <c r="B66" s="13" t="s">
        <v>45</v>
      </c>
      <c r="C66" s="15" t="s">
        <v>80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5"/>
        <v>0.30003000000000002</v>
      </c>
      <c r="I66" s="12">
        <v>0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1:21" s="86" customFormat="1" ht="22.5" hidden="1" customHeight="1">
      <c r="A67" s="26"/>
      <c r="B67" s="13" t="s">
        <v>46</v>
      </c>
      <c r="C67" s="15" t="s">
        <v>103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5"/>
        <v>39.523992000000007</v>
      </c>
      <c r="I67" s="12">
        <f t="shared" ref="I67:I72" si="6">F67*G67</f>
        <v>39523.992000000006</v>
      </c>
    </row>
    <row r="68" spans="1:21" s="86" customFormat="1" ht="22.5" hidden="1" customHeight="1">
      <c r="A68" s="26"/>
      <c r="B68" s="13" t="s">
        <v>47</v>
      </c>
      <c r="C68" s="15" t="s">
        <v>104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5"/>
        <v>3.0779394</v>
      </c>
      <c r="I68" s="12">
        <f t="shared" si="6"/>
        <v>3077.9394000000002</v>
      </c>
    </row>
    <row r="69" spans="1:21" s="86" customFormat="1" ht="23.25" hidden="1" customHeight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5"/>
        <v>57.983231399999994</v>
      </c>
      <c r="I69" s="12">
        <f t="shared" si="6"/>
        <v>57983.231399999997</v>
      </c>
    </row>
    <row r="70" spans="1:21" s="86" customFormat="1" ht="21.75" hidden="1" customHeight="1">
      <c r="A70" s="26"/>
      <c r="B70" s="69" t="s">
        <v>105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5"/>
        <v>0.31017</v>
      </c>
      <c r="I70" s="12">
        <f t="shared" si="6"/>
        <v>310.17</v>
      </c>
    </row>
    <row r="71" spans="1:21" s="86" customFormat="1" ht="24.75" hidden="1" customHeight="1">
      <c r="A71" s="26"/>
      <c r="B71" s="69" t="s">
        <v>106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5"/>
        <v>0.33452999999999999</v>
      </c>
      <c r="I71" s="12">
        <f t="shared" si="6"/>
        <v>334.53</v>
      </c>
    </row>
    <row r="72" spans="1:21" s="86" customFormat="1" ht="23.25" hidden="1" customHeight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5"/>
        <v>0.39251999999999998</v>
      </c>
      <c r="I72" s="12">
        <f t="shared" si="6"/>
        <v>392.52</v>
      </c>
    </row>
    <row r="73" spans="1:21" s="86" customFormat="1" ht="15.75" customHeight="1">
      <c r="A73" s="26"/>
      <c r="B73" s="83" t="s">
        <v>135</v>
      </c>
      <c r="C73" s="15"/>
      <c r="D73" s="13"/>
      <c r="E73" s="17"/>
      <c r="F73" s="48"/>
      <c r="G73" s="12"/>
      <c r="H73" s="68"/>
      <c r="I73" s="12"/>
    </row>
    <row r="74" spans="1:21" s="86" customFormat="1" ht="15.75" customHeight="1">
      <c r="A74" s="26">
        <v>16</v>
      </c>
      <c r="B74" s="13" t="s">
        <v>136</v>
      </c>
      <c r="C74" s="26" t="s">
        <v>137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>SUM(F74*G74/1000)</f>
        <v>107.93519999999999</v>
      </c>
      <c r="I74" s="12">
        <f>F74/12*G74</f>
        <v>8994.5999999999985</v>
      </c>
    </row>
    <row r="75" spans="1:21" s="86" customFormat="1" ht="32.25" customHeight="1">
      <c r="A75" s="26">
        <v>17</v>
      </c>
      <c r="B75" s="72" t="s">
        <v>138</v>
      </c>
      <c r="C75" s="73" t="s">
        <v>80</v>
      </c>
      <c r="D75" s="13" t="s">
        <v>191</v>
      </c>
      <c r="E75" s="17">
        <v>1</v>
      </c>
      <c r="F75" s="56">
        <f>SUM(E75)*12</f>
        <v>12</v>
      </c>
      <c r="G75" s="12">
        <v>50.68</v>
      </c>
      <c r="H75" s="68">
        <f>SUM(F75*G75/1000)</f>
        <v>0.60815999999999992</v>
      </c>
      <c r="I75" s="12">
        <f>F75/12*G75</f>
        <v>50.68</v>
      </c>
    </row>
    <row r="76" spans="1:21" s="86" customFormat="1" ht="15.75" customHeight="1">
      <c r="A76" s="26"/>
      <c r="B76" s="83" t="s">
        <v>67</v>
      </c>
      <c r="C76" s="15"/>
      <c r="D76" s="13"/>
      <c r="E76" s="17"/>
      <c r="F76" s="12"/>
      <c r="G76" s="12"/>
      <c r="H76" s="68" t="s">
        <v>119</v>
      </c>
      <c r="I76" s="12"/>
    </row>
    <row r="77" spans="1:21" s="86" customFormat="1" ht="15.75" hidden="1" customHeight="1">
      <c r="A77" s="26"/>
      <c r="B77" s="13" t="s">
        <v>139</v>
      </c>
      <c r="C77" s="15" t="s">
        <v>30</v>
      </c>
      <c r="D77" s="13" t="s">
        <v>147</v>
      </c>
      <c r="E77" s="17">
        <v>2</v>
      </c>
      <c r="F77" s="56">
        <f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21" s="86" customFormat="1" ht="15.75" hidden="1" customHeight="1">
      <c r="A78" s="26"/>
      <c r="B78" s="13" t="s">
        <v>140</v>
      </c>
      <c r="C78" s="15" t="s">
        <v>141</v>
      </c>
      <c r="D78" s="13" t="s">
        <v>147</v>
      </c>
      <c r="E78" s="17">
        <v>1</v>
      </c>
      <c r="F78" s="12">
        <v>1</v>
      </c>
      <c r="G78" s="12">
        <v>735</v>
      </c>
      <c r="H78" s="68">
        <f>SUM(F78*G78/1000)</f>
        <v>0.73499999999999999</v>
      </c>
      <c r="I78" s="12">
        <v>0</v>
      </c>
    </row>
    <row r="79" spans="1:21" s="86" customFormat="1" ht="15.75" hidden="1" customHeight="1">
      <c r="A79" s="77">
        <v>20</v>
      </c>
      <c r="B79" s="13" t="s">
        <v>68</v>
      </c>
      <c r="C79" s="15" t="s">
        <v>70</v>
      </c>
      <c r="D79" s="13" t="s">
        <v>147</v>
      </c>
      <c r="E79" s="17">
        <v>3</v>
      </c>
      <c r="F79" s="12">
        <f>E79/10</f>
        <v>0.3</v>
      </c>
      <c r="G79" s="12">
        <v>657.87</v>
      </c>
      <c r="H79" s="68">
        <f>SUM(F79*G79/1000)</f>
        <v>0.19736099999999998</v>
      </c>
      <c r="I79" s="12">
        <f>G79*0.2</f>
        <v>131.57400000000001</v>
      </c>
    </row>
    <row r="80" spans="1:21" s="86" customFormat="1" ht="15.75" hidden="1" customHeight="1">
      <c r="A80" s="77"/>
      <c r="B80" s="13" t="s">
        <v>69</v>
      </c>
      <c r="C80" s="15" t="s">
        <v>30</v>
      </c>
      <c r="D80" s="13" t="s">
        <v>147</v>
      </c>
      <c r="E80" s="17">
        <v>1</v>
      </c>
      <c r="F80" s="48">
        <v>1</v>
      </c>
      <c r="G80" s="12">
        <v>1118.72</v>
      </c>
      <c r="H80" s="68">
        <f>SUM(F80*G80/1000)</f>
        <v>1.1187199999999999</v>
      </c>
      <c r="I80" s="12">
        <v>0</v>
      </c>
    </row>
    <row r="81" spans="1:9" s="86" customFormat="1" ht="15.75" hidden="1" customHeight="1">
      <c r="A81" s="77"/>
      <c r="B81" s="72" t="s">
        <v>142</v>
      </c>
      <c r="C81" s="73" t="s">
        <v>80</v>
      </c>
      <c r="D81" s="13" t="s">
        <v>147</v>
      </c>
      <c r="E81" s="17">
        <v>1</v>
      </c>
      <c r="F81" s="56">
        <f>E81</f>
        <v>1</v>
      </c>
      <c r="G81" s="12">
        <v>1605.83</v>
      </c>
      <c r="H81" s="68">
        <f>SUM(F81*G81/1000)</f>
        <v>1.6058299999999999</v>
      </c>
      <c r="I81" s="12">
        <v>0</v>
      </c>
    </row>
    <row r="82" spans="1:9" s="86" customFormat="1" ht="15.75" hidden="1" customHeight="1">
      <c r="A82" s="77"/>
      <c r="B82" s="70" t="s">
        <v>71</v>
      </c>
      <c r="C82" s="15"/>
      <c r="D82" s="13"/>
      <c r="E82" s="17"/>
      <c r="F82" s="12"/>
      <c r="G82" s="12" t="s">
        <v>119</v>
      </c>
      <c r="H82" s="68" t="s">
        <v>119</v>
      </c>
      <c r="I82" s="12"/>
    </row>
    <row r="83" spans="1:9" s="86" customFormat="1" ht="15.75" hidden="1" customHeight="1">
      <c r="A83" s="77">
        <v>22</v>
      </c>
      <c r="B83" s="39" t="s">
        <v>109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5"/>
        <v>2.1714540000000002</v>
      </c>
      <c r="I83" s="12">
        <f>G83*0.06</f>
        <v>217.1454</v>
      </c>
    </row>
    <row r="84" spans="1:9" s="86" customFormat="1" ht="15.75" hidden="1" customHeight="1">
      <c r="A84" s="77"/>
      <c r="B84" s="83" t="s">
        <v>107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s="86" customFormat="1" ht="15.75" hidden="1" customHeight="1">
      <c r="A85" s="77"/>
      <c r="B85" s="53" t="s">
        <v>108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s="86" customFormat="1" ht="15.75" hidden="1" customHeight="1">
      <c r="A86" s="77"/>
      <c r="B86" s="53" t="s">
        <v>143</v>
      </c>
      <c r="C86" s="15"/>
      <c r="D86" s="13" t="s">
        <v>144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 s="86" customFormat="1" ht="15.75" customHeight="1">
      <c r="A87" s="230" t="s">
        <v>123</v>
      </c>
      <c r="B87" s="231"/>
      <c r="C87" s="231"/>
      <c r="D87" s="231"/>
      <c r="E87" s="231"/>
      <c r="F87" s="231"/>
      <c r="G87" s="231"/>
      <c r="H87" s="231"/>
      <c r="I87" s="232"/>
    </row>
    <row r="88" spans="1:9" s="86" customFormat="1" ht="15.75" customHeight="1">
      <c r="A88" s="77">
        <v>18</v>
      </c>
      <c r="B88" s="53" t="s">
        <v>110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s="86" customFormat="1" ht="31.5" customHeight="1">
      <c r="A89" s="26">
        <v>19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 s="86" customFormat="1" ht="15.75" customHeight="1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I89+I88+I75+I74+I63+I57+I56+I53+I52+I48+I42+I39+I38+I37+I36+I25+I18+I17+I16</f>
        <v>102094.67207999996</v>
      </c>
    </row>
    <row r="91" spans="1:9" s="86" customFormat="1" ht="15.75" customHeight="1">
      <c r="A91" s="227" t="s">
        <v>57</v>
      </c>
      <c r="B91" s="228"/>
      <c r="C91" s="228"/>
      <c r="D91" s="228"/>
      <c r="E91" s="228"/>
      <c r="F91" s="228"/>
      <c r="G91" s="228"/>
      <c r="H91" s="228"/>
      <c r="I91" s="229"/>
    </row>
    <row r="92" spans="1:9" s="86" customFormat="1" ht="15.75" customHeight="1">
      <c r="A92" s="26">
        <v>20</v>
      </c>
      <c r="B92" s="110" t="s">
        <v>224</v>
      </c>
      <c r="C92" s="111" t="s">
        <v>80</v>
      </c>
      <c r="D92" s="201" t="s">
        <v>226</v>
      </c>
      <c r="E92" s="107"/>
      <c r="F92" s="107">
        <v>1</v>
      </c>
      <c r="G92" s="107">
        <v>228.9</v>
      </c>
      <c r="H92" s="33"/>
      <c r="I92" s="202">
        <f>G92*1</f>
        <v>228.9</v>
      </c>
    </row>
    <row r="93" spans="1:9" s="86" customFormat="1" ht="18.75" customHeight="1">
      <c r="A93" s="26">
        <v>21</v>
      </c>
      <c r="B93" s="110" t="s">
        <v>225</v>
      </c>
      <c r="C93" s="111" t="s">
        <v>50</v>
      </c>
      <c r="D93" s="201"/>
      <c r="E93" s="107"/>
      <c r="F93" s="107">
        <v>0.1</v>
      </c>
      <c r="G93" s="107">
        <v>2399.1</v>
      </c>
      <c r="H93" s="33"/>
      <c r="I93" s="26">
        <f>G93*0.1</f>
        <v>239.91</v>
      </c>
    </row>
    <row r="94" spans="1:9" ht="16.5" customHeight="1">
      <c r="A94" s="26"/>
      <c r="B94" s="37" t="s">
        <v>49</v>
      </c>
      <c r="C94" s="33"/>
      <c r="D94" s="40"/>
      <c r="E94" s="33">
        <v>1</v>
      </c>
      <c r="F94" s="33"/>
      <c r="G94" s="33"/>
      <c r="H94" s="33"/>
      <c r="I94" s="29">
        <f>SUM(I92:I93)</f>
        <v>468.81</v>
      </c>
    </row>
    <row r="95" spans="1:9" ht="16.5" customHeight="1">
      <c r="A95" s="26"/>
      <c r="B95" s="39" t="s">
        <v>74</v>
      </c>
      <c r="C95" s="14"/>
      <c r="D95" s="14"/>
      <c r="E95" s="34"/>
      <c r="F95" s="34"/>
      <c r="G95" s="35"/>
      <c r="H95" s="35"/>
      <c r="I95" s="16">
        <v>0</v>
      </c>
    </row>
    <row r="96" spans="1:9" ht="15.75" customHeight="1">
      <c r="A96" s="41"/>
      <c r="B96" s="38" t="s">
        <v>148</v>
      </c>
      <c r="C96" s="30"/>
      <c r="D96" s="30"/>
      <c r="E96" s="30"/>
      <c r="F96" s="30"/>
      <c r="G96" s="30"/>
      <c r="H96" s="30"/>
      <c r="I96" s="36">
        <f>I90+I94</f>
        <v>102563.48207999996</v>
      </c>
    </row>
    <row r="97" spans="1:9" ht="15.75" customHeight="1">
      <c r="A97" s="226" t="s">
        <v>227</v>
      </c>
      <c r="B97" s="226"/>
      <c r="C97" s="226"/>
      <c r="D97" s="226"/>
      <c r="E97" s="226"/>
      <c r="F97" s="226"/>
      <c r="G97" s="226"/>
      <c r="H97" s="226"/>
      <c r="I97" s="226"/>
    </row>
    <row r="98" spans="1:9" ht="15.75" customHeight="1">
      <c r="A98" s="78"/>
      <c r="B98" s="233" t="s">
        <v>228</v>
      </c>
      <c r="C98" s="233"/>
      <c r="D98" s="233"/>
      <c r="E98" s="233"/>
      <c r="F98" s="233"/>
      <c r="G98" s="233"/>
      <c r="H98" s="52"/>
      <c r="I98" s="3"/>
    </row>
    <row r="99" spans="1:9" ht="15.75" customHeight="1">
      <c r="A99" s="81"/>
      <c r="B99" s="234" t="s">
        <v>6</v>
      </c>
      <c r="C99" s="234"/>
      <c r="D99" s="234"/>
      <c r="E99" s="234"/>
      <c r="F99" s="234"/>
      <c r="G99" s="234"/>
      <c r="H99" s="21"/>
      <c r="I99" s="5"/>
    </row>
    <row r="100" spans="1:9" ht="15.75" customHeight="1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5.75" customHeight="1">
      <c r="A101" s="235" t="s">
        <v>7</v>
      </c>
      <c r="B101" s="235"/>
      <c r="C101" s="235"/>
      <c r="D101" s="235"/>
      <c r="E101" s="235"/>
      <c r="F101" s="235"/>
      <c r="G101" s="235"/>
      <c r="H101" s="235"/>
      <c r="I101" s="235"/>
    </row>
    <row r="102" spans="1:9" ht="15.75" customHeight="1">
      <c r="A102" s="235" t="s">
        <v>8</v>
      </c>
      <c r="B102" s="235"/>
      <c r="C102" s="235"/>
      <c r="D102" s="235"/>
      <c r="E102" s="235"/>
      <c r="F102" s="235"/>
      <c r="G102" s="235"/>
      <c r="H102" s="235"/>
      <c r="I102" s="235"/>
    </row>
    <row r="103" spans="1:9" ht="15.75" customHeight="1">
      <c r="A103" s="236" t="s">
        <v>58</v>
      </c>
      <c r="B103" s="236"/>
      <c r="C103" s="236"/>
      <c r="D103" s="236"/>
      <c r="E103" s="236"/>
      <c r="F103" s="236"/>
      <c r="G103" s="236"/>
      <c r="H103" s="236"/>
      <c r="I103" s="236"/>
    </row>
    <row r="104" spans="1:9" ht="15.75" customHeight="1">
      <c r="A104" s="10"/>
    </row>
    <row r="105" spans="1:9" ht="15.75" customHeight="1">
      <c r="A105" s="220" t="s">
        <v>9</v>
      </c>
      <c r="B105" s="220"/>
      <c r="C105" s="220"/>
      <c r="D105" s="220"/>
      <c r="E105" s="220"/>
      <c r="F105" s="220"/>
      <c r="G105" s="220"/>
      <c r="H105" s="220"/>
      <c r="I105" s="220"/>
    </row>
    <row r="106" spans="1:9" ht="15.75" customHeight="1">
      <c r="A106" s="4"/>
    </row>
    <row r="107" spans="1:9" ht="15.75" customHeight="1">
      <c r="B107" s="82" t="s">
        <v>10</v>
      </c>
      <c r="C107" s="238" t="s">
        <v>215</v>
      </c>
      <c r="D107" s="238"/>
      <c r="E107" s="238"/>
      <c r="F107" s="50"/>
      <c r="I107" s="80"/>
    </row>
    <row r="108" spans="1:9" ht="15.75" customHeight="1">
      <c r="A108" s="81"/>
      <c r="C108" s="234" t="s">
        <v>11</v>
      </c>
      <c r="D108" s="234"/>
      <c r="E108" s="234"/>
      <c r="F108" s="21"/>
      <c r="I108" s="79" t="s">
        <v>12</v>
      </c>
    </row>
    <row r="109" spans="1:9" ht="15.75" customHeight="1">
      <c r="A109" s="22"/>
      <c r="C109" s="11"/>
      <c r="D109" s="11"/>
      <c r="G109" s="11"/>
      <c r="H109" s="11"/>
    </row>
    <row r="110" spans="1:9" ht="15.75" customHeight="1">
      <c r="B110" s="82" t="s">
        <v>13</v>
      </c>
      <c r="C110" s="239"/>
      <c r="D110" s="239"/>
      <c r="E110" s="239"/>
      <c r="F110" s="51"/>
      <c r="I110" s="80"/>
    </row>
    <row r="111" spans="1:9" ht="15.75" customHeight="1">
      <c r="A111" s="81"/>
      <c r="C111" s="240" t="s">
        <v>11</v>
      </c>
      <c r="D111" s="240"/>
      <c r="E111" s="240"/>
      <c r="F111" s="81"/>
      <c r="I111" s="79" t="s">
        <v>12</v>
      </c>
    </row>
    <row r="112" spans="1:9" ht="15.75" customHeight="1">
      <c r="A112" s="4" t="s">
        <v>14</v>
      </c>
    </row>
    <row r="113" spans="1:9" ht="15.75" customHeight="1">
      <c r="A113" s="241" t="s">
        <v>15</v>
      </c>
      <c r="B113" s="241"/>
      <c r="C113" s="241"/>
      <c r="D113" s="241"/>
      <c r="E113" s="241"/>
      <c r="F113" s="241"/>
      <c r="G113" s="241"/>
      <c r="H113" s="241"/>
      <c r="I113" s="241"/>
    </row>
    <row r="114" spans="1:9" ht="45" customHeight="1">
      <c r="A114" s="237" t="s">
        <v>16</v>
      </c>
      <c r="B114" s="237"/>
      <c r="C114" s="237"/>
      <c r="D114" s="237"/>
      <c r="E114" s="237"/>
      <c r="F114" s="237"/>
      <c r="G114" s="237"/>
      <c r="H114" s="237"/>
      <c r="I114" s="237"/>
    </row>
    <row r="115" spans="1:9" ht="30" customHeight="1">
      <c r="A115" s="237" t="s">
        <v>17</v>
      </c>
      <c r="B115" s="237"/>
      <c r="C115" s="237"/>
      <c r="D115" s="237"/>
      <c r="E115" s="237"/>
      <c r="F115" s="237"/>
      <c r="G115" s="237"/>
      <c r="H115" s="237"/>
      <c r="I115" s="237"/>
    </row>
    <row r="116" spans="1:9" ht="30" customHeight="1">
      <c r="A116" s="237" t="s">
        <v>21</v>
      </c>
      <c r="B116" s="237"/>
      <c r="C116" s="237"/>
      <c r="D116" s="237"/>
      <c r="E116" s="237"/>
      <c r="F116" s="237"/>
      <c r="G116" s="237"/>
      <c r="H116" s="237"/>
      <c r="I116" s="237"/>
    </row>
    <row r="117" spans="1:9" ht="15" customHeight="1">
      <c r="A117" s="237" t="s">
        <v>20</v>
      </c>
      <c r="B117" s="237"/>
      <c r="C117" s="237"/>
      <c r="D117" s="237"/>
      <c r="E117" s="237"/>
      <c r="F117" s="237"/>
      <c r="G117" s="237"/>
      <c r="H117" s="237"/>
      <c r="I117" s="237"/>
    </row>
  </sheetData>
  <autoFilter ref="I12:I61"/>
  <mergeCells count="29">
    <mergeCell ref="A113:I113"/>
    <mergeCell ref="A114:I114"/>
    <mergeCell ref="A115:I115"/>
    <mergeCell ref="A116:I116"/>
    <mergeCell ref="A117:I117"/>
    <mergeCell ref="R65:U65"/>
    <mergeCell ref="C111:E111"/>
    <mergeCell ref="A91:I91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7:I87"/>
    <mergeCell ref="A3:I3"/>
    <mergeCell ref="A4:I4"/>
    <mergeCell ref="A5:I5"/>
    <mergeCell ref="A8:I8"/>
    <mergeCell ref="A10:I10"/>
    <mergeCell ref="A14:I14"/>
    <mergeCell ref="A15:I15"/>
    <mergeCell ref="A26:I26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2" orientation="portrait" r:id="rId1"/>
  <rowBreaks count="1" manualBreakCount="1">
    <brk id="112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21"/>
  <sheetViews>
    <sheetView view="pageBreakPreview" topLeftCell="A54" zoomScale="60" zoomScaleNormal="100" workbookViewId="0">
      <selection activeCell="I103" sqref="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170</v>
      </c>
      <c r="I1" s="23"/>
      <c r="J1" s="1"/>
      <c r="K1" s="1"/>
      <c r="L1" s="1"/>
      <c r="M1" s="1"/>
    </row>
    <row r="2" spans="1:13" ht="15.75">
      <c r="A2" s="25" t="s">
        <v>59</v>
      </c>
      <c r="J2" s="2"/>
      <c r="K2" s="2"/>
      <c r="L2" s="2"/>
      <c r="M2" s="2"/>
    </row>
    <row r="3" spans="1:13" ht="15.75" customHeight="1">
      <c r="A3" s="215" t="s">
        <v>152</v>
      </c>
      <c r="B3" s="215"/>
      <c r="C3" s="215"/>
      <c r="D3" s="215"/>
      <c r="E3" s="215"/>
      <c r="F3" s="215"/>
      <c r="G3" s="215"/>
      <c r="H3" s="215"/>
      <c r="I3" s="215"/>
      <c r="J3" s="3"/>
      <c r="K3" s="3"/>
      <c r="L3" s="3"/>
    </row>
    <row r="4" spans="1:13" ht="31.5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13" ht="15.75">
      <c r="A5" s="215" t="s">
        <v>229</v>
      </c>
      <c r="B5" s="217"/>
      <c r="C5" s="217"/>
      <c r="D5" s="217"/>
      <c r="E5" s="217"/>
      <c r="F5" s="217"/>
      <c r="G5" s="217"/>
      <c r="H5" s="217"/>
      <c r="I5" s="217"/>
      <c r="J5" s="2"/>
      <c r="K5" s="2"/>
      <c r="L5" s="2"/>
      <c r="M5" s="2"/>
    </row>
    <row r="6" spans="1:13" ht="15.75">
      <c r="A6" s="2"/>
      <c r="B6" s="99"/>
      <c r="C6" s="99"/>
      <c r="D6" s="99"/>
      <c r="E6" s="99"/>
      <c r="F6" s="99"/>
      <c r="G6" s="99"/>
      <c r="H6" s="99"/>
      <c r="I6" s="27">
        <v>44286</v>
      </c>
      <c r="J6" s="2"/>
      <c r="K6" s="2"/>
      <c r="L6" s="2"/>
      <c r="M6" s="2"/>
    </row>
    <row r="7" spans="1:13" ht="15.75">
      <c r="B7" s="97"/>
      <c r="C7" s="97"/>
      <c r="D7" s="9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18" t="s">
        <v>213</v>
      </c>
      <c r="B8" s="218"/>
      <c r="C8" s="218"/>
      <c r="D8" s="218"/>
      <c r="E8" s="218"/>
      <c r="F8" s="218"/>
      <c r="G8" s="218"/>
      <c r="H8" s="218"/>
      <c r="I8" s="218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  <c r="J10" s="2"/>
      <c r="K10" s="2"/>
      <c r="L10" s="2"/>
      <c r="M10" s="2"/>
    </row>
    <row r="11" spans="1:13" ht="15.75" customHeight="1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  <c r="J14" s="8"/>
      <c r="K14" s="8"/>
      <c r="L14" s="8"/>
      <c r="M14" s="8"/>
    </row>
    <row r="15" spans="1:13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8"/>
      <c r="K15" s="8"/>
      <c r="L15" s="8"/>
      <c r="M15" s="8"/>
    </row>
    <row r="16" spans="1:13" s="86" customFormat="1" ht="15.75" customHeight="1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  <c r="J16" s="85"/>
      <c r="K16" s="85"/>
      <c r="L16" s="85"/>
      <c r="M16" s="85"/>
    </row>
    <row r="17" spans="1:13" s="86" customFormat="1" ht="15.75" customHeight="1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  <c r="J17" s="87"/>
      <c r="K17" s="85"/>
      <c r="L17" s="85"/>
      <c r="M17" s="85"/>
    </row>
    <row r="18" spans="1:13" s="86" customFormat="1" ht="15.75" customHeight="1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  <c r="J18" s="87"/>
      <c r="K18" s="85"/>
      <c r="L18" s="85"/>
      <c r="M18" s="85"/>
    </row>
    <row r="19" spans="1:13" s="86" customFormat="1" ht="15.75" hidden="1" customHeight="1">
      <c r="A19" s="26">
        <v>4</v>
      </c>
      <c r="B19" s="53" t="s">
        <v>85</v>
      </c>
      <c r="C19" s="54" t="s">
        <v>86</v>
      </c>
      <c r="D19" s="53" t="s">
        <v>87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  <c r="J19" s="87"/>
      <c r="K19" s="85"/>
      <c r="L19" s="85"/>
      <c r="M19" s="85"/>
    </row>
    <row r="20" spans="1:13" s="86" customFormat="1" ht="15.75" hidden="1" customHeight="1">
      <c r="A20" s="26"/>
      <c r="B20" s="53" t="s">
        <v>88</v>
      </c>
      <c r="C20" s="54" t="s">
        <v>84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  <c r="J20" s="87"/>
      <c r="K20" s="85"/>
      <c r="L20" s="85"/>
      <c r="M20" s="85"/>
    </row>
    <row r="21" spans="1:13" s="86" customFormat="1" ht="15.75" hidden="1" customHeight="1">
      <c r="A21" s="26"/>
      <c r="B21" s="53" t="s">
        <v>89</v>
      </c>
      <c r="C21" s="54" t="s">
        <v>84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  <c r="J21" s="87"/>
      <c r="K21" s="85"/>
      <c r="L21" s="85"/>
      <c r="M21" s="85"/>
    </row>
    <row r="22" spans="1:13" s="86" customFormat="1" ht="15.75" hidden="1" customHeight="1">
      <c r="A22" s="26"/>
      <c r="B22" s="53" t="s">
        <v>90</v>
      </c>
      <c r="C22" s="54" t="s">
        <v>50</v>
      </c>
      <c r="D22" s="53" t="s">
        <v>87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  <c r="J22" s="87"/>
      <c r="K22" s="85"/>
      <c r="L22" s="85"/>
      <c r="M22" s="85"/>
    </row>
    <row r="23" spans="1:13" s="86" customFormat="1" ht="15.75" hidden="1" customHeight="1">
      <c r="A23" s="26"/>
      <c r="B23" s="53" t="s">
        <v>91</v>
      </c>
      <c r="C23" s="54" t="s">
        <v>50</v>
      </c>
      <c r="D23" s="53" t="s">
        <v>87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  <c r="J23" s="87"/>
      <c r="K23" s="85"/>
      <c r="L23" s="85"/>
      <c r="M23" s="85"/>
    </row>
    <row r="24" spans="1:13" s="86" customFormat="1" ht="15.75" hidden="1" customHeight="1">
      <c r="A24" s="26"/>
      <c r="B24" s="53" t="s">
        <v>92</v>
      </c>
      <c r="C24" s="54" t="s">
        <v>50</v>
      </c>
      <c r="D24" s="53" t="s">
        <v>87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  <c r="J24" s="87"/>
      <c r="K24" s="85"/>
      <c r="L24" s="85"/>
      <c r="M24" s="85"/>
    </row>
    <row r="25" spans="1:13" s="86" customFormat="1" ht="15.75" hidden="1" customHeight="1">
      <c r="A25" s="26">
        <v>4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  <c r="J25" s="87"/>
      <c r="K25" s="85"/>
      <c r="L25" s="85"/>
      <c r="M25" s="85"/>
    </row>
    <row r="26" spans="1:13" ht="15.75" customHeight="1">
      <c r="A26" s="222" t="s">
        <v>145</v>
      </c>
      <c r="B26" s="223"/>
      <c r="C26" s="223"/>
      <c r="D26" s="223"/>
      <c r="E26" s="223"/>
      <c r="F26" s="223"/>
      <c r="G26" s="223"/>
      <c r="H26" s="223"/>
      <c r="I26" s="224"/>
      <c r="J26" s="20"/>
      <c r="K26" s="8"/>
      <c r="L26" s="8"/>
      <c r="M26" s="8"/>
    </row>
    <row r="27" spans="1:13" s="86" customFormat="1" ht="15.75" hidden="1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  <c r="J27" s="88"/>
    </row>
    <row r="28" spans="1:13" s="86" customFormat="1" ht="15.75" hidden="1" customHeight="1">
      <c r="A28" s="26"/>
      <c r="B28" s="53" t="s">
        <v>93</v>
      </c>
      <c r="C28" s="54" t="s">
        <v>29</v>
      </c>
      <c r="D28" s="53" t="s">
        <v>127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1">SUM(F28*G28/1000)</f>
        <v>3.4885641599999997</v>
      </c>
      <c r="I28" s="12">
        <f>F28/6*G28</f>
        <v>581.42736000000002</v>
      </c>
      <c r="J28" s="87"/>
      <c r="K28" s="85"/>
      <c r="L28" s="85"/>
      <c r="M28" s="85"/>
    </row>
    <row r="29" spans="1:13" s="86" customFormat="1" ht="31.5" hidden="1" customHeight="1">
      <c r="A29" s="26"/>
      <c r="B29" s="53" t="s">
        <v>121</v>
      </c>
      <c r="C29" s="54" t="s">
        <v>94</v>
      </c>
      <c r="D29" s="53" t="s">
        <v>128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1"/>
        <v>1.8170801279999995</v>
      </c>
      <c r="I29" s="12">
        <f>F29/6*G29</f>
        <v>302.84668799999992</v>
      </c>
      <c r="J29" s="87"/>
      <c r="K29" s="85"/>
      <c r="L29" s="85"/>
      <c r="M29" s="85"/>
    </row>
    <row r="30" spans="1:13" s="86" customFormat="1" ht="15.75" hidden="1" customHeight="1">
      <c r="A30" s="26"/>
      <c r="B30" s="53" t="s">
        <v>27</v>
      </c>
      <c r="C30" s="54" t="s">
        <v>94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1"/>
        <v>1.408217265</v>
      </c>
      <c r="I30" s="12">
        <f>F30*G30</f>
        <v>1408.217265</v>
      </c>
      <c r="J30" s="87"/>
      <c r="K30" s="85"/>
      <c r="L30" s="85"/>
      <c r="M30" s="85"/>
    </row>
    <row r="31" spans="1:13" s="86" customFormat="1" ht="15.75" hidden="1" customHeight="1">
      <c r="A31" s="26"/>
      <c r="B31" s="53" t="s">
        <v>112</v>
      </c>
      <c r="C31" s="54" t="s">
        <v>38</v>
      </c>
      <c r="D31" s="53" t="s">
        <v>129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>F31/6*G31</f>
        <v>819.66240000000005</v>
      </c>
      <c r="J31" s="87"/>
      <c r="K31" s="85"/>
      <c r="L31" s="85"/>
      <c r="M31" s="85"/>
    </row>
    <row r="32" spans="1:13" s="86" customFormat="1" ht="15.75" hidden="1" customHeight="1">
      <c r="A32" s="26"/>
      <c r="B32" s="53" t="s">
        <v>95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>F32/6*G32</f>
        <v>640.23611111111109</v>
      </c>
      <c r="J32" s="87"/>
      <c r="K32" s="85"/>
      <c r="L32" s="85"/>
      <c r="M32" s="85"/>
    </row>
    <row r="33" spans="1:14" s="86" customFormat="1" ht="15.75" hidden="1" customHeight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1"/>
        <v>0.25091999999999998</v>
      </c>
      <c r="I33" s="12">
        <v>0</v>
      </c>
      <c r="J33" s="87"/>
      <c r="K33" s="85"/>
    </row>
    <row r="34" spans="1:14" s="86" customFormat="1" ht="15.75" hidden="1" customHeight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1"/>
        <v>1.4903299999999999</v>
      </c>
      <c r="I34" s="12">
        <v>0</v>
      </c>
      <c r="J34" s="88"/>
    </row>
    <row r="35" spans="1:14" s="86" customFormat="1" ht="15.75" customHeight="1">
      <c r="A35" s="26"/>
      <c r="B35" s="75" t="s">
        <v>5</v>
      </c>
      <c r="C35" s="54"/>
      <c r="D35" s="53"/>
      <c r="E35" s="55"/>
      <c r="F35" s="56"/>
      <c r="G35" s="56"/>
      <c r="H35" s="57" t="s">
        <v>119</v>
      </c>
      <c r="I35" s="12"/>
      <c r="J35" s="88"/>
    </row>
    <row r="36" spans="1:14" s="86" customFormat="1" ht="15.75" customHeight="1">
      <c r="A36" s="26">
        <v>4</v>
      </c>
      <c r="B36" s="53" t="s">
        <v>26</v>
      </c>
      <c r="C36" s="54" t="s">
        <v>31</v>
      </c>
      <c r="D36" s="53" t="s">
        <v>230</v>
      </c>
      <c r="E36" s="55"/>
      <c r="F36" s="56">
        <v>3</v>
      </c>
      <c r="G36" s="56">
        <v>2003</v>
      </c>
      <c r="H36" s="57">
        <f t="shared" ref="H36:H42" si="2">SUM(F36*G36/1000)</f>
        <v>6.0090000000000003</v>
      </c>
      <c r="I36" s="12">
        <f>G36*1.5</f>
        <v>3004.5</v>
      </c>
      <c r="J36" s="88"/>
    </row>
    <row r="37" spans="1:14" s="86" customFormat="1" ht="15.75" customHeight="1">
      <c r="A37" s="26">
        <v>5</v>
      </c>
      <c r="B37" s="53" t="s">
        <v>131</v>
      </c>
      <c r="C37" s="54" t="s">
        <v>29</v>
      </c>
      <c r="D37" s="53" t="s">
        <v>187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ref="I37:I42" si="3">F37/6*G37</f>
        <v>1538.84124</v>
      </c>
      <c r="J37" s="88"/>
      <c r="L37" s="18"/>
      <c r="M37" s="19"/>
      <c r="N37" s="90"/>
    </row>
    <row r="38" spans="1:14" s="86" customFormat="1" ht="15.75" customHeight="1">
      <c r="A38" s="26">
        <v>6</v>
      </c>
      <c r="B38" s="53" t="s">
        <v>64</v>
      </c>
      <c r="C38" s="54" t="s">
        <v>29</v>
      </c>
      <c r="D38" s="53" t="s">
        <v>188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2"/>
        <v>7.9574259599999984</v>
      </c>
      <c r="I38" s="12">
        <f t="shared" si="3"/>
        <v>1326.2376599999998</v>
      </c>
      <c r="J38" s="88"/>
      <c r="L38" s="18"/>
      <c r="M38" s="19"/>
      <c r="N38" s="90"/>
    </row>
    <row r="39" spans="1:14" s="86" customFormat="1" ht="15.75" customHeight="1">
      <c r="A39" s="26">
        <v>7</v>
      </c>
      <c r="B39" s="53" t="s">
        <v>76</v>
      </c>
      <c r="C39" s="54" t="s">
        <v>94</v>
      </c>
      <c r="D39" s="53" t="s">
        <v>187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2"/>
        <v>25.482163679999999</v>
      </c>
      <c r="I39" s="12">
        <f t="shared" si="3"/>
        <v>4247.0272799999993</v>
      </c>
      <c r="J39" s="88"/>
      <c r="L39" s="18"/>
      <c r="M39" s="19"/>
      <c r="N39" s="90"/>
    </row>
    <row r="40" spans="1:14" s="86" customFormat="1" ht="15.75" customHeight="1">
      <c r="A40" s="26">
        <v>8</v>
      </c>
      <c r="B40" s="53" t="s">
        <v>98</v>
      </c>
      <c r="C40" s="54" t="s">
        <v>94</v>
      </c>
      <c r="D40" s="53" t="s">
        <v>194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2"/>
        <v>1.5059303999999998</v>
      </c>
      <c r="I40" s="12">
        <f>G40*F40/24*4</f>
        <v>250.98839999999996</v>
      </c>
      <c r="J40" s="88"/>
      <c r="L40" s="18"/>
      <c r="M40" s="19"/>
      <c r="N40" s="90"/>
    </row>
    <row r="41" spans="1:14" s="86" customFormat="1" ht="15.75" customHeight="1">
      <c r="A41" s="26">
        <v>9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2"/>
        <v>0.58489800000000003</v>
      </c>
      <c r="I41" s="12">
        <f>G41*F41/24*4</f>
        <v>97.483000000000004</v>
      </c>
      <c r="J41" s="88"/>
      <c r="L41" s="18"/>
      <c r="M41" s="19"/>
      <c r="N41" s="90"/>
    </row>
    <row r="42" spans="1:14" s="86" customFormat="1" ht="30.75" customHeight="1">
      <c r="A42" s="26">
        <v>10</v>
      </c>
      <c r="B42" s="72" t="s">
        <v>132</v>
      </c>
      <c r="C42" s="73" t="s">
        <v>29</v>
      </c>
      <c r="D42" s="53" t="s">
        <v>190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2"/>
        <v>3.7468799999999993E-3</v>
      </c>
      <c r="I42" s="12">
        <f t="shared" si="3"/>
        <v>0.62447999999999992</v>
      </c>
      <c r="J42" s="88"/>
      <c r="L42" s="18"/>
      <c r="M42" s="19"/>
      <c r="N42" s="90"/>
    </row>
    <row r="43" spans="1:14" s="86" customFormat="1" ht="15.75" hidden="1" customHeight="1">
      <c r="A43" s="222" t="s">
        <v>146</v>
      </c>
      <c r="B43" s="223"/>
      <c r="C43" s="223"/>
      <c r="D43" s="223"/>
      <c r="E43" s="223"/>
      <c r="F43" s="223"/>
      <c r="G43" s="223"/>
      <c r="H43" s="223"/>
      <c r="I43" s="224"/>
      <c r="J43" s="88"/>
      <c r="L43" s="18"/>
      <c r="M43" s="19"/>
      <c r="N43" s="90"/>
    </row>
    <row r="44" spans="1:14" s="86" customFormat="1" ht="15.75" hidden="1" customHeight="1">
      <c r="A44" s="26"/>
      <c r="B44" s="53" t="s">
        <v>115</v>
      </c>
      <c r="C44" s="54" t="s">
        <v>94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4">SUM(F44*G44/1000)</f>
        <v>2.2959991039999998</v>
      </c>
      <c r="I44" s="12">
        <f>F44/2*G44</f>
        <v>1147.999552</v>
      </c>
      <c r="J44" s="88"/>
      <c r="L44" s="18"/>
      <c r="M44" s="19"/>
      <c r="N44" s="90"/>
    </row>
    <row r="45" spans="1:14" s="86" customFormat="1" ht="15.75" hidden="1" customHeight="1">
      <c r="A45" s="26"/>
      <c r="B45" s="53" t="s">
        <v>33</v>
      </c>
      <c r="C45" s="54" t="s">
        <v>94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4"/>
        <v>1.1666292</v>
      </c>
      <c r="I45" s="12">
        <f>F45/2*G45</f>
        <v>583.31460000000004</v>
      </c>
      <c r="J45" s="88"/>
      <c r="L45" s="18"/>
      <c r="M45" s="19"/>
      <c r="N45" s="90"/>
    </row>
    <row r="46" spans="1:14" s="86" customFormat="1" ht="15.75" hidden="1" customHeight="1">
      <c r="A46" s="26"/>
      <c r="B46" s="53" t="s">
        <v>34</v>
      </c>
      <c r="C46" s="54" t="s">
        <v>94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4"/>
        <v>15.3249438636</v>
      </c>
      <c r="I46" s="12">
        <f>F46/2*G46</f>
        <v>7662.4719317999998</v>
      </c>
      <c r="J46" s="88"/>
      <c r="L46" s="18"/>
      <c r="M46" s="19"/>
      <c r="N46" s="90"/>
    </row>
    <row r="47" spans="1:14" s="86" customFormat="1" ht="15.75" hidden="1" customHeight="1">
      <c r="A47" s="26"/>
      <c r="B47" s="53" t="s">
        <v>35</v>
      </c>
      <c r="C47" s="54" t="s">
        <v>94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4"/>
        <v>5.3807195075999994</v>
      </c>
      <c r="I47" s="12">
        <f>F47/2*G47</f>
        <v>2690.3597537999999</v>
      </c>
      <c r="J47" s="88"/>
      <c r="L47" s="18"/>
      <c r="M47" s="19"/>
      <c r="N47" s="90"/>
    </row>
    <row r="48" spans="1:14" s="86" customFormat="1" ht="15.75" hidden="1" customHeight="1">
      <c r="A48" s="26">
        <v>13</v>
      </c>
      <c r="B48" s="53" t="s">
        <v>53</v>
      </c>
      <c r="C48" s="54" t="s">
        <v>94</v>
      </c>
      <c r="D48" s="53" t="s">
        <v>125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4"/>
        <v>21.37578525</v>
      </c>
      <c r="I48" s="12">
        <f>F48/5*G48</f>
        <v>4275.1570500000007</v>
      </c>
      <c r="J48" s="88"/>
      <c r="L48" s="18"/>
      <c r="M48" s="19"/>
      <c r="N48" s="90"/>
    </row>
    <row r="49" spans="1:21" s="86" customFormat="1" ht="31.5" hidden="1" customHeight="1">
      <c r="A49" s="26"/>
      <c r="B49" s="53" t="s">
        <v>99</v>
      </c>
      <c r="C49" s="54" t="s">
        <v>94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4"/>
        <v>12.557723999999999</v>
      </c>
      <c r="I49" s="12">
        <f>F49/2*G49</f>
        <v>6278.8619999999992</v>
      </c>
      <c r="J49" s="88"/>
      <c r="L49" s="18"/>
      <c r="M49" s="19"/>
      <c r="N49" s="90"/>
    </row>
    <row r="50" spans="1:21" s="86" customFormat="1" ht="31.5" hidden="1" customHeight="1">
      <c r="A50" s="26"/>
      <c r="B50" s="53" t="s">
        <v>100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4"/>
        <v>2.4349920000000003</v>
      </c>
      <c r="I50" s="12">
        <f>F50/2*G50</f>
        <v>1217.4960000000001</v>
      </c>
      <c r="J50" s="88"/>
      <c r="L50" s="18"/>
      <c r="M50" s="19"/>
      <c r="N50" s="90"/>
    </row>
    <row r="51" spans="1:21" s="86" customFormat="1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4"/>
        <v>0.14825839999999998</v>
      </c>
      <c r="I51" s="12">
        <f>F51/2*G51</f>
        <v>74.129199999999997</v>
      </c>
      <c r="J51" s="88"/>
      <c r="L51" s="18"/>
      <c r="M51" s="19"/>
      <c r="N51" s="90"/>
    </row>
    <row r="52" spans="1:21" s="86" customFormat="1" ht="15.75" hidden="1" customHeight="1">
      <c r="A52" s="26">
        <v>14</v>
      </c>
      <c r="B52" s="53" t="s">
        <v>114</v>
      </c>
      <c r="C52" s="54" t="s">
        <v>80</v>
      </c>
      <c r="D52" s="53" t="s">
        <v>66</v>
      </c>
      <c r="E52" s="55">
        <v>90</v>
      </c>
      <c r="F52" s="56">
        <f>E52*3</f>
        <v>270</v>
      </c>
      <c r="G52" s="12">
        <v>185.08</v>
      </c>
      <c r="H52" s="57">
        <f t="shared" si="4"/>
        <v>49.971600000000009</v>
      </c>
      <c r="I52" s="12">
        <f>E52*G52</f>
        <v>16657.2</v>
      </c>
      <c r="J52" s="88"/>
      <c r="L52" s="18"/>
      <c r="M52" s="19"/>
      <c r="N52" s="90"/>
    </row>
    <row r="53" spans="1:21" s="86" customFormat="1" ht="4.5" hidden="1" customHeight="1">
      <c r="A53" s="26">
        <v>15</v>
      </c>
      <c r="B53" s="53" t="s">
        <v>39</v>
      </c>
      <c r="C53" s="54" t="s">
        <v>80</v>
      </c>
      <c r="D53" s="53" t="s">
        <v>66</v>
      </c>
      <c r="E53" s="55">
        <v>180</v>
      </c>
      <c r="F53" s="56">
        <f>SUM(E53)*3</f>
        <v>540</v>
      </c>
      <c r="G53" s="12">
        <v>86.15</v>
      </c>
      <c r="H53" s="57">
        <f t="shared" si="4"/>
        <v>46.521000000000001</v>
      </c>
      <c r="I53" s="12">
        <f>E53*G53</f>
        <v>15507.000000000002</v>
      </c>
      <c r="J53" s="88"/>
      <c r="L53" s="18"/>
      <c r="M53" s="19"/>
      <c r="N53" s="90"/>
    </row>
    <row r="54" spans="1:21" s="86" customFormat="1" ht="15.75" customHeight="1">
      <c r="A54" s="222" t="s">
        <v>149</v>
      </c>
      <c r="B54" s="223"/>
      <c r="C54" s="223"/>
      <c r="D54" s="223"/>
      <c r="E54" s="223"/>
      <c r="F54" s="223"/>
      <c r="G54" s="223"/>
      <c r="H54" s="223"/>
      <c r="I54" s="224"/>
      <c r="J54" s="88"/>
      <c r="L54" s="18"/>
      <c r="M54" s="19"/>
      <c r="N54" s="90"/>
    </row>
    <row r="55" spans="1:21" s="86" customFormat="1" ht="15.75" customHeight="1">
      <c r="A55" s="26"/>
      <c r="B55" s="75" t="s">
        <v>41</v>
      </c>
      <c r="C55" s="54"/>
      <c r="D55" s="53"/>
      <c r="E55" s="55"/>
      <c r="F55" s="56"/>
      <c r="G55" s="56"/>
      <c r="H55" s="57"/>
      <c r="I55" s="12"/>
      <c r="J55" s="88"/>
      <c r="L55" s="18"/>
      <c r="M55" s="19"/>
      <c r="N55" s="90"/>
    </row>
    <row r="56" spans="1:21" s="86" customFormat="1" ht="44.25" customHeight="1">
      <c r="A56" s="26">
        <v>11</v>
      </c>
      <c r="B56" s="53" t="s">
        <v>133</v>
      </c>
      <c r="C56" s="54" t="s">
        <v>84</v>
      </c>
      <c r="D56" s="53"/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G56*1.82</f>
        <v>3693.326</v>
      </c>
      <c r="J56" s="88"/>
      <c r="L56" s="18"/>
      <c r="M56" s="19"/>
      <c r="N56" s="90"/>
    </row>
    <row r="57" spans="1:21" s="86" customFormat="1" ht="31.5" customHeight="1">
      <c r="A57" s="26">
        <v>12</v>
      </c>
      <c r="B57" s="53" t="s">
        <v>78</v>
      </c>
      <c r="C57" s="54" t="s">
        <v>84</v>
      </c>
      <c r="D57" s="53"/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F57/6*G57</f>
        <v>1610.8583399999998</v>
      </c>
      <c r="J57" s="88"/>
      <c r="L57" s="18"/>
      <c r="M57" s="19"/>
      <c r="N57" s="90"/>
    </row>
    <row r="58" spans="1:21" s="86" customFormat="1" ht="15.75" hidden="1" customHeight="1">
      <c r="A58" s="26"/>
      <c r="B58" s="62" t="s">
        <v>116</v>
      </c>
      <c r="C58" s="63" t="s">
        <v>117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  <c r="J58" s="88"/>
      <c r="L58" s="18"/>
      <c r="M58" s="19"/>
      <c r="N58" s="90"/>
    </row>
    <row r="59" spans="1:21" s="86" customFormat="1" ht="15.75" hidden="1" customHeight="1">
      <c r="A59" s="26">
        <v>13</v>
      </c>
      <c r="B59" s="53" t="s">
        <v>118</v>
      </c>
      <c r="C59" s="54" t="s">
        <v>84</v>
      </c>
      <c r="D59" s="53" t="s">
        <v>191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  <c r="J59" s="88"/>
      <c r="L59" s="18"/>
    </row>
    <row r="60" spans="1:21" s="86" customFormat="1" ht="15.75" hidden="1" customHeight="1">
      <c r="A60" s="26"/>
      <c r="B60" s="62" t="s">
        <v>102</v>
      </c>
      <c r="C60" s="63" t="s">
        <v>31</v>
      </c>
      <c r="D60" s="62" t="s">
        <v>130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  <c r="J60" s="88"/>
      <c r="L60" s="18"/>
    </row>
    <row r="61" spans="1:21" s="86" customFormat="1" ht="15.7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  <c r="J61" s="88"/>
      <c r="L61" s="18"/>
    </row>
    <row r="62" spans="1:21" s="86" customFormat="1" ht="15.75" customHeight="1">
      <c r="A62" s="26">
        <v>13</v>
      </c>
      <c r="B62" s="62" t="s">
        <v>134</v>
      </c>
      <c r="C62" s="63" t="s">
        <v>50</v>
      </c>
      <c r="D62" s="62" t="s">
        <v>231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f>G62*F62</f>
        <v>2113.9460399999998</v>
      </c>
    </row>
    <row r="63" spans="1:21" s="86" customFormat="1" ht="15.75" customHeight="1">
      <c r="A63" s="26">
        <v>14</v>
      </c>
      <c r="B63" s="62" t="s">
        <v>81</v>
      </c>
      <c r="C63" s="63" t="s">
        <v>25</v>
      </c>
      <c r="D63" s="62" t="s">
        <v>192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  <c r="J63" s="89"/>
      <c r="K63" s="89"/>
      <c r="L63" s="91"/>
      <c r="M63" s="91"/>
      <c r="N63" s="91"/>
      <c r="O63" s="91"/>
      <c r="P63" s="91"/>
      <c r="Q63" s="91"/>
      <c r="R63" s="91"/>
      <c r="S63" s="91"/>
      <c r="T63" s="91"/>
      <c r="U63" s="91"/>
    </row>
    <row r="64" spans="1:21" s="86" customFormat="1" ht="15.75" hidden="1" customHeight="1">
      <c r="A64" s="26"/>
      <c r="B64" s="76" t="s">
        <v>43</v>
      </c>
      <c r="C64" s="63"/>
      <c r="D64" s="62"/>
      <c r="E64" s="64"/>
      <c r="F64" s="67"/>
      <c r="G64" s="67"/>
      <c r="H64" s="65" t="s">
        <v>119</v>
      </c>
      <c r="I64" s="12"/>
      <c r="J64" s="91"/>
      <c r="K64" s="91"/>
      <c r="L64" s="91"/>
      <c r="M64" s="91"/>
      <c r="N64" s="91"/>
      <c r="O64" s="91"/>
      <c r="P64" s="91"/>
      <c r="Q64" s="91"/>
      <c r="S64" s="91"/>
      <c r="T64" s="91"/>
      <c r="U64" s="91"/>
    </row>
    <row r="65" spans="1:21" s="86" customFormat="1" ht="15.75" hidden="1" customHeight="1">
      <c r="A65" s="26">
        <v>17</v>
      </c>
      <c r="B65" s="13" t="s">
        <v>44</v>
      </c>
      <c r="C65" s="15" t="s">
        <v>80</v>
      </c>
      <c r="D65" s="13" t="s">
        <v>63</v>
      </c>
      <c r="E65" s="17">
        <v>7</v>
      </c>
      <c r="F65" s="67">
        <f>E65</f>
        <v>7</v>
      </c>
      <c r="G65" s="12">
        <v>291.68</v>
      </c>
      <c r="H65" s="68">
        <f t="shared" ref="H65:H83" si="5">SUM(F65*G65/1000)</f>
        <v>2.04176</v>
      </c>
      <c r="I65" s="12">
        <f>G65*9</f>
        <v>2625.12</v>
      </c>
      <c r="J65" s="92"/>
      <c r="K65" s="92"/>
      <c r="L65" s="92"/>
      <c r="M65" s="92"/>
      <c r="N65" s="92"/>
      <c r="O65" s="92"/>
      <c r="P65" s="92"/>
      <c r="Q65" s="92"/>
      <c r="R65" s="225"/>
      <c r="S65" s="225"/>
      <c r="T65" s="225"/>
      <c r="U65" s="225"/>
    </row>
    <row r="66" spans="1:21" s="86" customFormat="1" ht="15.75" hidden="1" customHeight="1">
      <c r="A66" s="26"/>
      <c r="B66" s="13" t="s">
        <v>45</v>
      </c>
      <c r="C66" s="15" t="s">
        <v>80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5"/>
        <v>0.30003000000000002</v>
      </c>
      <c r="I66" s="12">
        <v>0</v>
      </c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1:21" s="86" customFormat="1" ht="15.75" hidden="1" customHeight="1">
      <c r="A67" s="26"/>
      <c r="B67" s="13" t="s">
        <v>46</v>
      </c>
      <c r="C67" s="15" t="s">
        <v>103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5"/>
        <v>39.523992000000007</v>
      </c>
      <c r="I67" s="12">
        <f t="shared" ref="I67:I72" si="6">F67*G67</f>
        <v>39523.992000000006</v>
      </c>
    </row>
    <row r="68" spans="1:21" s="86" customFormat="1" ht="15.75" hidden="1" customHeight="1">
      <c r="A68" s="26"/>
      <c r="B68" s="13" t="s">
        <v>47</v>
      </c>
      <c r="C68" s="15" t="s">
        <v>104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5"/>
        <v>3.0779394</v>
      </c>
      <c r="I68" s="12">
        <f t="shared" si="6"/>
        <v>3077.9394000000002</v>
      </c>
    </row>
    <row r="69" spans="1:21" s="86" customFormat="1" ht="15.75" hidden="1" customHeight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5"/>
        <v>57.983231399999994</v>
      </c>
      <c r="I69" s="12">
        <f t="shared" si="6"/>
        <v>57983.231399999997</v>
      </c>
    </row>
    <row r="70" spans="1:21" s="86" customFormat="1" ht="15.75" hidden="1" customHeight="1">
      <c r="A70" s="26"/>
      <c r="B70" s="69" t="s">
        <v>105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5"/>
        <v>0.31017</v>
      </c>
      <c r="I70" s="12">
        <f t="shared" si="6"/>
        <v>310.17</v>
      </c>
    </row>
    <row r="71" spans="1:21" s="86" customFormat="1" ht="15.75" hidden="1" customHeight="1">
      <c r="A71" s="26"/>
      <c r="B71" s="69" t="s">
        <v>106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5"/>
        <v>0.33452999999999999</v>
      </c>
      <c r="I71" s="12">
        <f t="shared" si="6"/>
        <v>334.53</v>
      </c>
    </row>
    <row r="72" spans="1:21" s="86" customFormat="1" ht="15.75" hidden="1" customHeight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5"/>
        <v>0.39251999999999998</v>
      </c>
      <c r="I72" s="12">
        <f t="shared" si="6"/>
        <v>392.52</v>
      </c>
    </row>
    <row r="73" spans="1:21" s="86" customFormat="1" ht="15.75" customHeight="1">
      <c r="A73" s="26"/>
      <c r="B73" s="98" t="s">
        <v>135</v>
      </c>
      <c r="C73" s="15"/>
      <c r="D73" s="13"/>
      <c r="E73" s="17"/>
      <c r="F73" s="48"/>
      <c r="G73" s="12"/>
      <c r="H73" s="68"/>
      <c r="I73" s="12"/>
    </row>
    <row r="74" spans="1:21" s="86" customFormat="1" ht="15.75" customHeight="1">
      <c r="A74" s="26">
        <v>15</v>
      </c>
      <c r="B74" s="13" t="s">
        <v>136</v>
      </c>
      <c r="C74" s="26" t="s">
        <v>137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>SUM(F74*G74/1000)</f>
        <v>107.93519999999999</v>
      </c>
      <c r="I74" s="12">
        <f>F74/12*G74</f>
        <v>8994.5999999999985</v>
      </c>
    </row>
    <row r="75" spans="1:21" s="86" customFormat="1" ht="30.75" customHeight="1">
      <c r="A75" s="26">
        <v>16</v>
      </c>
      <c r="B75" s="72" t="s">
        <v>138</v>
      </c>
      <c r="C75" s="73" t="s">
        <v>80</v>
      </c>
      <c r="D75" s="13" t="s">
        <v>191</v>
      </c>
      <c r="E75" s="17">
        <v>1</v>
      </c>
      <c r="F75" s="56">
        <f>SUM(E75)*12</f>
        <v>12</v>
      </c>
      <c r="G75" s="12">
        <v>50.68</v>
      </c>
      <c r="H75" s="68">
        <f>SUM(F75*G75/1000)</f>
        <v>0.60815999999999992</v>
      </c>
      <c r="I75" s="12">
        <f>F75/12*G75</f>
        <v>50.68</v>
      </c>
    </row>
    <row r="76" spans="1:21" s="86" customFormat="1" ht="15.75" customHeight="1">
      <c r="A76" s="26"/>
      <c r="B76" s="98" t="s">
        <v>67</v>
      </c>
      <c r="C76" s="15"/>
      <c r="D76" s="13"/>
      <c r="E76" s="17"/>
      <c r="F76" s="12"/>
      <c r="G76" s="12"/>
      <c r="H76" s="68" t="s">
        <v>119</v>
      </c>
      <c r="I76" s="12"/>
    </row>
    <row r="77" spans="1:21" s="86" customFormat="1" ht="15.75" hidden="1" customHeight="1">
      <c r="A77" s="26"/>
      <c r="B77" s="13" t="s">
        <v>139</v>
      </c>
      <c r="C77" s="15" t="s">
        <v>30</v>
      </c>
      <c r="D77" s="13" t="s">
        <v>147</v>
      </c>
      <c r="E77" s="17">
        <v>2</v>
      </c>
      <c r="F77" s="56">
        <f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21" s="86" customFormat="1" ht="15.75" hidden="1" customHeight="1">
      <c r="A78" s="26"/>
      <c r="B78" s="13" t="s">
        <v>140</v>
      </c>
      <c r="C78" s="15" t="s">
        <v>141</v>
      </c>
      <c r="D78" s="13" t="s">
        <v>147</v>
      </c>
      <c r="E78" s="17">
        <v>1</v>
      </c>
      <c r="F78" s="12">
        <v>1</v>
      </c>
      <c r="G78" s="12">
        <v>735</v>
      </c>
      <c r="H78" s="68">
        <f>SUM(F78*G78/1000)</f>
        <v>0.73499999999999999</v>
      </c>
      <c r="I78" s="12">
        <v>0</v>
      </c>
    </row>
    <row r="79" spans="1:21" s="86" customFormat="1" ht="15.75" customHeight="1">
      <c r="A79" s="77">
        <v>17</v>
      </c>
      <c r="B79" s="13" t="s">
        <v>68</v>
      </c>
      <c r="C79" s="15" t="s">
        <v>70</v>
      </c>
      <c r="D79" s="13" t="s">
        <v>232</v>
      </c>
      <c r="E79" s="17">
        <v>3</v>
      </c>
      <c r="F79" s="12">
        <f>E79/10</f>
        <v>0.3</v>
      </c>
      <c r="G79" s="12">
        <v>657.87</v>
      </c>
      <c r="H79" s="68">
        <f>SUM(F79*G79/1000)</f>
        <v>0.19736099999999998</v>
      </c>
      <c r="I79" s="12">
        <f>G79*0.2</f>
        <v>131.57400000000001</v>
      </c>
    </row>
    <row r="80" spans="1:21" s="86" customFormat="1" ht="15.75" hidden="1" customHeight="1">
      <c r="A80" s="77">
        <v>20</v>
      </c>
      <c r="B80" s="13" t="s">
        <v>69</v>
      </c>
      <c r="C80" s="15" t="s">
        <v>30</v>
      </c>
      <c r="D80" s="13" t="s">
        <v>147</v>
      </c>
      <c r="E80" s="17">
        <v>1</v>
      </c>
      <c r="F80" s="48">
        <v>1</v>
      </c>
      <c r="G80" s="12">
        <v>1118.72</v>
      </c>
      <c r="H80" s="68">
        <f>SUM(F80*G80/1000)</f>
        <v>1.1187199999999999</v>
      </c>
      <c r="I80" s="12">
        <f>G80*(2+4)</f>
        <v>6712.32</v>
      </c>
    </row>
    <row r="81" spans="1:9" s="86" customFormat="1" ht="15.75" hidden="1" customHeight="1">
      <c r="A81" s="77"/>
      <c r="B81" s="72" t="s">
        <v>142</v>
      </c>
      <c r="C81" s="73" t="s">
        <v>80</v>
      </c>
      <c r="D81" s="13" t="s">
        <v>147</v>
      </c>
      <c r="E81" s="17">
        <v>1</v>
      </c>
      <c r="F81" s="56">
        <f>E81</f>
        <v>1</v>
      </c>
      <c r="G81" s="12">
        <v>1605.83</v>
      </c>
      <c r="H81" s="68">
        <f>SUM(F81*G81/1000)</f>
        <v>1.6058299999999999</v>
      </c>
      <c r="I81" s="12">
        <v>0</v>
      </c>
    </row>
    <row r="82" spans="1:9" s="86" customFormat="1" ht="15.75" hidden="1" customHeight="1">
      <c r="A82" s="77"/>
      <c r="B82" s="70" t="s">
        <v>71</v>
      </c>
      <c r="C82" s="15"/>
      <c r="D82" s="13"/>
      <c r="E82" s="17"/>
      <c r="F82" s="12"/>
      <c r="G82" s="12" t="s">
        <v>119</v>
      </c>
      <c r="H82" s="68" t="s">
        <v>119</v>
      </c>
      <c r="I82" s="12"/>
    </row>
    <row r="83" spans="1:9" s="86" customFormat="1" ht="15.75" hidden="1" customHeight="1">
      <c r="A83" s="77">
        <v>22</v>
      </c>
      <c r="B83" s="39" t="s">
        <v>109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5"/>
        <v>2.1714540000000002</v>
      </c>
      <c r="I83" s="12">
        <f>G83*0.06</f>
        <v>217.1454</v>
      </c>
    </row>
    <row r="84" spans="1:9" s="86" customFormat="1" ht="15.75" hidden="1" customHeight="1">
      <c r="A84" s="77"/>
      <c r="B84" s="98" t="s">
        <v>107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s="86" customFormat="1" ht="15.75" hidden="1" customHeight="1">
      <c r="A85" s="77"/>
      <c r="B85" s="53" t="s">
        <v>108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s="86" customFormat="1" ht="9.75" hidden="1" customHeight="1">
      <c r="A86" s="77"/>
      <c r="B86" s="53" t="s">
        <v>143</v>
      </c>
      <c r="C86" s="15"/>
      <c r="D86" s="13" t="s">
        <v>144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 s="86" customFormat="1" ht="15.75" customHeight="1">
      <c r="A87" s="230" t="s">
        <v>150</v>
      </c>
      <c r="B87" s="231"/>
      <c r="C87" s="231"/>
      <c r="D87" s="231"/>
      <c r="E87" s="231"/>
      <c r="F87" s="231"/>
      <c r="G87" s="231"/>
      <c r="H87" s="231"/>
      <c r="I87" s="232"/>
    </row>
    <row r="88" spans="1:9" s="86" customFormat="1" ht="15.75" customHeight="1">
      <c r="A88" s="77">
        <v>18</v>
      </c>
      <c r="B88" s="53" t="s">
        <v>110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s="86" customFormat="1" ht="31.5" customHeight="1">
      <c r="A89" s="26">
        <v>19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 s="86" customFormat="1" ht="15.75" customHeight="1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I89+I88+I79+I75+I74+I63+I62+I57+I56+I42+I41+I40+I39+I38+I37+I36+I18+I17+I16</f>
        <v>70085.750120000012</v>
      </c>
    </row>
    <row r="91" spans="1:9" s="86" customFormat="1" ht="15.75" customHeight="1">
      <c r="A91" s="227" t="s">
        <v>57</v>
      </c>
      <c r="B91" s="228"/>
      <c r="C91" s="228"/>
      <c r="D91" s="228"/>
      <c r="E91" s="228"/>
      <c r="F91" s="228"/>
      <c r="G91" s="228"/>
      <c r="H91" s="228"/>
      <c r="I91" s="229"/>
    </row>
    <row r="92" spans="1:9" s="86" customFormat="1" ht="15.75" customHeight="1">
      <c r="A92" s="33">
        <v>20</v>
      </c>
      <c r="B92" s="110" t="s">
        <v>233</v>
      </c>
      <c r="C92" s="111" t="s">
        <v>234</v>
      </c>
      <c r="D92" s="201" t="s">
        <v>240</v>
      </c>
      <c r="E92" s="107"/>
      <c r="F92" s="107">
        <v>0.01</v>
      </c>
      <c r="G92" s="107">
        <v>26638.18</v>
      </c>
      <c r="H92" s="33"/>
      <c r="I92" s="209">
        <f>G92*0.01</f>
        <v>266.3818</v>
      </c>
    </row>
    <row r="93" spans="1:9" s="86" customFormat="1" ht="15.75" customHeight="1">
      <c r="A93" s="33">
        <v>21</v>
      </c>
      <c r="B93" s="110" t="s">
        <v>235</v>
      </c>
      <c r="C93" s="111" t="s">
        <v>80</v>
      </c>
      <c r="D93" s="201" t="s">
        <v>238</v>
      </c>
      <c r="E93" s="107"/>
      <c r="F93" s="107">
        <v>1</v>
      </c>
      <c r="G93" s="107">
        <v>699.58</v>
      </c>
      <c r="H93" s="33"/>
      <c r="I93" s="33">
        <f>G93*1</f>
        <v>699.58</v>
      </c>
    </row>
    <row r="94" spans="1:9" s="86" customFormat="1" ht="30.75" customHeight="1">
      <c r="A94" s="26">
        <v>22</v>
      </c>
      <c r="B94" s="208" t="s">
        <v>236</v>
      </c>
      <c r="C94" s="32" t="s">
        <v>237</v>
      </c>
      <c r="D94" s="201" t="s">
        <v>212</v>
      </c>
      <c r="E94" s="107"/>
      <c r="F94" s="107">
        <v>1</v>
      </c>
      <c r="G94" s="107">
        <v>477.25</v>
      </c>
      <c r="H94" s="33"/>
      <c r="I94" s="26">
        <f>G94*1</f>
        <v>477.25</v>
      </c>
    </row>
    <row r="95" spans="1:9" s="86" customFormat="1" ht="18" customHeight="1">
      <c r="A95" s="33">
        <v>23</v>
      </c>
      <c r="B95" s="110" t="s">
        <v>211</v>
      </c>
      <c r="C95" s="111" t="s">
        <v>80</v>
      </c>
      <c r="D95" s="201" t="s">
        <v>239</v>
      </c>
      <c r="E95" s="107"/>
      <c r="F95" s="107">
        <v>1</v>
      </c>
      <c r="G95" s="107">
        <v>611.91999999999996</v>
      </c>
      <c r="H95" s="33"/>
      <c r="I95" s="33">
        <f>G95*1</f>
        <v>611.91999999999996</v>
      </c>
    </row>
    <row r="96" spans="1:9" s="86" customFormat="1" ht="30.75" customHeight="1">
      <c r="A96" s="26">
        <v>24</v>
      </c>
      <c r="B96" s="110" t="s">
        <v>210</v>
      </c>
      <c r="C96" s="111" t="s">
        <v>151</v>
      </c>
      <c r="D96" s="201" t="s">
        <v>241</v>
      </c>
      <c r="E96" s="107"/>
      <c r="F96" s="107">
        <v>1</v>
      </c>
      <c r="G96" s="107">
        <v>697.33</v>
      </c>
      <c r="H96" s="33"/>
      <c r="I96" s="26">
        <f>G96*1</f>
        <v>697.33</v>
      </c>
    </row>
    <row r="97" spans="1:9" s="86" customFormat="1" ht="30.75" customHeight="1">
      <c r="A97" s="26">
        <v>25</v>
      </c>
      <c r="B97" s="110" t="s">
        <v>252</v>
      </c>
      <c r="C97" s="111" t="s">
        <v>253</v>
      </c>
      <c r="D97" s="201" t="s">
        <v>254</v>
      </c>
      <c r="E97" s="107"/>
      <c r="F97" s="107">
        <v>1</v>
      </c>
      <c r="G97" s="107">
        <v>64.040000000000006</v>
      </c>
      <c r="H97" s="33"/>
      <c r="I97" s="26">
        <f>G97*1</f>
        <v>64.040000000000006</v>
      </c>
    </row>
    <row r="98" spans="1:9" ht="16.5" customHeight="1">
      <c r="A98" s="26"/>
      <c r="B98" s="37" t="s">
        <v>49</v>
      </c>
      <c r="C98" s="33"/>
      <c r="D98" s="40"/>
      <c r="E98" s="33">
        <v>1</v>
      </c>
      <c r="F98" s="33"/>
      <c r="G98" s="33"/>
      <c r="H98" s="33"/>
      <c r="I98" s="29">
        <f>SUM(I92:I97)</f>
        <v>2816.5018</v>
      </c>
    </row>
    <row r="99" spans="1:9" ht="16.5" customHeight="1">
      <c r="A99" s="26"/>
      <c r="B99" s="39" t="s">
        <v>74</v>
      </c>
      <c r="C99" s="14"/>
      <c r="D99" s="14"/>
      <c r="E99" s="34"/>
      <c r="F99" s="34"/>
      <c r="G99" s="35"/>
      <c r="H99" s="35"/>
      <c r="I99" s="16">
        <v>0</v>
      </c>
    </row>
    <row r="100" spans="1:9" ht="15.75" customHeight="1">
      <c r="A100" s="41"/>
      <c r="B100" s="38" t="s">
        <v>148</v>
      </c>
      <c r="C100" s="30"/>
      <c r="D100" s="30"/>
      <c r="E100" s="30"/>
      <c r="F100" s="30"/>
      <c r="G100" s="30"/>
      <c r="H100" s="30"/>
      <c r="I100" s="36">
        <f>I90+I98</f>
        <v>72902.25192000001</v>
      </c>
    </row>
    <row r="101" spans="1:9" ht="15.75" customHeight="1">
      <c r="A101" s="226" t="s">
        <v>255</v>
      </c>
      <c r="B101" s="226"/>
      <c r="C101" s="226"/>
      <c r="D101" s="226"/>
      <c r="E101" s="226"/>
      <c r="F101" s="226"/>
      <c r="G101" s="226"/>
      <c r="H101" s="226"/>
      <c r="I101" s="226"/>
    </row>
    <row r="102" spans="1:9" ht="15.75" customHeight="1">
      <c r="A102" s="78"/>
      <c r="B102" s="233" t="s">
        <v>256</v>
      </c>
      <c r="C102" s="233"/>
      <c r="D102" s="233"/>
      <c r="E102" s="233"/>
      <c r="F102" s="233"/>
      <c r="G102" s="233"/>
      <c r="H102" s="52"/>
      <c r="I102" s="3"/>
    </row>
    <row r="103" spans="1:9" ht="15.75" customHeight="1">
      <c r="A103" s="96"/>
      <c r="B103" s="234" t="s">
        <v>6</v>
      </c>
      <c r="C103" s="234"/>
      <c r="D103" s="234"/>
      <c r="E103" s="234"/>
      <c r="F103" s="234"/>
      <c r="G103" s="234"/>
      <c r="H103" s="21"/>
      <c r="I103" s="5"/>
    </row>
    <row r="104" spans="1:9" ht="6.75" customHeight="1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5.75" customHeight="1">
      <c r="A105" s="235" t="s">
        <v>7</v>
      </c>
      <c r="B105" s="235"/>
      <c r="C105" s="235"/>
      <c r="D105" s="235"/>
      <c r="E105" s="235"/>
      <c r="F105" s="235"/>
      <c r="G105" s="235"/>
      <c r="H105" s="235"/>
      <c r="I105" s="235"/>
    </row>
    <row r="106" spans="1:9" ht="15.75" customHeight="1">
      <c r="A106" s="235" t="s">
        <v>8</v>
      </c>
      <c r="B106" s="235"/>
      <c r="C106" s="235"/>
      <c r="D106" s="235"/>
      <c r="E106" s="235"/>
      <c r="F106" s="235"/>
      <c r="G106" s="235"/>
      <c r="H106" s="235"/>
      <c r="I106" s="235"/>
    </row>
    <row r="107" spans="1:9" ht="15.75" customHeight="1">
      <c r="A107" s="236" t="s">
        <v>58</v>
      </c>
      <c r="B107" s="236"/>
      <c r="C107" s="236"/>
      <c r="D107" s="236"/>
      <c r="E107" s="236"/>
      <c r="F107" s="236"/>
      <c r="G107" s="236"/>
      <c r="H107" s="236"/>
      <c r="I107" s="236"/>
    </row>
    <row r="108" spans="1:9" ht="15.75" customHeight="1">
      <c r="A108" s="10"/>
    </row>
    <row r="109" spans="1:9" ht="15.75" customHeight="1">
      <c r="A109" s="220" t="s">
        <v>9</v>
      </c>
      <c r="B109" s="220"/>
      <c r="C109" s="220"/>
      <c r="D109" s="220"/>
      <c r="E109" s="220"/>
      <c r="F109" s="220"/>
      <c r="G109" s="220"/>
      <c r="H109" s="220"/>
      <c r="I109" s="220"/>
    </row>
    <row r="110" spans="1:9" ht="8.25" customHeight="1">
      <c r="A110" s="4"/>
    </row>
    <row r="111" spans="1:9" ht="15.75" customHeight="1">
      <c r="B111" s="97" t="s">
        <v>10</v>
      </c>
      <c r="C111" s="238" t="s">
        <v>215</v>
      </c>
      <c r="D111" s="238"/>
      <c r="E111" s="238"/>
      <c r="F111" s="50"/>
      <c r="I111" s="95"/>
    </row>
    <row r="112" spans="1:9" ht="15.75" customHeight="1">
      <c r="A112" s="96"/>
      <c r="C112" s="234" t="s">
        <v>11</v>
      </c>
      <c r="D112" s="234"/>
      <c r="E112" s="234"/>
      <c r="F112" s="21"/>
      <c r="I112" s="94" t="s">
        <v>12</v>
      </c>
    </row>
    <row r="113" spans="1:9" ht="15.75" customHeight="1">
      <c r="A113" s="22"/>
      <c r="C113" s="11"/>
      <c r="D113" s="11"/>
      <c r="G113" s="11"/>
      <c r="H113" s="11"/>
    </row>
    <row r="114" spans="1:9" ht="15.75" customHeight="1">
      <c r="B114" s="97" t="s">
        <v>13</v>
      </c>
      <c r="C114" s="239"/>
      <c r="D114" s="239"/>
      <c r="E114" s="239"/>
      <c r="F114" s="51"/>
      <c r="I114" s="95"/>
    </row>
    <row r="115" spans="1:9" ht="15.75" customHeight="1">
      <c r="A115" s="96"/>
      <c r="C115" s="240" t="s">
        <v>11</v>
      </c>
      <c r="D115" s="240"/>
      <c r="E115" s="240"/>
      <c r="F115" s="96"/>
      <c r="I115" s="94" t="s">
        <v>12</v>
      </c>
    </row>
    <row r="116" spans="1:9" ht="15.75" customHeight="1">
      <c r="A116" s="4" t="s">
        <v>14</v>
      </c>
    </row>
    <row r="117" spans="1:9" ht="15.75" customHeight="1">
      <c r="A117" s="241" t="s">
        <v>15</v>
      </c>
      <c r="B117" s="241"/>
      <c r="C117" s="241"/>
      <c r="D117" s="241"/>
      <c r="E117" s="241"/>
      <c r="F117" s="241"/>
      <c r="G117" s="241"/>
      <c r="H117" s="241"/>
      <c r="I117" s="241"/>
    </row>
    <row r="118" spans="1:9" ht="45" customHeight="1">
      <c r="A118" s="237" t="s">
        <v>16</v>
      </c>
      <c r="B118" s="237"/>
      <c r="C118" s="237"/>
      <c r="D118" s="237"/>
      <c r="E118" s="237"/>
      <c r="F118" s="237"/>
      <c r="G118" s="237"/>
      <c r="H118" s="237"/>
      <c r="I118" s="237"/>
    </row>
    <row r="119" spans="1:9" ht="30" customHeight="1">
      <c r="A119" s="237" t="s">
        <v>17</v>
      </c>
      <c r="B119" s="237"/>
      <c r="C119" s="237"/>
      <c r="D119" s="237"/>
      <c r="E119" s="237"/>
      <c r="F119" s="237"/>
      <c r="G119" s="237"/>
      <c r="H119" s="237"/>
      <c r="I119" s="237"/>
    </row>
    <row r="120" spans="1:9" ht="30" customHeight="1">
      <c r="A120" s="237" t="s">
        <v>21</v>
      </c>
      <c r="B120" s="237"/>
      <c r="C120" s="237"/>
      <c r="D120" s="237"/>
      <c r="E120" s="237"/>
      <c r="F120" s="237"/>
      <c r="G120" s="237"/>
      <c r="H120" s="237"/>
      <c r="I120" s="237"/>
    </row>
    <row r="121" spans="1:9" ht="15" customHeight="1">
      <c r="A121" s="237" t="s">
        <v>20</v>
      </c>
      <c r="B121" s="237"/>
      <c r="C121" s="237"/>
      <c r="D121" s="237"/>
      <c r="E121" s="237"/>
      <c r="F121" s="237"/>
      <c r="G121" s="237"/>
      <c r="H121" s="237"/>
      <c r="I121" s="237"/>
    </row>
  </sheetData>
  <autoFilter ref="I12:I61"/>
  <mergeCells count="29">
    <mergeCell ref="A117:I117"/>
    <mergeCell ref="A118:I118"/>
    <mergeCell ref="A119:I119"/>
    <mergeCell ref="A120:I120"/>
    <mergeCell ref="A121:I121"/>
    <mergeCell ref="R65:U65"/>
    <mergeCell ref="C115:E115"/>
    <mergeCell ref="A91:I91"/>
    <mergeCell ref="A101:I101"/>
    <mergeCell ref="B102:G102"/>
    <mergeCell ref="B103:G103"/>
    <mergeCell ref="A105:I105"/>
    <mergeCell ref="A106:I106"/>
    <mergeCell ref="A107:I107"/>
    <mergeCell ref="A109:I109"/>
    <mergeCell ref="C111:E111"/>
    <mergeCell ref="C112:E112"/>
    <mergeCell ref="C114:E114"/>
    <mergeCell ref="A87:I87"/>
    <mergeCell ref="A3:I3"/>
    <mergeCell ref="A4:I4"/>
    <mergeCell ref="A5:I5"/>
    <mergeCell ref="A8:I8"/>
    <mergeCell ref="A10:I10"/>
    <mergeCell ref="A14:I14"/>
    <mergeCell ref="A15:I15"/>
    <mergeCell ref="A26:I26"/>
    <mergeCell ref="A43:I43"/>
    <mergeCell ref="A54:I54"/>
  </mergeCells>
  <pageMargins left="0.70866141732283472" right="0.23622047244094491" top="0.27559055118110237" bottom="0.27559055118110237" header="0.31496062992125984" footer="0.31496062992125984"/>
  <pageSetup paperSize="9" scale="61" orientation="portrait" r:id="rId1"/>
  <rowBreaks count="1" manualBreakCount="1">
    <brk id="115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8"/>
  <sheetViews>
    <sheetView topLeftCell="A39" workbookViewId="0">
      <selection activeCell="A106" sqref="A106:I106"/>
    </sheetView>
  </sheetViews>
  <sheetFormatPr defaultRowHeight="15"/>
  <cols>
    <col min="2" max="2" width="53.7109375" customWidth="1"/>
    <col min="3" max="3" width="18.140625" customWidth="1"/>
    <col min="4" max="4" width="17.85546875" customWidth="1"/>
    <col min="5" max="6" width="0" hidden="1" customWidth="1"/>
    <col min="7" max="7" width="18" customWidth="1"/>
    <col min="8" max="8" width="0" hidden="1" customWidth="1"/>
    <col min="9" max="9" width="17.140625" customWidth="1"/>
  </cols>
  <sheetData>
    <row r="1" spans="1:9" ht="15.75">
      <c r="A1" s="24" t="s">
        <v>170</v>
      </c>
      <c r="I1" s="23"/>
    </row>
    <row r="2" spans="1:9" ht="15.75">
      <c r="A2" s="25" t="s">
        <v>59</v>
      </c>
    </row>
    <row r="3" spans="1:9" ht="15.75">
      <c r="A3" s="215" t="s">
        <v>174</v>
      </c>
      <c r="B3" s="215"/>
      <c r="C3" s="215"/>
      <c r="D3" s="215"/>
      <c r="E3" s="215"/>
      <c r="F3" s="215"/>
      <c r="G3" s="215"/>
      <c r="H3" s="215"/>
      <c r="I3" s="215"/>
    </row>
    <row r="4" spans="1:9" ht="34.5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9" ht="15.75">
      <c r="A5" s="215" t="s">
        <v>242</v>
      </c>
      <c r="B5" s="217"/>
      <c r="C5" s="217"/>
      <c r="D5" s="217"/>
      <c r="E5" s="217"/>
      <c r="F5" s="217"/>
      <c r="G5" s="217"/>
      <c r="H5" s="217"/>
      <c r="I5" s="217"/>
    </row>
    <row r="6" spans="1:9" ht="15.75">
      <c r="A6" s="2"/>
      <c r="B6" s="101"/>
      <c r="C6" s="101"/>
      <c r="D6" s="101"/>
      <c r="E6" s="101"/>
      <c r="F6" s="101"/>
      <c r="G6" s="101"/>
      <c r="H6" s="101"/>
      <c r="I6" s="27">
        <v>44316</v>
      </c>
    </row>
    <row r="7" spans="1:9" ht="15.75">
      <c r="B7" s="103"/>
      <c r="C7" s="103"/>
      <c r="D7" s="103"/>
      <c r="E7" s="3"/>
      <c r="F7" s="3"/>
      <c r="G7" s="3"/>
      <c r="H7" s="3"/>
    </row>
    <row r="8" spans="1:9" ht="84" customHeight="1">
      <c r="A8" s="218" t="s">
        <v>213</v>
      </c>
      <c r="B8" s="218"/>
      <c r="C8" s="218"/>
      <c r="D8" s="218"/>
      <c r="E8" s="218"/>
      <c r="F8" s="218"/>
      <c r="G8" s="218"/>
      <c r="H8" s="218"/>
      <c r="I8" s="218"/>
    </row>
    <row r="9" spans="1:9" ht="15.75">
      <c r="A9" s="4"/>
    </row>
    <row r="10" spans="1:9" ht="64.5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</row>
    <row r="11" spans="1:9" ht="15.75">
      <c r="A11" s="4"/>
    </row>
    <row r="12" spans="1:9" ht="63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</row>
    <row r="16" spans="1:9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85</v>
      </c>
      <c r="C19" s="54" t="s">
        <v>86</v>
      </c>
      <c r="D19" s="53" t="s">
        <v>87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</row>
    <row r="20" spans="1:9" hidden="1">
      <c r="A20" s="26"/>
      <c r="B20" s="53" t="s">
        <v>88</v>
      </c>
      <c r="C20" s="54" t="s">
        <v>84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/>
      <c r="B21" s="53" t="s">
        <v>89</v>
      </c>
      <c r="C21" s="54" t="s">
        <v>84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/>
      <c r="B22" s="53" t="s">
        <v>90</v>
      </c>
      <c r="C22" s="54" t="s">
        <v>50</v>
      </c>
      <c r="D22" s="53" t="s">
        <v>87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/>
      <c r="B23" s="53" t="s">
        <v>91</v>
      </c>
      <c r="C23" s="54" t="s">
        <v>50</v>
      </c>
      <c r="D23" s="53" t="s">
        <v>87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/>
      <c r="B24" s="53" t="s">
        <v>92</v>
      </c>
      <c r="C24" s="54" t="s">
        <v>50</v>
      </c>
      <c r="D24" s="53" t="s">
        <v>87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</row>
    <row r="25" spans="1:9" hidden="1">
      <c r="A25" s="26">
        <v>4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22" t="s">
        <v>145</v>
      </c>
      <c r="B26" s="223"/>
      <c r="C26" s="223"/>
      <c r="D26" s="223"/>
      <c r="E26" s="223"/>
      <c r="F26" s="223"/>
      <c r="G26" s="223"/>
      <c r="H26" s="223"/>
      <c r="I26" s="224"/>
    </row>
    <row r="27" spans="1:9" hidden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idden="1">
      <c r="A28" s="26"/>
      <c r="B28" s="53" t="s">
        <v>93</v>
      </c>
      <c r="C28" s="54" t="s">
        <v>29</v>
      </c>
      <c r="D28" s="53" t="s">
        <v>127</v>
      </c>
      <c r="E28" s="56">
        <v>355.5</v>
      </c>
      <c r="F28" s="56">
        <f>SUM(E28*48/1000)</f>
        <v>17.064</v>
      </c>
      <c r="G28" s="56">
        <v>204.44</v>
      </c>
      <c r="H28" s="57">
        <f t="shared" ref="H28:H34" si="1">SUM(F28*G28/1000)</f>
        <v>3.4885641599999997</v>
      </c>
      <c r="I28" s="12">
        <f>F28/6*G28</f>
        <v>581.42736000000002</v>
      </c>
    </row>
    <row r="29" spans="1:9" ht="45" hidden="1">
      <c r="A29" s="26"/>
      <c r="B29" s="53" t="s">
        <v>121</v>
      </c>
      <c r="C29" s="54" t="s">
        <v>94</v>
      </c>
      <c r="D29" s="53" t="s">
        <v>128</v>
      </c>
      <c r="E29" s="56">
        <v>111.6</v>
      </c>
      <c r="F29" s="56">
        <f>SUM(E29*48/1000)</f>
        <v>5.3567999999999989</v>
      </c>
      <c r="G29" s="56">
        <v>339.21</v>
      </c>
      <c r="H29" s="57">
        <f t="shared" si="1"/>
        <v>1.8170801279999995</v>
      </c>
      <c r="I29" s="12">
        <f>F29/6*G29</f>
        <v>302.84668799999992</v>
      </c>
    </row>
    <row r="30" spans="1:9" hidden="1">
      <c r="A30" s="26"/>
      <c r="B30" s="53" t="s">
        <v>27</v>
      </c>
      <c r="C30" s="54" t="s">
        <v>94</v>
      </c>
      <c r="D30" s="53" t="s">
        <v>51</v>
      </c>
      <c r="E30" s="56">
        <v>355.5</v>
      </c>
      <c r="F30" s="56">
        <f>SUM(E30/1000)</f>
        <v>0.35549999999999998</v>
      </c>
      <c r="G30" s="56">
        <v>3961.23</v>
      </c>
      <c r="H30" s="57">
        <f t="shared" si="1"/>
        <v>1.408217265</v>
      </c>
      <c r="I30" s="12">
        <f>F30*G30</f>
        <v>1408.217265</v>
      </c>
    </row>
    <row r="31" spans="1:9" hidden="1">
      <c r="A31" s="26"/>
      <c r="B31" s="53" t="s">
        <v>112</v>
      </c>
      <c r="C31" s="54" t="s">
        <v>38</v>
      </c>
      <c r="D31" s="53" t="s">
        <v>129</v>
      </c>
      <c r="E31" s="56">
        <v>6</v>
      </c>
      <c r="F31" s="56">
        <f>SUM(E31*48/100)</f>
        <v>2.88</v>
      </c>
      <c r="G31" s="56">
        <v>1707.63</v>
      </c>
      <c r="H31" s="57">
        <f>G31*F31/1000</f>
        <v>4.9179744000000003</v>
      </c>
      <c r="I31" s="12">
        <f>F31/6*G31</f>
        <v>819.66240000000005</v>
      </c>
    </row>
    <row r="32" spans="1:9" hidden="1">
      <c r="A32" s="26"/>
      <c r="B32" s="53" t="s">
        <v>95</v>
      </c>
      <c r="C32" s="54" t="s">
        <v>30</v>
      </c>
      <c r="D32" s="53" t="s">
        <v>60</v>
      </c>
      <c r="E32" s="60">
        <f>1/3</f>
        <v>0.33333333333333331</v>
      </c>
      <c r="F32" s="56">
        <f>155/3</f>
        <v>51.666666666666664</v>
      </c>
      <c r="G32" s="56">
        <v>74.349999999999994</v>
      </c>
      <c r="H32" s="57">
        <f>SUM(G32*155/3/1000)</f>
        <v>3.8414166666666665</v>
      </c>
      <c r="I32" s="12">
        <f>F32/6*G32</f>
        <v>640.23611111111109</v>
      </c>
    </row>
    <row r="33" spans="1:9" hidden="1">
      <c r="A33" s="26"/>
      <c r="B33" s="53" t="s">
        <v>61</v>
      </c>
      <c r="C33" s="54" t="s">
        <v>32</v>
      </c>
      <c r="D33" s="53" t="s">
        <v>63</v>
      </c>
      <c r="E33" s="55"/>
      <c r="F33" s="56">
        <v>1</v>
      </c>
      <c r="G33" s="56">
        <v>250.92</v>
      </c>
      <c r="H33" s="57">
        <f t="shared" si="1"/>
        <v>0.25091999999999998</v>
      </c>
      <c r="I33" s="12">
        <v>0</v>
      </c>
    </row>
    <row r="34" spans="1:9" hidden="1">
      <c r="A34" s="26"/>
      <c r="B34" s="53" t="s">
        <v>62</v>
      </c>
      <c r="C34" s="54" t="s">
        <v>31</v>
      </c>
      <c r="D34" s="53" t="s">
        <v>63</v>
      </c>
      <c r="E34" s="55"/>
      <c r="F34" s="56">
        <v>1</v>
      </c>
      <c r="G34" s="56">
        <v>1490.33</v>
      </c>
      <c r="H34" s="57">
        <f t="shared" si="1"/>
        <v>1.4903299999999999</v>
      </c>
      <c r="I34" s="12">
        <v>0</v>
      </c>
    </row>
    <row r="35" spans="1:9">
      <c r="A35" s="26"/>
      <c r="B35" s="75" t="s">
        <v>5</v>
      </c>
      <c r="C35" s="54"/>
      <c r="D35" s="53"/>
      <c r="E35" s="55"/>
      <c r="F35" s="56"/>
      <c r="G35" s="56"/>
      <c r="H35" s="57" t="s">
        <v>119</v>
      </c>
      <c r="I35" s="12"/>
    </row>
    <row r="36" spans="1:9" ht="16.5" customHeight="1">
      <c r="A36" s="26">
        <v>4</v>
      </c>
      <c r="B36" s="53" t="s">
        <v>26</v>
      </c>
      <c r="C36" s="54" t="s">
        <v>31</v>
      </c>
      <c r="D36" s="53" t="s">
        <v>243</v>
      </c>
      <c r="E36" s="55"/>
      <c r="F36" s="56">
        <v>3</v>
      </c>
      <c r="G36" s="56">
        <v>2003</v>
      </c>
      <c r="H36" s="57">
        <f t="shared" ref="H36:H42" si="2">SUM(F36*G36/1000)</f>
        <v>6.0090000000000003</v>
      </c>
      <c r="I36" s="12">
        <f>G36*0.5</f>
        <v>1001.5</v>
      </c>
    </row>
    <row r="37" spans="1:9">
      <c r="A37" s="26">
        <v>5</v>
      </c>
      <c r="B37" s="53" t="s">
        <v>131</v>
      </c>
      <c r="C37" s="54" t="s">
        <v>29</v>
      </c>
      <c r="D37" s="53" t="s">
        <v>187</v>
      </c>
      <c r="E37" s="55">
        <v>111.6</v>
      </c>
      <c r="F37" s="56">
        <f>E37*30/1000</f>
        <v>3.3479999999999999</v>
      </c>
      <c r="G37" s="56">
        <v>2757.78</v>
      </c>
      <c r="H37" s="57">
        <f>G37*F37/1000</f>
        <v>9.23304744</v>
      </c>
      <c r="I37" s="12">
        <f t="shared" ref="I37:I42" si="3">F37/6*G37</f>
        <v>1538.84124</v>
      </c>
    </row>
    <row r="38" spans="1:9">
      <c r="A38" s="26">
        <v>6</v>
      </c>
      <c r="B38" s="53" t="s">
        <v>64</v>
      </c>
      <c r="C38" s="54" t="s">
        <v>29</v>
      </c>
      <c r="D38" s="53" t="s">
        <v>188</v>
      </c>
      <c r="E38" s="56">
        <v>111.6</v>
      </c>
      <c r="F38" s="56">
        <f>SUM(E38*155/1000)</f>
        <v>17.297999999999998</v>
      </c>
      <c r="G38" s="56">
        <v>460.02</v>
      </c>
      <c r="H38" s="57">
        <f t="shared" si="2"/>
        <v>7.9574259599999984</v>
      </c>
      <c r="I38" s="12">
        <f t="shared" si="3"/>
        <v>1326.2376599999998</v>
      </c>
    </row>
    <row r="39" spans="1:9" ht="45">
      <c r="A39" s="26">
        <v>7</v>
      </c>
      <c r="B39" s="53" t="s">
        <v>76</v>
      </c>
      <c r="C39" s="54" t="s">
        <v>94</v>
      </c>
      <c r="D39" s="53" t="s">
        <v>187</v>
      </c>
      <c r="E39" s="56">
        <v>111.6</v>
      </c>
      <c r="F39" s="56">
        <f>SUM(E39*30/1000)</f>
        <v>3.3479999999999999</v>
      </c>
      <c r="G39" s="56">
        <v>7611.16</v>
      </c>
      <c r="H39" s="57">
        <f t="shared" si="2"/>
        <v>25.482163679999999</v>
      </c>
      <c r="I39" s="12">
        <f t="shared" si="3"/>
        <v>4247.0272799999993</v>
      </c>
    </row>
    <row r="40" spans="1:9" hidden="1">
      <c r="A40" s="26">
        <v>9</v>
      </c>
      <c r="B40" s="53" t="s">
        <v>98</v>
      </c>
      <c r="C40" s="54" t="s">
        <v>94</v>
      </c>
      <c r="D40" s="53" t="s">
        <v>189</v>
      </c>
      <c r="E40" s="56">
        <v>111.6</v>
      </c>
      <c r="F40" s="56">
        <f>SUM(E40*24/1000)</f>
        <v>2.6783999999999994</v>
      </c>
      <c r="G40" s="56">
        <v>562.25</v>
      </c>
      <c r="H40" s="57">
        <f t="shared" si="2"/>
        <v>1.5059303999999998</v>
      </c>
      <c r="I40" s="12">
        <f>(F40/7.5*1.5)*G40</f>
        <v>301.18607999999995</v>
      </c>
    </row>
    <row r="41" spans="1:9" hidden="1">
      <c r="A41" s="26">
        <v>10</v>
      </c>
      <c r="B41" s="53" t="s">
        <v>65</v>
      </c>
      <c r="C41" s="54" t="s">
        <v>32</v>
      </c>
      <c r="D41" s="53"/>
      <c r="E41" s="55"/>
      <c r="F41" s="56">
        <v>0.6</v>
      </c>
      <c r="G41" s="56">
        <v>974.83</v>
      </c>
      <c r="H41" s="57">
        <f t="shared" si="2"/>
        <v>0.58489800000000003</v>
      </c>
      <c r="I41" s="12">
        <f>(F41/7.5*1.5)*G41</f>
        <v>116.9796</v>
      </c>
    </row>
    <row r="42" spans="1:9" ht="30">
      <c r="A42" s="26">
        <v>8</v>
      </c>
      <c r="B42" s="72" t="s">
        <v>132</v>
      </c>
      <c r="C42" s="73" t="s">
        <v>29</v>
      </c>
      <c r="D42" s="53" t="s">
        <v>190</v>
      </c>
      <c r="E42" s="55">
        <v>1.2</v>
      </c>
      <c r="F42" s="56">
        <f>SUM(E42*12/1000)</f>
        <v>1.4399999999999998E-2</v>
      </c>
      <c r="G42" s="56">
        <v>260.2</v>
      </c>
      <c r="H42" s="57">
        <f t="shared" si="2"/>
        <v>3.7468799999999993E-3</v>
      </c>
      <c r="I42" s="12">
        <f t="shared" si="3"/>
        <v>0.62447999999999992</v>
      </c>
    </row>
    <row r="43" spans="1:9" ht="21" hidden="1" customHeight="1">
      <c r="A43" s="222" t="s">
        <v>146</v>
      </c>
      <c r="B43" s="223"/>
      <c r="C43" s="223"/>
      <c r="D43" s="223"/>
      <c r="E43" s="223"/>
      <c r="F43" s="223"/>
      <c r="G43" s="223"/>
      <c r="H43" s="223"/>
      <c r="I43" s="224"/>
    </row>
    <row r="44" spans="1:9" ht="28.5" hidden="1" customHeight="1">
      <c r="A44" s="26"/>
      <c r="B44" s="53" t="s">
        <v>115</v>
      </c>
      <c r="C44" s="54" t="s">
        <v>94</v>
      </c>
      <c r="D44" s="53" t="s">
        <v>40</v>
      </c>
      <c r="E44" s="55">
        <v>1030.4000000000001</v>
      </c>
      <c r="F44" s="56">
        <f>SUM(E44*2/1000)</f>
        <v>2.0608</v>
      </c>
      <c r="G44" s="12">
        <v>1114.1300000000001</v>
      </c>
      <c r="H44" s="57">
        <f t="shared" ref="H44:H53" si="4">SUM(F44*G44/1000)</f>
        <v>2.2959991039999998</v>
      </c>
      <c r="I44" s="12">
        <f>F44/2*G44</f>
        <v>1147.999552</v>
      </c>
    </row>
    <row r="45" spans="1:9" ht="30" hidden="1" customHeight="1">
      <c r="A45" s="26"/>
      <c r="B45" s="53" t="s">
        <v>33</v>
      </c>
      <c r="C45" s="54" t="s">
        <v>94</v>
      </c>
      <c r="D45" s="53" t="s">
        <v>40</v>
      </c>
      <c r="E45" s="55">
        <v>132</v>
      </c>
      <c r="F45" s="56">
        <f>E45*2/1000</f>
        <v>0.26400000000000001</v>
      </c>
      <c r="G45" s="12">
        <v>4419.05</v>
      </c>
      <c r="H45" s="57">
        <f t="shared" si="4"/>
        <v>1.1666292</v>
      </c>
      <c r="I45" s="12">
        <f>F45/2*G45</f>
        <v>583.31460000000004</v>
      </c>
    </row>
    <row r="46" spans="1:9" ht="28.5" hidden="1" customHeight="1">
      <c r="A46" s="26"/>
      <c r="B46" s="53" t="s">
        <v>34</v>
      </c>
      <c r="C46" s="54" t="s">
        <v>94</v>
      </c>
      <c r="D46" s="53" t="s">
        <v>40</v>
      </c>
      <c r="E46" s="55">
        <v>4248.22</v>
      </c>
      <c r="F46" s="56">
        <f>SUM(E46*2/1000)</f>
        <v>8.4964399999999998</v>
      </c>
      <c r="G46" s="12">
        <v>1803.69</v>
      </c>
      <c r="H46" s="57">
        <f t="shared" si="4"/>
        <v>15.3249438636</v>
      </c>
      <c r="I46" s="12">
        <f>F46/2*G46</f>
        <v>7662.4719317999998</v>
      </c>
    </row>
    <row r="47" spans="1:9" ht="33" hidden="1" customHeight="1">
      <c r="A47" s="26"/>
      <c r="B47" s="53" t="s">
        <v>35</v>
      </c>
      <c r="C47" s="54" t="s">
        <v>94</v>
      </c>
      <c r="D47" s="53" t="s">
        <v>40</v>
      </c>
      <c r="E47" s="55">
        <v>2163.66</v>
      </c>
      <c r="F47" s="56">
        <f>SUM(E47*2/1000)</f>
        <v>4.3273199999999994</v>
      </c>
      <c r="G47" s="12">
        <v>1243.43</v>
      </c>
      <c r="H47" s="57">
        <f t="shared" si="4"/>
        <v>5.3807195075999994</v>
      </c>
      <c r="I47" s="12">
        <f>F47/2*G47</f>
        <v>2690.3597537999999</v>
      </c>
    </row>
    <row r="48" spans="1:9" ht="35.25" hidden="1" customHeight="1">
      <c r="A48" s="26">
        <v>13</v>
      </c>
      <c r="B48" s="53" t="s">
        <v>53</v>
      </c>
      <c r="C48" s="54" t="s">
        <v>94</v>
      </c>
      <c r="D48" s="53" t="s">
        <v>125</v>
      </c>
      <c r="E48" s="55">
        <v>3945</v>
      </c>
      <c r="F48" s="56">
        <f>SUM(E48*5/1000)</f>
        <v>19.725000000000001</v>
      </c>
      <c r="G48" s="12">
        <v>1083.69</v>
      </c>
      <c r="H48" s="57">
        <f t="shared" si="4"/>
        <v>21.37578525</v>
      </c>
      <c r="I48" s="12">
        <f>F48/5*G48</f>
        <v>4275.1570500000007</v>
      </c>
    </row>
    <row r="49" spans="1:9" ht="32.25" hidden="1" customHeight="1">
      <c r="A49" s="26"/>
      <c r="B49" s="53" t="s">
        <v>99</v>
      </c>
      <c r="C49" s="54" t="s">
        <v>94</v>
      </c>
      <c r="D49" s="53" t="s">
        <v>40</v>
      </c>
      <c r="E49" s="55">
        <v>3945</v>
      </c>
      <c r="F49" s="56">
        <f>SUM(E49*2/1000)</f>
        <v>7.89</v>
      </c>
      <c r="G49" s="12">
        <v>1591.6</v>
      </c>
      <c r="H49" s="57">
        <f t="shared" si="4"/>
        <v>12.557723999999999</v>
      </c>
      <c r="I49" s="12">
        <f>F49/2*G49</f>
        <v>6278.8619999999992</v>
      </c>
    </row>
    <row r="50" spans="1:9" ht="36" hidden="1" customHeight="1">
      <c r="A50" s="26"/>
      <c r="B50" s="53" t="s">
        <v>100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4058.32</v>
      </c>
      <c r="H50" s="57">
        <f t="shared" si="4"/>
        <v>2.4349920000000003</v>
      </c>
      <c r="I50" s="12">
        <f>F50/2*G50</f>
        <v>1217.4960000000001</v>
      </c>
    </row>
    <row r="51" spans="1:9" ht="20.2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7412.92</v>
      </c>
      <c r="H51" s="57">
        <f t="shared" si="4"/>
        <v>0.14825839999999998</v>
      </c>
      <c r="I51" s="12">
        <f>F51/2*G51</f>
        <v>74.129199999999997</v>
      </c>
    </row>
    <row r="52" spans="1:9" ht="30" hidden="1" customHeight="1">
      <c r="A52" s="26">
        <v>14</v>
      </c>
      <c r="B52" s="53" t="s">
        <v>114</v>
      </c>
      <c r="C52" s="54" t="s">
        <v>80</v>
      </c>
      <c r="D52" s="53" t="s">
        <v>66</v>
      </c>
      <c r="E52" s="55">
        <v>90</v>
      </c>
      <c r="F52" s="56">
        <f>E52*3</f>
        <v>270</v>
      </c>
      <c r="G52" s="12">
        <v>185.08</v>
      </c>
      <c r="H52" s="57">
        <f t="shared" si="4"/>
        <v>49.971600000000009</v>
      </c>
      <c r="I52" s="12">
        <f>E52*G52</f>
        <v>16657.2</v>
      </c>
    </row>
    <row r="53" spans="1:9" ht="18" hidden="1" customHeight="1">
      <c r="A53" s="26">
        <v>15</v>
      </c>
      <c r="B53" s="53" t="s">
        <v>39</v>
      </c>
      <c r="C53" s="54" t="s">
        <v>80</v>
      </c>
      <c r="D53" s="53" t="s">
        <v>66</v>
      </c>
      <c r="E53" s="55">
        <v>180</v>
      </c>
      <c r="F53" s="56">
        <f>SUM(E53)*3</f>
        <v>540</v>
      </c>
      <c r="G53" s="12">
        <v>86.15</v>
      </c>
      <c r="H53" s="57">
        <f t="shared" si="4"/>
        <v>46.521000000000001</v>
      </c>
      <c r="I53" s="12">
        <f>E53*G53</f>
        <v>15507.000000000002</v>
      </c>
    </row>
    <row r="54" spans="1:9">
      <c r="A54" s="222" t="s">
        <v>149</v>
      </c>
      <c r="B54" s="223"/>
      <c r="C54" s="223"/>
      <c r="D54" s="223"/>
      <c r="E54" s="223"/>
      <c r="F54" s="223"/>
      <c r="G54" s="223"/>
      <c r="H54" s="223"/>
      <c r="I54" s="224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45" hidden="1">
      <c r="A56" s="26">
        <v>13</v>
      </c>
      <c r="B56" s="53" t="s">
        <v>133</v>
      </c>
      <c r="C56" s="54" t="s">
        <v>84</v>
      </c>
      <c r="D56" s="117" t="s">
        <v>153</v>
      </c>
      <c r="E56" s="55">
        <v>30.6</v>
      </c>
      <c r="F56" s="56">
        <f>SUM(E56*6/100)</f>
        <v>1.8360000000000003</v>
      </c>
      <c r="G56" s="12">
        <v>2029.3</v>
      </c>
      <c r="H56" s="57">
        <f>SUM(F56*G56/1000)</f>
        <v>3.7257948000000005</v>
      </c>
      <c r="I56" s="12">
        <f>G56*1.643</f>
        <v>3334.1399000000001</v>
      </c>
    </row>
    <row r="57" spans="1:9" ht="30" hidden="1">
      <c r="A57" s="26">
        <v>14</v>
      </c>
      <c r="B57" s="53" t="s">
        <v>78</v>
      </c>
      <c r="C57" s="54" t="s">
        <v>84</v>
      </c>
      <c r="D57" s="53" t="s">
        <v>79</v>
      </c>
      <c r="E57" s="55">
        <v>39.69</v>
      </c>
      <c r="F57" s="56">
        <f>SUM(E57*12/100)</f>
        <v>4.7627999999999995</v>
      </c>
      <c r="G57" s="12">
        <v>2029.3</v>
      </c>
      <c r="H57" s="57">
        <f>SUM(F57*G57/1000)</f>
        <v>9.6651500399999986</v>
      </c>
      <c r="I57" s="12">
        <f>F57/6*G57</f>
        <v>1610.8583399999998</v>
      </c>
    </row>
    <row r="58" spans="1:9" hidden="1">
      <c r="A58" s="26"/>
      <c r="B58" s="62" t="s">
        <v>116</v>
      </c>
      <c r="C58" s="63" t="s">
        <v>117</v>
      </c>
      <c r="D58" s="62" t="s">
        <v>40</v>
      </c>
      <c r="E58" s="64">
        <v>6</v>
      </c>
      <c r="F58" s="56">
        <f>SUM(E58*2)</f>
        <v>12</v>
      </c>
      <c r="G58" s="12">
        <v>237.1</v>
      </c>
      <c r="H58" s="57">
        <f>SUM(F58*G58/1000)</f>
        <v>2.8451999999999997</v>
      </c>
      <c r="I58" s="12">
        <v>0</v>
      </c>
    </row>
    <row r="59" spans="1:9" hidden="1">
      <c r="A59" s="26">
        <v>12</v>
      </c>
      <c r="B59" s="53" t="s">
        <v>118</v>
      </c>
      <c r="C59" s="54" t="s">
        <v>84</v>
      </c>
      <c r="D59" s="53" t="s">
        <v>191</v>
      </c>
      <c r="E59" s="55">
        <v>18.84</v>
      </c>
      <c r="F59" s="56">
        <f>SUM(E59*6/100)</f>
        <v>1.1303999999999998</v>
      </c>
      <c r="G59" s="12">
        <v>2029.3</v>
      </c>
      <c r="H59" s="57">
        <f>SUM(F59*G59/1000)</f>
        <v>2.2939207199999996</v>
      </c>
      <c r="I59" s="12">
        <f>F59/6*G59</f>
        <v>382.32011999999997</v>
      </c>
    </row>
    <row r="60" spans="1:9" ht="30" hidden="1">
      <c r="A60" s="26"/>
      <c r="B60" s="62" t="s">
        <v>102</v>
      </c>
      <c r="C60" s="63" t="s">
        <v>31</v>
      </c>
      <c r="D60" s="62" t="s">
        <v>130</v>
      </c>
      <c r="E60" s="64"/>
      <c r="F60" s="65">
        <v>3</v>
      </c>
      <c r="G60" s="12">
        <v>1582.05</v>
      </c>
      <c r="H60" s="57">
        <f>SUM(F60*G60/1000)</f>
        <v>4.7461499999999992</v>
      </c>
      <c r="I60" s="12">
        <v>0</v>
      </c>
    </row>
    <row r="61" spans="1:9">
      <c r="A61" s="26"/>
      <c r="B61" s="76" t="s">
        <v>42</v>
      </c>
      <c r="C61" s="63"/>
      <c r="D61" s="62"/>
      <c r="E61" s="64"/>
      <c r="F61" s="65"/>
      <c r="G61" s="12"/>
      <c r="H61" s="66"/>
      <c r="I61" s="12"/>
    </row>
    <row r="62" spans="1:9" hidden="1">
      <c r="A62" s="26"/>
      <c r="B62" s="62" t="s">
        <v>134</v>
      </c>
      <c r="C62" s="63" t="s">
        <v>50</v>
      </c>
      <c r="D62" s="62" t="s">
        <v>51</v>
      </c>
      <c r="E62" s="64">
        <v>203.1</v>
      </c>
      <c r="F62" s="67">
        <f>E62/100</f>
        <v>2.0310000000000001</v>
      </c>
      <c r="G62" s="12">
        <v>1040.8399999999999</v>
      </c>
      <c r="H62" s="66">
        <f>F62*G62/1000</f>
        <v>2.1139460399999996</v>
      </c>
      <c r="I62" s="12">
        <v>0</v>
      </c>
    </row>
    <row r="63" spans="1:9">
      <c r="A63" s="26">
        <v>9</v>
      </c>
      <c r="B63" s="62" t="s">
        <v>81</v>
      </c>
      <c r="C63" s="63" t="s">
        <v>25</v>
      </c>
      <c r="D63" s="62" t="s">
        <v>191</v>
      </c>
      <c r="E63" s="64">
        <v>200</v>
      </c>
      <c r="F63" s="67">
        <f>E63*12</f>
        <v>2400</v>
      </c>
      <c r="G63" s="48">
        <v>1.4</v>
      </c>
      <c r="H63" s="65">
        <f>F63*G63/1000</f>
        <v>3.36</v>
      </c>
      <c r="I63" s="12">
        <f>F63/12*G63</f>
        <v>280</v>
      </c>
    </row>
    <row r="64" spans="1:9" hidden="1">
      <c r="A64" s="26"/>
      <c r="B64" s="76" t="s">
        <v>43</v>
      </c>
      <c r="C64" s="63"/>
      <c r="D64" s="62"/>
      <c r="E64" s="64"/>
      <c r="F64" s="67"/>
      <c r="G64" s="67"/>
      <c r="H64" s="65" t="s">
        <v>119</v>
      </c>
      <c r="I64" s="12"/>
    </row>
    <row r="65" spans="1:9" hidden="1">
      <c r="A65" s="26">
        <v>17</v>
      </c>
      <c r="B65" s="13" t="s">
        <v>44</v>
      </c>
      <c r="C65" s="15" t="s">
        <v>80</v>
      </c>
      <c r="D65" s="13" t="s">
        <v>63</v>
      </c>
      <c r="E65" s="17">
        <v>7</v>
      </c>
      <c r="F65" s="67">
        <f>E65</f>
        <v>7</v>
      </c>
      <c r="G65" s="12">
        <v>291.68</v>
      </c>
      <c r="H65" s="68">
        <f t="shared" ref="H65:H83" si="5">SUM(F65*G65/1000)</f>
        <v>2.04176</v>
      </c>
      <c r="I65" s="12">
        <f>G65*9</f>
        <v>2625.12</v>
      </c>
    </row>
    <row r="66" spans="1:9" hidden="1">
      <c r="A66" s="26"/>
      <c r="B66" s="13" t="s">
        <v>45</v>
      </c>
      <c r="C66" s="15" t="s">
        <v>80</v>
      </c>
      <c r="D66" s="13" t="s">
        <v>63</v>
      </c>
      <c r="E66" s="17">
        <v>3</v>
      </c>
      <c r="F66" s="67">
        <f>E66</f>
        <v>3</v>
      </c>
      <c r="G66" s="12">
        <v>100.01</v>
      </c>
      <c r="H66" s="68">
        <f t="shared" si="5"/>
        <v>0.30003000000000002</v>
      </c>
      <c r="I66" s="12">
        <v>0</v>
      </c>
    </row>
    <row r="67" spans="1:9" hidden="1">
      <c r="A67" s="26"/>
      <c r="B67" s="13" t="s">
        <v>46</v>
      </c>
      <c r="C67" s="15" t="s">
        <v>103</v>
      </c>
      <c r="D67" s="13" t="s">
        <v>51</v>
      </c>
      <c r="E67" s="55">
        <v>14205</v>
      </c>
      <c r="F67" s="12">
        <f>SUM(E67/100)</f>
        <v>142.05000000000001</v>
      </c>
      <c r="G67" s="12">
        <v>278.24</v>
      </c>
      <c r="H67" s="68">
        <f t="shared" si="5"/>
        <v>39.523992000000007</v>
      </c>
      <c r="I67" s="12">
        <f t="shared" ref="I67:I72" si="6">F67*G67</f>
        <v>39523.992000000006</v>
      </c>
    </row>
    <row r="68" spans="1:9" hidden="1">
      <c r="A68" s="26"/>
      <c r="B68" s="13" t="s">
        <v>47</v>
      </c>
      <c r="C68" s="15" t="s">
        <v>104</v>
      </c>
      <c r="D68" s="13"/>
      <c r="E68" s="55">
        <v>14205</v>
      </c>
      <c r="F68" s="12">
        <f>SUM(E68/1000)</f>
        <v>14.205</v>
      </c>
      <c r="G68" s="12">
        <v>216.68</v>
      </c>
      <c r="H68" s="68">
        <f t="shared" si="5"/>
        <v>3.0779394</v>
      </c>
      <c r="I68" s="12">
        <f t="shared" si="6"/>
        <v>3077.9394000000002</v>
      </c>
    </row>
    <row r="69" spans="1:9" hidden="1">
      <c r="A69" s="26"/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2">
        <v>2720.94</v>
      </c>
      <c r="H69" s="68">
        <f t="shared" si="5"/>
        <v>57.983231399999994</v>
      </c>
      <c r="I69" s="12">
        <f t="shared" si="6"/>
        <v>57983.231399999997</v>
      </c>
    </row>
    <row r="70" spans="1:9" hidden="1">
      <c r="A70" s="26"/>
      <c r="B70" s="69" t="s">
        <v>105</v>
      </c>
      <c r="C70" s="15" t="s">
        <v>32</v>
      </c>
      <c r="D70" s="13"/>
      <c r="E70" s="55">
        <v>7</v>
      </c>
      <c r="F70" s="12">
        <f>SUM(E70)</f>
        <v>7</v>
      </c>
      <c r="G70" s="12">
        <v>44.31</v>
      </c>
      <c r="H70" s="68">
        <f t="shared" si="5"/>
        <v>0.31017</v>
      </c>
      <c r="I70" s="12">
        <f t="shared" si="6"/>
        <v>310.17</v>
      </c>
    </row>
    <row r="71" spans="1:9" hidden="1">
      <c r="A71" s="26"/>
      <c r="B71" s="69" t="s">
        <v>106</v>
      </c>
      <c r="C71" s="15" t="s">
        <v>32</v>
      </c>
      <c r="D71" s="13"/>
      <c r="E71" s="55">
        <v>7</v>
      </c>
      <c r="F71" s="12">
        <f>SUM(E71)</f>
        <v>7</v>
      </c>
      <c r="G71" s="12">
        <v>47.79</v>
      </c>
      <c r="H71" s="68">
        <f t="shared" si="5"/>
        <v>0.33452999999999999</v>
      </c>
      <c r="I71" s="12">
        <f t="shared" si="6"/>
        <v>334.53</v>
      </c>
    </row>
    <row r="72" spans="1:9" hidden="1">
      <c r="A72" s="26"/>
      <c r="B72" s="13" t="s">
        <v>54</v>
      </c>
      <c r="C72" s="15" t="s">
        <v>55</v>
      </c>
      <c r="D72" s="13" t="s">
        <v>51</v>
      </c>
      <c r="E72" s="17">
        <v>6</v>
      </c>
      <c r="F72" s="12">
        <f>SUM(E72)</f>
        <v>6</v>
      </c>
      <c r="G72" s="12">
        <v>65.42</v>
      </c>
      <c r="H72" s="68">
        <f t="shared" si="5"/>
        <v>0.39251999999999998</v>
      </c>
      <c r="I72" s="12">
        <f t="shared" si="6"/>
        <v>392.52</v>
      </c>
    </row>
    <row r="73" spans="1:9">
      <c r="A73" s="26"/>
      <c r="B73" s="100" t="s">
        <v>135</v>
      </c>
      <c r="C73" s="15"/>
      <c r="D73" s="13"/>
      <c r="E73" s="17"/>
      <c r="F73" s="48"/>
      <c r="G73" s="12"/>
      <c r="H73" s="68"/>
      <c r="I73" s="12"/>
    </row>
    <row r="74" spans="1:9" ht="30">
      <c r="A74" s="26">
        <v>10</v>
      </c>
      <c r="B74" s="13" t="s">
        <v>136</v>
      </c>
      <c r="C74" s="26" t="s">
        <v>137</v>
      </c>
      <c r="D74" s="13"/>
      <c r="E74" s="17">
        <v>3945</v>
      </c>
      <c r="F74" s="56">
        <f>SUM(E74)*12</f>
        <v>47340</v>
      </c>
      <c r="G74" s="12">
        <v>2.2799999999999998</v>
      </c>
      <c r="H74" s="68">
        <f>SUM(F74*G74/1000)</f>
        <v>107.93519999999999</v>
      </c>
      <c r="I74" s="12">
        <f>F74/12*G74</f>
        <v>8994.5999999999985</v>
      </c>
    </row>
    <row r="75" spans="1:9" ht="30">
      <c r="A75" s="26">
        <v>11</v>
      </c>
      <c r="B75" s="72" t="s">
        <v>138</v>
      </c>
      <c r="C75" s="73" t="s">
        <v>80</v>
      </c>
      <c r="D75" s="13" t="s">
        <v>191</v>
      </c>
      <c r="E75" s="17">
        <v>1</v>
      </c>
      <c r="F75" s="56">
        <f>SUM(E75)*12</f>
        <v>12</v>
      </c>
      <c r="G75" s="12">
        <v>50.68</v>
      </c>
      <c r="H75" s="68">
        <f>SUM(F75*G75/1000)</f>
        <v>0.60815999999999992</v>
      </c>
      <c r="I75" s="12">
        <f>F75/12*G75</f>
        <v>50.68</v>
      </c>
    </row>
    <row r="76" spans="1:9" hidden="1">
      <c r="A76" s="26"/>
      <c r="B76" s="100" t="s">
        <v>67</v>
      </c>
      <c r="C76" s="15"/>
      <c r="D76" s="13"/>
      <c r="E76" s="17"/>
      <c r="F76" s="12"/>
      <c r="G76" s="12"/>
      <c r="H76" s="68" t="s">
        <v>119</v>
      </c>
      <c r="I76" s="12"/>
    </row>
    <row r="77" spans="1:9" ht="30" hidden="1">
      <c r="A77" s="26"/>
      <c r="B77" s="13" t="s">
        <v>139</v>
      </c>
      <c r="C77" s="15" t="s">
        <v>30</v>
      </c>
      <c r="D77" s="13" t="s">
        <v>147</v>
      </c>
      <c r="E77" s="17">
        <v>2</v>
      </c>
      <c r="F77" s="56">
        <f>E77</f>
        <v>2</v>
      </c>
      <c r="G77" s="12">
        <v>1029.1199999999999</v>
      </c>
      <c r="H77" s="68">
        <f>G77*F77/1000</f>
        <v>2.0582399999999996</v>
      </c>
      <c r="I77" s="12">
        <v>0</v>
      </c>
    </row>
    <row r="78" spans="1:9" ht="30" hidden="1">
      <c r="A78" s="26"/>
      <c r="B78" s="13" t="s">
        <v>140</v>
      </c>
      <c r="C78" s="15" t="s">
        <v>141</v>
      </c>
      <c r="D78" s="13" t="s">
        <v>147</v>
      </c>
      <c r="E78" s="17">
        <v>1</v>
      </c>
      <c r="F78" s="12">
        <v>1</v>
      </c>
      <c r="G78" s="12">
        <v>735</v>
      </c>
      <c r="H78" s="68">
        <f>SUM(F78*G78/1000)</f>
        <v>0.73499999999999999</v>
      </c>
      <c r="I78" s="12">
        <v>0</v>
      </c>
    </row>
    <row r="79" spans="1:9" ht="30" hidden="1">
      <c r="A79" s="77"/>
      <c r="B79" s="13" t="s">
        <v>68</v>
      </c>
      <c r="C79" s="15" t="s">
        <v>70</v>
      </c>
      <c r="D79" s="13" t="s">
        <v>147</v>
      </c>
      <c r="E79" s="17">
        <v>3</v>
      </c>
      <c r="F79" s="12">
        <f>E79/10</f>
        <v>0.3</v>
      </c>
      <c r="G79" s="12">
        <v>657.87</v>
      </c>
      <c r="H79" s="68">
        <f>SUM(F79*G79/1000)</f>
        <v>0.19736099999999998</v>
      </c>
      <c r="I79" s="12">
        <v>0</v>
      </c>
    </row>
    <row r="80" spans="1:9" ht="30" hidden="1">
      <c r="A80" s="77">
        <v>20</v>
      </c>
      <c r="B80" s="13" t="s">
        <v>69</v>
      </c>
      <c r="C80" s="15" t="s">
        <v>30</v>
      </c>
      <c r="D80" s="13" t="s">
        <v>147</v>
      </c>
      <c r="E80" s="17">
        <v>1</v>
      </c>
      <c r="F80" s="48">
        <v>1</v>
      </c>
      <c r="G80" s="12">
        <v>1118.72</v>
      </c>
      <c r="H80" s="68">
        <f>SUM(F80*G80/1000)</f>
        <v>1.1187199999999999</v>
      </c>
      <c r="I80" s="12">
        <f>G80*(2+4)</f>
        <v>6712.32</v>
      </c>
    </row>
    <row r="81" spans="1:9" ht="30" hidden="1">
      <c r="A81" s="77"/>
      <c r="B81" s="72" t="s">
        <v>142</v>
      </c>
      <c r="C81" s="73" t="s">
        <v>80</v>
      </c>
      <c r="D81" s="13" t="s">
        <v>147</v>
      </c>
      <c r="E81" s="17">
        <v>1</v>
      </c>
      <c r="F81" s="56">
        <f>E81</f>
        <v>1</v>
      </c>
      <c r="G81" s="12">
        <v>1605.83</v>
      </c>
      <c r="H81" s="68">
        <f>SUM(F81*G81/1000)</f>
        <v>1.6058299999999999</v>
      </c>
      <c r="I81" s="12">
        <v>0</v>
      </c>
    </row>
    <row r="82" spans="1:9" hidden="1">
      <c r="A82" s="77"/>
      <c r="B82" s="70" t="s">
        <v>71</v>
      </c>
      <c r="C82" s="15"/>
      <c r="D82" s="13"/>
      <c r="E82" s="17"/>
      <c r="F82" s="12"/>
      <c r="G82" s="12" t="s">
        <v>119</v>
      </c>
      <c r="H82" s="68" t="s">
        <v>119</v>
      </c>
      <c r="I82" s="12"/>
    </row>
    <row r="83" spans="1:9" hidden="1">
      <c r="A83" s="77">
        <v>22</v>
      </c>
      <c r="B83" s="39" t="s">
        <v>109</v>
      </c>
      <c r="C83" s="15" t="s">
        <v>72</v>
      </c>
      <c r="D83" s="13"/>
      <c r="E83" s="17"/>
      <c r="F83" s="12">
        <v>0.6</v>
      </c>
      <c r="G83" s="12">
        <v>3619.09</v>
      </c>
      <c r="H83" s="68">
        <f t="shared" si="5"/>
        <v>2.1714540000000002</v>
      </c>
      <c r="I83" s="12">
        <f>G83*0.06</f>
        <v>217.1454</v>
      </c>
    </row>
    <row r="84" spans="1:9" ht="28.5" hidden="1">
      <c r="A84" s="77"/>
      <c r="B84" s="100" t="s">
        <v>107</v>
      </c>
      <c r="C84" s="70"/>
      <c r="D84" s="28"/>
      <c r="E84" s="29"/>
      <c r="F84" s="59"/>
      <c r="G84" s="59"/>
      <c r="H84" s="71">
        <f>SUM(H56:H83)</f>
        <v>249.14429940000002</v>
      </c>
      <c r="I84" s="59"/>
    </row>
    <row r="85" spans="1:9" hidden="1">
      <c r="A85" s="77"/>
      <c r="B85" s="53" t="s">
        <v>108</v>
      </c>
      <c r="C85" s="15"/>
      <c r="D85" s="13"/>
      <c r="E85" s="49"/>
      <c r="F85" s="12">
        <v>1</v>
      </c>
      <c r="G85" s="12">
        <v>32126.400000000001</v>
      </c>
      <c r="H85" s="68">
        <f>G85*F85/1000</f>
        <v>32.126400000000004</v>
      </c>
      <c r="I85" s="12">
        <v>0</v>
      </c>
    </row>
    <row r="86" spans="1:9" hidden="1">
      <c r="A86" s="77"/>
      <c r="B86" s="53" t="s">
        <v>143</v>
      </c>
      <c r="C86" s="15"/>
      <c r="D86" s="13" t="s">
        <v>144</v>
      </c>
      <c r="E86" s="13"/>
      <c r="F86" s="12">
        <v>90</v>
      </c>
      <c r="G86" s="12">
        <v>700</v>
      </c>
      <c r="H86" s="68">
        <f>G86*F86/1000</f>
        <v>63</v>
      </c>
      <c r="I86" s="12">
        <v>0</v>
      </c>
    </row>
    <row r="87" spans="1:9">
      <c r="A87" s="230" t="s">
        <v>150</v>
      </c>
      <c r="B87" s="231"/>
      <c r="C87" s="231"/>
      <c r="D87" s="231"/>
      <c r="E87" s="231"/>
      <c r="F87" s="231"/>
      <c r="G87" s="231"/>
      <c r="H87" s="231"/>
      <c r="I87" s="232"/>
    </row>
    <row r="88" spans="1:9">
      <c r="A88" s="77">
        <v>12</v>
      </c>
      <c r="B88" s="53" t="s">
        <v>110</v>
      </c>
      <c r="C88" s="15" t="s">
        <v>52</v>
      </c>
      <c r="D88" s="93"/>
      <c r="E88" s="12">
        <v>3945</v>
      </c>
      <c r="F88" s="12">
        <f>SUM(E88*12)</f>
        <v>47340</v>
      </c>
      <c r="G88" s="12">
        <v>3.1</v>
      </c>
      <c r="H88" s="68">
        <f>SUM(F88*G88/1000)</f>
        <v>146.75399999999999</v>
      </c>
      <c r="I88" s="12">
        <f>F88/12*G88</f>
        <v>12229.5</v>
      </c>
    </row>
    <row r="89" spans="1:9" ht="30">
      <c r="A89" s="26">
        <v>13</v>
      </c>
      <c r="B89" s="13" t="s">
        <v>73</v>
      </c>
      <c r="C89" s="15"/>
      <c r="D89" s="93"/>
      <c r="E89" s="55">
        <f>E88</f>
        <v>3945</v>
      </c>
      <c r="F89" s="12">
        <f>E89*12</f>
        <v>47340</v>
      </c>
      <c r="G89" s="12">
        <v>3.5</v>
      </c>
      <c r="H89" s="68">
        <f>F89*G89/1000</f>
        <v>165.69</v>
      </c>
      <c r="I89" s="12">
        <f>F89/12*G89</f>
        <v>13807.5</v>
      </c>
    </row>
    <row r="90" spans="1:9">
      <c r="A90" s="26"/>
      <c r="B90" s="31" t="s">
        <v>75</v>
      </c>
      <c r="C90" s="32"/>
      <c r="D90" s="14"/>
      <c r="E90" s="14"/>
      <c r="F90" s="17"/>
      <c r="G90" s="30"/>
      <c r="H90" s="71">
        <f>H89</f>
        <v>165.69</v>
      </c>
      <c r="I90" s="29">
        <f>I89+I88+I75+I74+I63+I42+I39+I38+I37+I36+I18+I17+I16</f>
        <v>60184.574340000006</v>
      </c>
    </row>
    <row r="91" spans="1:9">
      <c r="A91" s="227" t="s">
        <v>57</v>
      </c>
      <c r="B91" s="228"/>
      <c r="C91" s="228"/>
      <c r="D91" s="228"/>
      <c r="E91" s="228"/>
      <c r="F91" s="228"/>
      <c r="G91" s="228"/>
      <c r="H91" s="228"/>
      <c r="I91" s="229"/>
    </row>
    <row r="92" spans="1:9">
      <c r="A92" s="26">
        <v>14</v>
      </c>
      <c r="B92" s="110" t="s">
        <v>244</v>
      </c>
      <c r="C92" s="111" t="s">
        <v>80</v>
      </c>
      <c r="D92" s="201" t="s">
        <v>249</v>
      </c>
      <c r="E92" s="107"/>
      <c r="F92" s="107">
        <v>1</v>
      </c>
      <c r="G92" s="107">
        <v>218.81</v>
      </c>
      <c r="H92" s="108"/>
      <c r="I92" s="74">
        <v>0</v>
      </c>
    </row>
    <row r="93" spans="1:9">
      <c r="A93" s="26">
        <v>15</v>
      </c>
      <c r="B93" s="110" t="s">
        <v>245</v>
      </c>
      <c r="C93" s="111" t="s">
        <v>80</v>
      </c>
      <c r="D93" s="201" t="s">
        <v>249</v>
      </c>
      <c r="E93" s="107"/>
      <c r="F93" s="107">
        <v>1</v>
      </c>
      <c r="G93" s="107">
        <v>101.85</v>
      </c>
      <c r="H93" s="108"/>
      <c r="I93" s="74">
        <v>0</v>
      </c>
    </row>
    <row r="94" spans="1:9">
      <c r="A94" s="26">
        <v>16</v>
      </c>
      <c r="B94" s="110" t="s">
        <v>246</v>
      </c>
      <c r="C94" s="111" t="s">
        <v>247</v>
      </c>
      <c r="D94" s="201" t="s">
        <v>248</v>
      </c>
      <c r="E94" s="107"/>
      <c r="F94" s="107">
        <v>0.5</v>
      </c>
      <c r="G94" s="107">
        <v>672.88</v>
      </c>
      <c r="H94" s="108"/>
      <c r="I94" s="74">
        <f>G94*0.5</f>
        <v>336.44</v>
      </c>
    </row>
    <row r="95" spans="1:9">
      <c r="A95" s="26"/>
      <c r="B95" s="37" t="s">
        <v>49</v>
      </c>
      <c r="C95" s="33"/>
      <c r="D95" s="40"/>
      <c r="E95" s="33">
        <v>1</v>
      </c>
      <c r="F95" s="33"/>
      <c r="G95" s="33"/>
      <c r="H95" s="33"/>
      <c r="I95" s="29">
        <f>SUM(I92:I94)</f>
        <v>336.44</v>
      </c>
    </row>
    <row r="96" spans="1:9">
      <c r="A96" s="26"/>
      <c r="B96" s="39" t="s">
        <v>74</v>
      </c>
      <c r="C96" s="14"/>
      <c r="D96" s="14"/>
      <c r="E96" s="34"/>
      <c r="F96" s="34"/>
      <c r="G96" s="35"/>
      <c r="H96" s="35"/>
      <c r="I96" s="16">
        <v>0</v>
      </c>
    </row>
    <row r="97" spans="1:9">
      <c r="A97" s="41"/>
      <c r="B97" s="38" t="s">
        <v>148</v>
      </c>
      <c r="C97" s="30"/>
      <c r="D97" s="30"/>
      <c r="E97" s="30"/>
      <c r="F97" s="30"/>
      <c r="G97" s="30"/>
      <c r="H97" s="30"/>
      <c r="I97" s="36">
        <f>I90+I95</f>
        <v>60521.014340000009</v>
      </c>
    </row>
    <row r="98" spans="1:9" ht="15.75">
      <c r="A98" s="226" t="s">
        <v>250</v>
      </c>
      <c r="B98" s="226"/>
      <c r="C98" s="226"/>
      <c r="D98" s="226"/>
      <c r="E98" s="226"/>
      <c r="F98" s="226"/>
      <c r="G98" s="226"/>
      <c r="H98" s="226"/>
      <c r="I98" s="226"/>
    </row>
    <row r="99" spans="1:9" ht="15.75">
      <c r="A99" s="78"/>
      <c r="B99" s="233" t="s">
        <v>251</v>
      </c>
      <c r="C99" s="233"/>
      <c r="D99" s="233"/>
      <c r="E99" s="233"/>
      <c r="F99" s="233"/>
      <c r="G99" s="233"/>
      <c r="H99" s="52"/>
      <c r="I99" s="3"/>
    </row>
    <row r="100" spans="1:9">
      <c r="A100" s="105"/>
      <c r="B100" s="234" t="s">
        <v>6</v>
      </c>
      <c r="C100" s="234"/>
      <c r="D100" s="234"/>
      <c r="E100" s="234"/>
      <c r="F100" s="234"/>
      <c r="G100" s="234"/>
      <c r="H100" s="21"/>
      <c r="I100" s="5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>
      <c r="A102" s="235" t="s">
        <v>7</v>
      </c>
      <c r="B102" s="235"/>
      <c r="C102" s="235"/>
      <c r="D102" s="235"/>
      <c r="E102" s="235"/>
      <c r="F102" s="235"/>
      <c r="G102" s="235"/>
      <c r="H102" s="235"/>
      <c r="I102" s="235"/>
    </row>
    <row r="103" spans="1:9" ht="15.75">
      <c r="A103" s="235" t="s">
        <v>8</v>
      </c>
      <c r="B103" s="235"/>
      <c r="C103" s="235"/>
      <c r="D103" s="235"/>
      <c r="E103" s="235"/>
      <c r="F103" s="235"/>
      <c r="G103" s="235"/>
      <c r="H103" s="235"/>
      <c r="I103" s="235"/>
    </row>
    <row r="104" spans="1:9" ht="15.75">
      <c r="A104" s="236" t="s">
        <v>58</v>
      </c>
      <c r="B104" s="236"/>
      <c r="C104" s="236"/>
      <c r="D104" s="236"/>
      <c r="E104" s="236"/>
      <c r="F104" s="236"/>
      <c r="G104" s="236"/>
      <c r="H104" s="236"/>
      <c r="I104" s="236"/>
    </row>
    <row r="105" spans="1:9" ht="15.75">
      <c r="A105" s="10"/>
    </row>
    <row r="106" spans="1:9" ht="15.75">
      <c r="A106" s="220" t="s">
        <v>9</v>
      </c>
      <c r="B106" s="220"/>
      <c r="C106" s="220"/>
      <c r="D106" s="220"/>
      <c r="E106" s="220"/>
      <c r="F106" s="220"/>
      <c r="G106" s="220"/>
      <c r="H106" s="220"/>
      <c r="I106" s="220"/>
    </row>
    <row r="107" spans="1:9" ht="15.75">
      <c r="A107" s="4"/>
    </row>
    <row r="108" spans="1:9" ht="15.75">
      <c r="B108" s="103" t="s">
        <v>10</v>
      </c>
      <c r="C108" s="238" t="s">
        <v>215</v>
      </c>
      <c r="D108" s="238"/>
      <c r="E108" s="238"/>
      <c r="F108" s="50"/>
      <c r="I108" s="104"/>
    </row>
    <row r="109" spans="1:9">
      <c r="A109" s="105"/>
      <c r="C109" s="234" t="s">
        <v>11</v>
      </c>
      <c r="D109" s="234"/>
      <c r="E109" s="234"/>
      <c r="F109" s="21"/>
      <c r="I109" s="102" t="s">
        <v>12</v>
      </c>
    </row>
    <row r="110" spans="1:9" ht="15.75">
      <c r="A110" s="22"/>
      <c r="C110" s="11"/>
      <c r="D110" s="11"/>
      <c r="G110" s="11"/>
      <c r="H110" s="11"/>
    </row>
    <row r="111" spans="1:9" ht="15.75">
      <c r="B111" s="103" t="s">
        <v>13</v>
      </c>
      <c r="C111" s="239"/>
      <c r="D111" s="239"/>
      <c r="E111" s="239"/>
      <c r="F111" s="51"/>
      <c r="I111" s="104"/>
    </row>
    <row r="112" spans="1:9">
      <c r="A112" s="105"/>
      <c r="C112" s="240" t="s">
        <v>11</v>
      </c>
      <c r="D112" s="240"/>
      <c r="E112" s="240"/>
      <c r="F112" s="105"/>
      <c r="I112" s="102" t="s">
        <v>12</v>
      </c>
    </row>
    <row r="113" spans="1:9" ht="15.75">
      <c r="A113" s="4" t="s">
        <v>14</v>
      </c>
    </row>
    <row r="114" spans="1:9">
      <c r="A114" s="241" t="s">
        <v>15</v>
      </c>
      <c r="B114" s="241"/>
      <c r="C114" s="241"/>
      <c r="D114" s="241"/>
      <c r="E114" s="241"/>
      <c r="F114" s="241"/>
      <c r="G114" s="241"/>
      <c r="H114" s="241"/>
      <c r="I114" s="241"/>
    </row>
    <row r="115" spans="1:9" ht="44.25" customHeight="1">
      <c r="A115" s="237" t="s">
        <v>16</v>
      </c>
      <c r="B115" s="237"/>
      <c r="C115" s="237"/>
      <c r="D115" s="237"/>
      <c r="E115" s="237"/>
      <c r="F115" s="237"/>
      <c r="G115" s="237"/>
      <c r="H115" s="237"/>
      <c r="I115" s="237"/>
    </row>
    <row r="116" spans="1:9" ht="33.75" customHeight="1">
      <c r="A116" s="237" t="s">
        <v>17</v>
      </c>
      <c r="B116" s="237"/>
      <c r="C116" s="237"/>
      <c r="D116" s="237"/>
      <c r="E116" s="237"/>
      <c r="F116" s="237"/>
      <c r="G116" s="237"/>
      <c r="H116" s="237"/>
      <c r="I116" s="237"/>
    </row>
    <row r="117" spans="1:9" ht="30.75" customHeight="1">
      <c r="A117" s="237" t="s">
        <v>21</v>
      </c>
      <c r="B117" s="237"/>
      <c r="C117" s="237"/>
      <c r="D117" s="237"/>
      <c r="E117" s="237"/>
      <c r="F117" s="237"/>
      <c r="G117" s="237"/>
      <c r="H117" s="237"/>
      <c r="I117" s="237"/>
    </row>
    <row r="118" spans="1:9" ht="15.75">
      <c r="A118" s="237" t="s">
        <v>20</v>
      </c>
      <c r="B118" s="237"/>
      <c r="C118" s="237"/>
      <c r="D118" s="237"/>
      <c r="E118" s="237"/>
      <c r="F118" s="237"/>
      <c r="G118" s="237"/>
      <c r="H118" s="237"/>
      <c r="I118" s="237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6:I26"/>
    <mergeCell ref="A43:I43"/>
    <mergeCell ref="A54:I54"/>
    <mergeCell ref="A87:I87"/>
    <mergeCell ref="A91:I91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8"/>
  <sheetViews>
    <sheetView topLeftCell="A83" workbookViewId="0">
      <selection activeCell="G109" sqref="G109"/>
    </sheetView>
  </sheetViews>
  <sheetFormatPr defaultRowHeight="15"/>
  <cols>
    <col min="1" max="1" width="12.140625" customWidth="1"/>
    <col min="2" max="2" width="51" customWidth="1"/>
    <col min="3" max="3" width="18.28515625" customWidth="1"/>
    <col min="4" max="4" width="18.42578125" customWidth="1"/>
    <col min="5" max="5" width="0" hidden="1" customWidth="1"/>
    <col min="6" max="6" width="8" hidden="1" customWidth="1"/>
    <col min="7" max="7" width="18.28515625" customWidth="1"/>
    <col min="8" max="8" width="0" hidden="1" customWidth="1"/>
    <col min="9" max="9" width="19" customWidth="1"/>
  </cols>
  <sheetData>
    <row r="1" spans="1:9" ht="15.75">
      <c r="A1" s="24" t="s">
        <v>170</v>
      </c>
      <c r="I1" s="23"/>
    </row>
    <row r="2" spans="1:9" ht="15.75">
      <c r="A2" s="25" t="s">
        <v>59</v>
      </c>
    </row>
    <row r="3" spans="1:9" ht="15.75">
      <c r="A3" s="215" t="s">
        <v>154</v>
      </c>
      <c r="B3" s="215"/>
      <c r="C3" s="215"/>
      <c r="D3" s="215"/>
      <c r="E3" s="215"/>
      <c r="F3" s="215"/>
      <c r="G3" s="215"/>
      <c r="H3" s="215"/>
      <c r="I3" s="215"/>
    </row>
    <row r="4" spans="1:9" ht="32.25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9" ht="15.75">
      <c r="A5" s="215" t="s">
        <v>257</v>
      </c>
      <c r="B5" s="217"/>
      <c r="C5" s="217"/>
      <c r="D5" s="217"/>
      <c r="E5" s="217"/>
      <c r="F5" s="217"/>
      <c r="G5" s="217"/>
      <c r="H5" s="217"/>
      <c r="I5" s="217"/>
    </row>
    <row r="6" spans="1:9" ht="15.75">
      <c r="A6" s="2"/>
      <c r="B6" s="112"/>
      <c r="C6" s="112"/>
      <c r="D6" s="112"/>
      <c r="E6" s="112"/>
      <c r="F6" s="112"/>
      <c r="G6" s="112"/>
      <c r="H6" s="112"/>
      <c r="I6" s="27">
        <v>44347</v>
      </c>
    </row>
    <row r="7" spans="1:9" ht="15.75">
      <c r="B7" s="114"/>
      <c r="C7" s="114"/>
      <c r="D7" s="114"/>
      <c r="E7" s="3"/>
      <c r="F7" s="3"/>
      <c r="G7" s="3"/>
      <c r="H7" s="3"/>
    </row>
    <row r="8" spans="1:9" ht="81.75" customHeight="1">
      <c r="A8" s="218" t="s">
        <v>213</v>
      </c>
      <c r="B8" s="218"/>
      <c r="C8" s="218"/>
      <c r="D8" s="218"/>
      <c r="E8" s="218"/>
      <c r="F8" s="218"/>
      <c r="G8" s="218"/>
      <c r="H8" s="218"/>
      <c r="I8" s="218"/>
    </row>
    <row r="9" spans="1:9" ht="15.75">
      <c r="A9" s="4"/>
    </row>
    <row r="10" spans="1:9" ht="66.75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</row>
    <row r="11" spans="1:9" ht="15.75">
      <c r="A11" s="4"/>
    </row>
    <row r="12" spans="1:9" ht="74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</row>
    <row r="16" spans="1:9" ht="15.75" customHeight="1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>SUM(F16*G16/1000)</f>
        <v>34.100352000000008</v>
      </c>
      <c r="I16" s="12">
        <f>F16/12*G16</f>
        <v>2841.6960000000004</v>
      </c>
    </row>
    <row r="17" spans="1:9" ht="19.5" customHeight="1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>SUM(F17*G17/1000)</f>
        <v>90.934271999999993</v>
      </c>
      <c r="I17" s="12">
        <f>F17/12*G17</f>
        <v>7577.8560000000007</v>
      </c>
    </row>
    <row r="18" spans="1:9" ht="17.25" customHeight="1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>SUM(F18*G18/1000)</f>
        <v>75.462140160000004</v>
      </c>
      <c r="I18" s="12">
        <f>F18/12*G18</f>
        <v>6288.5116800000005</v>
      </c>
    </row>
    <row r="19" spans="1:9" ht="15.75" hidden="1" customHeight="1">
      <c r="A19" s="26">
        <v>4</v>
      </c>
      <c r="B19" s="184" t="s">
        <v>85</v>
      </c>
      <c r="C19" s="186" t="s">
        <v>86</v>
      </c>
      <c r="D19" s="184" t="s">
        <v>191</v>
      </c>
      <c r="E19" s="187">
        <v>57.6</v>
      </c>
      <c r="F19" s="188">
        <f>SUM(E19/10)</f>
        <v>5.76</v>
      </c>
      <c r="G19" s="188">
        <v>223.17</v>
      </c>
      <c r="H19" s="57">
        <f t="shared" ref="H19:H24" si="0">SUM(F19*G19/1000)</f>
        <v>1.2854591999999998</v>
      </c>
      <c r="I19" s="12">
        <f>5.76*G19</f>
        <v>1285.4591999999998</v>
      </c>
    </row>
    <row r="20" spans="1:9" ht="18" hidden="1" customHeight="1">
      <c r="A20" s="26">
        <v>5</v>
      </c>
      <c r="B20" s="184" t="s">
        <v>88</v>
      </c>
      <c r="C20" s="186" t="s">
        <v>84</v>
      </c>
      <c r="D20" s="184" t="s">
        <v>191</v>
      </c>
      <c r="E20" s="187">
        <v>43.2</v>
      </c>
      <c r="F20" s="188">
        <f>SUM(E20*2/100)</f>
        <v>0.8640000000000001</v>
      </c>
      <c r="G20" s="188">
        <v>285.76</v>
      </c>
      <c r="H20" s="57">
        <f t="shared" si="0"/>
        <v>0.24689664000000003</v>
      </c>
      <c r="I20" s="12">
        <f>F20/2*G20</f>
        <v>123.44832000000001</v>
      </c>
    </row>
    <row r="21" spans="1:9" ht="17.25" hidden="1" customHeight="1">
      <c r="A21" s="26">
        <v>6</v>
      </c>
      <c r="B21" s="184" t="s">
        <v>89</v>
      </c>
      <c r="C21" s="186" t="s">
        <v>84</v>
      </c>
      <c r="D21" s="184" t="s">
        <v>191</v>
      </c>
      <c r="E21" s="187">
        <v>10.08</v>
      </c>
      <c r="F21" s="188">
        <f>SUM(E21*2/100)</f>
        <v>0.2016</v>
      </c>
      <c r="G21" s="188">
        <v>283.44</v>
      </c>
      <c r="H21" s="57">
        <f t="shared" si="0"/>
        <v>5.7141503999999996E-2</v>
      </c>
      <c r="I21" s="12">
        <f>F21/2*G21</f>
        <v>28.570751999999999</v>
      </c>
    </row>
    <row r="22" spans="1:9" ht="18.75" hidden="1" customHeight="1">
      <c r="A22" s="26">
        <v>7</v>
      </c>
      <c r="B22" s="184" t="s">
        <v>90</v>
      </c>
      <c r="C22" s="186" t="s">
        <v>50</v>
      </c>
      <c r="D22" s="184" t="s">
        <v>191</v>
      </c>
      <c r="E22" s="187">
        <v>642.6</v>
      </c>
      <c r="F22" s="188">
        <f>SUM(E22/100)</f>
        <v>6.4260000000000002</v>
      </c>
      <c r="G22" s="188">
        <v>353.14</v>
      </c>
      <c r="H22" s="57">
        <f t="shared" si="0"/>
        <v>2.2692776399999999</v>
      </c>
      <c r="I22" s="12">
        <f>F22*G22</f>
        <v>2269.2776399999998</v>
      </c>
    </row>
    <row r="23" spans="1:9" ht="16.5" hidden="1" customHeight="1">
      <c r="A23" s="26">
        <v>8</v>
      </c>
      <c r="B23" s="184" t="s">
        <v>91</v>
      </c>
      <c r="C23" s="186" t="s">
        <v>50</v>
      </c>
      <c r="D23" s="184" t="s">
        <v>193</v>
      </c>
      <c r="E23" s="189">
        <v>35.28</v>
      </c>
      <c r="F23" s="188">
        <f>SUM(E23/100)</f>
        <v>0.3528</v>
      </c>
      <c r="G23" s="188">
        <v>58.08</v>
      </c>
      <c r="H23" s="57">
        <f t="shared" si="0"/>
        <v>2.0490623999999999E-2</v>
      </c>
      <c r="I23" s="12">
        <f>F23*G23</f>
        <v>20.490624</v>
      </c>
    </row>
    <row r="24" spans="1:9" ht="17.25" hidden="1" customHeight="1">
      <c r="A24" s="26">
        <v>9</v>
      </c>
      <c r="B24" s="184" t="s">
        <v>92</v>
      </c>
      <c r="C24" s="186" t="s">
        <v>50</v>
      </c>
      <c r="D24" s="184" t="s">
        <v>193</v>
      </c>
      <c r="E24" s="187">
        <v>28.8</v>
      </c>
      <c r="F24" s="188">
        <f>SUM(E24/100)</f>
        <v>0.28800000000000003</v>
      </c>
      <c r="G24" s="188">
        <v>683.05</v>
      </c>
      <c r="H24" s="57">
        <f t="shared" si="0"/>
        <v>0.19671840000000002</v>
      </c>
      <c r="I24" s="12">
        <f>F24*G24</f>
        <v>196.7184</v>
      </c>
    </row>
    <row r="25" spans="1:9" ht="16.5" hidden="1" customHeight="1">
      <c r="A25" s="26">
        <v>4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22" t="s">
        <v>156</v>
      </c>
      <c r="B26" s="223"/>
      <c r="C26" s="223"/>
      <c r="D26" s="223"/>
      <c r="E26" s="223"/>
      <c r="F26" s="223"/>
      <c r="G26" s="223"/>
      <c r="H26" s="223"/>
      <c r="I26" s="224"/>
    </row>
    <row r="27" spans="1:9" ht="15.7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5.75" customHeight="1">
      <c r="A28" s="26">
        <v>4</v>
      </c>
      <c r="B28" s="184" t="s">
        <v>93</v>
      </c>
      <c r="C28" s="186" t="s">
        <v>29</v>
      </c>
      <c r="D28" s="184" t="s">
        <v>184</v>
      </c>
      <c r="E28" s="188">
        <v>355.5</v>
      </c>
      <c r="F28" s="188">
        <f>SUM(E28*48/1000)</f>
        <v>17.064</v>
      </c>
      <c r="G28" s="188">
        <v>204.44</v>
      </c>
      <c r="H28" s="57">
        <f t="shared" ref="H28:H33" si="1">SUM(F28*G28/1000)</f>
        <v>3.4885641599999997</v>
      </c>
      <c r="I28" s="12">
        <f>17.064/6*G28</f>
        <v>581.42736000000002</v>
      </c>
    </row>
    <row r="29" spans="1:9" ht="46.5" customHeight="1">
      <c r="A29" s="26">
        <v>5</v>
      </c>
      <c r="B29" s="184" t="s">
        <v>121</v>
      </c>
      <c r="C29" s="186" t="s">
        <v>94</v>
      </c>
      <c r="D29" s="184" t="s">
        <v>184</v>
      </c>
      <c r="E29" s="188">
        <v>111.6</v>
      </c>
      <c r="F29" s="188">
        <f>SUM(E29*48/1000)</f>
        <v>5.3567999999999989</v>
      </c>
      <c r="G29" s="188">
        <v>339.21</v>
      </c>
      <c r="H29" s="57">
        <f t="shared" si="1"/>
        <v>1.8170801279999995</v>
      </c>
      <c r="I29" s="12">
        <f>5.3568/6*G29</f>
        <v>302.84668799999997</v>
      </c>
    </row>
    <row r="30" spans="1:9" ht="18.75" customHeight="1">
      <c r="A30" s="26">
        <v>6</v>
      </c>
      <c r="B30" s="184" t="s">
        <v>27</v>
      </c>
      <c r="C30" s="186" t="s">
        <v>94</v>
      </c>
      <c r="D30" s="184" t="s">
        <v>192</v>
      </c>
      <c r="E30" s="188">
        <v>355.5</v>
      </c>
      <c r="F30" s="188">
        <f>SUM(E30/1000)</f>
        <v>0.35549999999999998</v>
      </c>
      <c r="G30" s="188">
        <v>3961.23</v>
      </c>
      <c r="H30" s="57">
        <f t="shared" si="1"/>
        <v>1.408217265</v>
      </c>
      <c r="I30" s="12">
        <f>0.3555*G30</f>
        <v>1408.217265</v>
      </c>
    </row>
    <row r="31" spans="1:9" ht="15" customHeight="1">
      <c r="A31" s="26">
        <v>7</v>
      </c>
      <c r="B31" s="184" t="s">
        <v>112</v>
      </c>
      <c r="C31" s="186" t="s">
        <v>38</v>
      </c>
      <c r="D31" s="184" t="s">
        <v>184</v>
      </c>
      <c r="E31" s="188">
        <v>6</v>
      </c>
      <c r="F31" s="188">
        <f>SUM(E31*48/100)</f>
        <v>2.88</v>
      </c>
      <c r="G31" s="188">
        <v>1707.63</v>
      </c>
      <c r="H31" s="57">
        <f>G31*F31/1000</f>
        <v>4.9179744000000003</v>
      </c>
      <c r="I31" s="12">
        <f>2.88/6*G31</f>
        <v>819.66240000000005</v>
      </c>
    </row>
    <row r="32" spans="1:9" ht="14.25" hidden="1" customHeight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 t="shared" si="1"/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 t="shared" si="1"/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119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2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158</v>
      </c>
      <c r="C36" s="54" t="s">
        <v>29</v>
      </c>
      <c r="D36" s="53" t="s">
        <v>159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idden="1">
      <c r="A37" s="26">
        <v>8</v>
      </c>
      <c r="B37" s="53" t="s">
        <v>160</v>
      </c>
      <c r="C37" s="54" t="s">
        <v>29</v>
      </c>
      <c r="D37" s="53" t="s">
        <v>96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161</v>
      </c>
      <c r="C38" s="54" t="s">
        <v>162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97</v>
      </c>
      <c r="E39" s="56">
        <v>116.93</v>
      </c>
      <c r="F39" s="56">
        <f>SUM(E39*155/1000)</f>
        <v>18.12415</v>
      </c>
      <c r="G39" s="56">
        <v>374.95</v>
      </c>
      <c r="H39" s="57">
        <f t="shared" si="2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94</v>
      </c>
      <c r="D40" s="53" t="s">
        <v>113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2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98</v>
      </c>
      <c r="C41" s="54" t="s">
        <v>94</v>
      </c>
      <c r="D41" s="53" t="s">
        <v>163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2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2"/>
        <v>0.71820000000000006</v>
      </c>
      <c r="I42" s="12">
        <f>F42/6*G42</f>
        <v>119.69999999999999</v>
      </c>
    </row>
    <row r="43" spans="1:9">
      <c r="A43" s="222" t="s">
        <v>164</v>
      </c>
      <c r="B43" s="223"/>
      <c r="C43" s="223"/>
      <c r="D43" s="223"/>
      <c r="E43" s="223"/>
      <c r="F43" s="223"/>
      <c r="G43" s="223"/>
      <c r="H43" s="223"/>
      <c r="I43" s="224"/>
    </row>
    <row r="44" spans="1:9" ht="16.5" customHeight="1">
      <c r="A44" s="26">
        <v>8</v>
      </c>
      <c r="B44" s="184" t="s">
        <v>115</v>
      </c>
      <c r="C44" s="186" t="s">
        <v>94</v>
      </c>
      <c r="D44" s="184" t="s">
        <v>191</v>
      </c>
      <c r="E44" s="187">
        <v>1030.4000000000001</v>
      </c>
      <c r="F44" s="188">
        <f>SUM(E44*2/1000)</f>
        <v>2.0608</v>
      </c>
      <c r="G44" s="107">
        <v>1114.1300000000001</v>
      </c>
      <c r="H44" s="57">
        <f t="shared" ref="H44:H53" si="3">SUM(F44*G44/1000)</f>
        <v>2.2959991039999998</v>
      </c>
      <c r="I44" s="12">
        <f>F44/2*G44</f>
        <v>1147.999552</v>
      </c>
    </row>
    <row r="45" spans="1:9" ht="18.75" customHeight="1">
      <c r="A45" s="26">
        <v>9</v>
      </c>
      <c r="B45" s="184" t="s">
        <v>33</v>
      </c>
      <c r="C45" s="186" t="s">
        <v>94</v>
      </c>
      <c r="D45" s="184" t="s">
        <v>191</v>
      </c>
      <c r="E45" s="187">
        <v>132</v>
      </c>
      <c r="F45" s="188">
        <f>E45*2/1000</f>
        <v>0.26400000000000001</v>
      </c>
      <c r="G45" s="107">
        <v>4419.05</v>
      </c>
      <c r="H45" s="57">
        <f t="shared" si="3"/>
        <v>1.1666292</v>
      </c>
      <c r="I45" s="12">
        <f>F45/2*G45</f>
        <v>583.31460000000004</v>
      </c>
    </row>
    <row r="46" spans="1:9" ht="20.25" customHeight="1">
      <c r="A46" s="26">
        <v>10</v>
      </c>
      <c r="B46" s="184" t="s">
        <v>34</v>
      </c>
      <c r="C46" s="186" t="s">
        <v>94</v>
      </c>
      <c r="D46" s="184" t="s">
        <v>191</v>
      </c>
      <c r="E46" s="187">
        <v>4248.22</v>
      </c>
      <c r="F46" s="188">
        <f>SUM(E46*2/1000)</f>
        <v>8.4964399999999998</v>
      </c>
      <c r="G46" s="107">
        <v>1803.69</v>
      </c>
      <c r="H46" s="57">
        <f t="shared" si="3"/>
        <v>15.3249438636</v>
      </c>
      <c r="I46" s="12">
        <f>F46/2*G46</f>
        <v>7662.4719317999998</v>
      </c>
    </row>
    <row r="47" spans="1:9" ht="16.5" customHeight="1">
      <c r="A47" s="26">
        <v>11</v>
      </c>
      <c r="B47" s="184" t="s">
        <v>35</v>
      </c>
      <c r="C47" s="186" t="s">
        <v>94</v>
      </c>
      <c r="D47" s="184" t="s">
        <v>191</v>
      </c>
      <c r="E47" s="187">
        <v>2163.66</v>
      </c>
      <c r="F47" s="188">
        <f>SUM(E47*2/1000)</f>
        <v>4.3273199999999994</v>
      </c>
      <c r="G47" s="107">
        <v>1243.43</v>
      </c>
      <c r="H47" s="57">
        <f t="shared" si="3"/>
        <v>5.3807195075999994</v>
      </c>
      <c r="I47" s="12">
        <f>F47/2*G47</f>
        <v>2690.3597537999999</v>
      </c>
    </row>
    <row r="48" spans="1:9" ht="15.75" customHeight="1">
      <c r="A48" s="26">
        <v>12</v>
      </c>
      <c r="B48" s="184" t="s">
        <v>53</v>
      </c>
      <c r="C48" s="186" t="s">
        <v>94</v>
      </c>
      <c r="D48" s="184" t="s">
        <v>191</v>
      </c>
      <c r="E48" s="187">
        <v>3945</v>
      </c>
      <c r="F48" s="188">
        <f>SUM(E48*5/1000)</f>
        <v>19.725000000000001</v>
      </c>
      <c r="G48" s="107">
        <v>1083.69</v>
      </c>
      <c r="H48" s="57">
        <f t="shared" si="3"/>
        <v>21.37578525</v>
      </c>
      <c r="I48" s="12">
        <f>3.945*G48</f>
        <v>4275.1570499999998</v>
      </c>
    </row>
    <row r="49" spans="1:9" ht="30" customHeight="1">
      <c r="A49" s="26">
        <v>13</v>
      </c>
      <c r="B49" s="184" t="s">
        <v>99</v>
      </c>
      <c r="C49" s="186" t="s">
        <v>94</v>
      </c>
      <c r="D49" s="184" t="s">
        <v>191</v>
      </c>
      <c r="E49" s="187">
        <v>3945</v>
      </c>
      <c r="F49" s="188">
        <f>SUM(E49*2/1000)</f>
        <v>7.89</v>
      </c>
      <c r="G49" s="107">
        <v>1591.6</v>
      </c>
      <c r="H49" s="57">
        <f t="shared" si="3"/>
        <v>12.557723999999999</v>
      </c>
      <c r="I49" s="12">
        <f>G49*F49/2</f>
        <v>6278.8619999999992</v>
      </c>
    </row>
    <row r="50" spans="1:9" ht="32.25" customHeight="1">
      <c r="A50" s="26">
        <v>14</v>
      </c>
      <c r="B50" s="184" t="s">
        <v>100</v>
      </c>
      <c r="C50" s="186" t="s">
        <v>36</v>
      </c>
      <c r="D50" s="184" t="s">
        <v>191</v>
      </c>
      <c r="E50" s="187">
        <v>30</v>
      </c>
      <c r="F50" s="188">
        <f>SUM(E50*2/100)</f>
        <v>0.6</v>
      </c>
      <c r="G50" s="107">
        <v>4058.32</v>
      </c>
      <c r="H50" s="57">
        <f t="shared" si="3"/>
        <v>2.4349920000000003</v>
      </c>
      <c r="I50" s="12">
        <f>G50*F50/2</f>
        <v>1217.4960000000001</v>
      </c>
    </row>
    <row r="51" spans="1:9" ht="18" customHeight="1">
      <c r="A51" s="26">
        <v>15</v>
      </c>
      <c r="B51" s="184" t="s">
        <v>37</v>
      </c>
      <c r="C51" s="186" t="s">
        <v>38</v>
      </c>
      <c r="D51" s="184" t="s">
        <v>191</v>
      </c>
      <c r="E51" s="187">
        <v>1</v>
      </c>
      <c r="F51" s="188">
        <v>0.02</v>
      </c>
      <c r="G51" s="107">
        <v>7412.92</v>
      </c>
      <c r="H51" s="57">
        <f t="shared" si="3"/>
        <v>0.14825839999999998</v>
      </c>
      <c r="I51" s="12">
        <f>G51*F51/2</f>
        <v>74.129199999999997</v>
      </c>
    </row>
    <row r="52" spans="1:9" ht="16.5" hidden="1" customHeight="1">
      <c r="A52" s="26">
        <v>22</v>
      </c>
      <c r="B52" s="53" t="s">
        <v>114</v>
      </c>
      <c r="C52" s="54" t="s">
        <v>80</v>
      </c>
      <c r="D52" s="53" t="s">
        <v>66</v>
      </c>
      <c r="E52" s="55">
        <v>90</v>
      </c>
      <c r="F52" s="56">
        <f>E52*4</f>
        <v>360</v>
      </c>
      <c r="G52" s="107">
        <v>185.08</v>
      </c>
      <c r="H52" s="57">
        <f>F52*G52/1000</f>
        <v>66.628799999999998</v>
      </c>
      <c r="I52" s="12">
        <f>G52*E52</f>
        <v>16657.2</v>
      </c>
    </row>
    <row r="53" spans="1:9" ht="15.75" hidden="1" customHeight="1">
      <c r="A53" s="26">
        <v>23</v>
      </c>
      <c r="B53" s="53" t="s">
        <v>39</v>
      </c>
      <c r="C53" s="54" t="s">
        <v>80</v>
      </c>
      <c r="D53" s="53" t="s">
        <v>66</v>
      </c>
      <c r="E53" s="55">
        <v>180</v>
      </c>
      <c r="F53" s="56">
        <f>SUM(E53)*3</f>
        <v>540</v>
      </c>
      <c r="G53" s="190">
        <v>86.15</v>
      </c>
      <c r="H53" s="57">
        <f t="shared" si="3"/>
        <v>46.521000000000001</v>
      </c>
      <c r="I53" s="12">
        <f>G53*E53</f>
        <v>15507.000000000002</v>
      </c>
    </row>
    <row r="54" spans="1:9">
      <c r="A54" s="222" t="s">
        <v>122</v>
      </c>
      <c r="B54" s="223"/>
      <c r="C54" s="223"/>
      <c r="D54" s="223"/>
      <c r="E54" s="223"/>
      <c r="F54" s="223"/>
      <c r="G54" s="223"/>
      <c r="H54" s="223"/>
      <c r="I54" s="224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30" hidden="1">
      <c r="A56" s="26">
        <v>16</v>
      </c>
      <c r="B56" s="53" t="s">
        <v>165</v>
      </c>
      <c r="C56" s="54" t="s">
        <v>84</v>
      </c>
      <c r="D56" s="53" t="s">
        <v>101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78</v>
      </c>
      <c r="C57" s="54" t="s">
        <v>84</v>
      </c>
      <c r="D57" s="53" t="s">
        <v>79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116</v>
      </c>
      <c r="C58" s="63" t="s">
        <v>117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118</v>
      </c>
      <c r="C59" s="54" t="s">
        <v>84</v>
      </c>
      <c r="D59" s="53" t="s">
        <v>101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8" customHeight="1">
      <c r="A60" s="26"/>
      <c r="B60" s="76" t="s">
        <v>42</v>
      </c>
      <c r="C60" s="63"/>
      <c r="D60" s="62"/>
      <c r="E60" s="64"/>
      <c r="F60" s="65"/>
      <c r="G60" s="12"/>
      <c r="H60" s="66"/>
      <c r="I60" s="12"/>
    </row>
    <row r="61" spans="1:9" hidden="1">
      <c r="A61" s="26"/>
      <c r="B61" s="62" t="s">
        <v>166</v>
      </c>
      <c r="C61" s="63" t="s">
        <v>50</v>
      </c>
      <c r="D61" s="62" t="s">
        <v>51</v>
      </c>
      <c r="E61" s="64">
        <v>1015.4</v>
      </c>
      <c r="F61" s="65">
        <v>10.154</v>
      </c>
      <c r="G61" s="12">
        <v>848.37</v>
      </c>
      <c r="H61" s="66">
        <f>F61*G61/1000</f>
        <v>8.6143489800000008</v>
      </c>
      <c r="I61" s="12">
        <v>0</v>
      </c>
    </row>
    <row r="62" spans="1:9" ht="18.75" customHeight="1">
      <c r="A62" s="26">
        <v>16</v>
      </c>
      <c r="B62" s="62" t="s">
        <v>81</v>
      </c>
      <c r="C62" s="63" t="s">
        <v>25</v>
      </c>
      <c r="D62" s="62" t="s">
        <v>192</v>
      </c>
      <c r="E62" s="64">
        <v>203.1</v>
      </c>
      <c r="F62" s="67">
        <f>E62*12</f>
        <v>2437.1999999999998</v>
      </c>
      <c r="G62" s="48">
        <v>1.4</v>
      </c>
      <c r="H62" s="65">
        <f>F62*G62/1000</f>
        <v>3.4120799999999996</v>
      </c>
      <c r="I62" s="12">
        <f>2400/12*G62</f>
        <v>280</v>
      </c>
    </row>
    <row r="63" spans="1:9" hidden="1">
      <c r="A63" s="26"/>
      <c r="B63" s="76" t="s">
        <v>43</v>
      </c>
      <c r="C63" s="63"/>
      <c r="D63" s="62"/>
      <c r="E63" s="64"/>
      <c r="F63" s="67"/>
      <c r="G63" s="67"/>
      <c r="H63" s="65" t="s">
        <v>119</v>
      </c>
      <c r="I63" s="12"/>
    </row>
    <row r="64" spans="1:9" ht="18.75" hidden="1" customHeight="1">
      <c r="A64" s="26">
        <v>24</v>
      </c>
      <c r="B64" s="191" t="s">
        <v>44</v>
      </c>
      <c r="C64" s="192" t="s">
        <v>80</v>
      </c>
      <c r="D64" s="106" t="s">
        <v>185</v>
      </c>
      <c r="E64" s="16">
        <v>7</v>
      </c>
      <c r="F64" s="193">
        <f>E64</f>
        <v>7</v>
      </c>
      <c r="G64" s="107">
        <v>291.68</v>
      </c>
      <c r="H64" s="68">
        <f t="shared" ref="H64:H77" si="4">SUM(F64*G64/1000)</f>
        <v>2.04176</v>
      </c>
      <c r="I64" s="12">
        <f>G64*2</f>
        <v>583.36</v>
      </c>
    </row>
    <row r="65" spans="1:9" ht="22.5" hidden="1" customHeight="1">
      <c r="A65" s="26"/>
      <c r="B65" s="13" t="s">
        <v>45</v>
      </c>
      <c r="C65" s="15" t="s">
        <v>80</v>
      </c>
      <c r="D65" s="13" t="s">
        <v>63</v>
      </c>
      <c r="E65" s="17">
        <v>5</v>
      </c>
      <c r="F65" s="56">
        <v>5</v>
      </c>
      <c r="G65" s="12">
        <v>81.510000000000005</v>
      </c>
      <c r="H65" s="68">
        <f t="shared" si="4"/>
        <v>0.40755000000000002</v>
      </c>
      <c r="I65" s="12">
        <v>0</v>
      </c>
    </row>
    <row r="66" spans="1:9" ht="18.75" hidden="1" customHeight="1">
      <c r="A66" s="26">
        <v>26</v>
      </c>
      <c r="B66" s="13" t="s">
        <v>46</v>
      </c>
      <c r="C66" s="15" t="s">
        <v>103</v>
      </c>
      <c r="D66" s="13" t="s">
        <v>51</v>
      </c>
      <c r="E66" s="55">
        <v>14205</v>
      </c>
      <c r="F66" s="12">
        <f>SUM(E66/100)</f>
        <v>142.05000000000001</v>
      </c>
      <c r="G66" s="107">
        <v>278.24</v>
      </c>
      <c r="H66" s="68">
        <f t="shared" si="4"/>
        <v>39.523992000000007</v>
      </c>
      <c r="I66" s="12">
        <f>F66*G66</f>
        <v>39523.992000000006</v>
      </c>
    </row>
    <row r="67" spans="1:9" ht="18" hidden="1" customHeight="1">
      <c r="A67" s="26">
        <v>27</v>
      </c>
      <c r="B67" s="13" t="s">
        <v>47</v>
      </c>
      <c r="C67" s="15" t="s">
        <v>104</v>
      </c>
      <c r="D67" s="13" t="s">
        <v>51</v>
      </c>
      <c r="E67" s="55">
        <v>14205</v>
      </c>
      <c r="F67" s="12">
        <f>SUM(E67/1000)</f>
        <v>14.205</v>
      </c>
      <c r="G67" s="107">
        <v>216.68</v>
      </c>
      <c r="H67" s="68">
        <f t="shared" si="4"/>
        <v>3.0779394</v>
      </c>
      <c r="I67" s="12">
        <f>F67*G67</f>
        <v>3077.9394000000002</v>
      </c>
    </row>
    <row r="68" spans="1:9" ht="15.75" hidden="1" customHeight="1">
      <c r="A68" s="26">
        <v>28</v>
      </c>
      <c r="B68" s="13" t="s">
        <v>48</v>
      </c>
      <c r="C68" s="15" t="s">
        <v>72</v>
      </c>
      <c r="D68" s="13" t="s">
        <v>51</v>
      </c>
      <c r="E68" s="55">
        <v>2131</v>
      </c>
      <c r="F68" s="12">
        <f>SUM(E68/100)</f>
        <v>21.31</v>
      </c>
      <c r="G68" s="107">
        <v>2720.94</v>
      </c>
      <c r="H68" s="68">
        <f t="shared" si="4"/>
        <v>57.983231399999994</v>
      </c>
      <c r="I68" s="12">
        <f>F68*G68</f>
        <v>57983.231399999997</v>
      </c>
    </row>
    <row r="69" spans="1:9" ht="18.75" hidden="1" customHeight="1">
      <c r="A69" s="26">
        <v>29</v>
      </c>
      <c r="B69" s="69" t="s">
        <v>105</v>
      </c>
      <c r="C69" s="15" t="s">
        <v>32</v>
      </c>
      <c r="D69" s="13" t="s">
        <v>51</v>
      </c>
      <c r="E69" s="55">
        <v>12.48</v>
      </c>
      <c r="F69" s="12">
        <f>SUM(E69)</f>
        <v>12.48</v>
      </c>
      <c r="G69" s="107">
        <v>44.31</v>
      </c>
      <c r="H69" s="68">
        <f t="shared" si="4"/>
        <v>0.55298880000000006</v>
      </c>
      <c r="I69" s="12">
        <f>7*G69</f>
        <v>310.17</v>
      </c>
    </row>
    <row r="70" spans="1:9" ht="15.75" hidden="1" customHeight="1">
      <c r="A70" s="26">
        <v>30</v>
      </c>
      <c r="B70" s="69" t="s">
        <v>106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07">
        <v>47.79</v>
      </c>
      <c r="H70" s="68">
        <f t="shared" si="4"/>
        <v>0.59641920000000004</v>
      </c>
      <c r="I70" s="12">
        <f>7*G70</f>
        <v>334.53</v>
      </c>
    </row>
    <row r="71" spans="1:9" ht="35.25" hidden="1" customHeight="1">
      <c r="A71" s="26"/>
      <c r="B71" s="13" t="s">
        <v>54</v>
      </c>
      <c r="C71" s="15" t="s">
        <v>55</v>
      </c>
      <c r="D71" s="13" t="s">
        <v>51</v>
      </c>
      <c r="E71" s="17">
        <v>5</v>
      </c>
      <c r="F71" s="56">
        <v>5</v>
      </c>
      <c r="G71" s="12">
        <v>53.32</v>
      </c>
      <c r="H71" s="68">
        <f t="shared" si="4"/>
        <v>0.2666</v>
      </c>
      <c r="I71" s="12">
        <v>0</v>
      </c>
    </row>
    <row r="72" spans="1:9" ht="31.5" hidden="1" customHeight="1">
      <c r="A72" s="26"/>
      <c r="B72" s="185" t="s">
        <v>67</v>
      </c>
      <c r="C72" s="15"/>
      <c r="D72" s="13"/>
      <c r="E72" s="17"/>
      <c r="F72" s="12"/>
      <c r="G72" s="12"/>
      <c r="H72" s="68" t="s">
        <v>119</v>
      </c>
      <c r="I72" s="12"/>
    </row>
    <row r="73" spans="1:9" ht="26.25" hidden="1" customHeight="1">
      <c r="A73" s="26">
        <v>21</v>
      </c>
      <c r="B73" s="13" t="s">
        <v>68</v>
      </c>
      <c r="C73" s="15" t="s">
        <v>70</v>
      </c>
      <c r="D73" s="13" t="s">
        <v>63</v>
      </c>
      <c r="E73" s="17">
        <v>2</v>
      </c>
      <c r="F73" s="12">
        <v>0.2</v>
      </c>
      <c r="G73" s="12">
        <v>536.23</v>
      </c>
      <c r="H73" s="68">
        <f t="shared" si="4"/>
        <v>0.10724600000000001</v>
      </c>
      <c r="I73" s="12">
        <f>G73*0.1</f>
        <v>53.623000000000005</v>
      </c>
    </row>
    <row r="74" spans="1:9" ht="30.75" hidden="1" customHeight="1">
      <c r="A74" s="26"/>
      <c r="B74" s="13" t="s">
        <v>69</v>
      </c>
      <c r="C74" s="15" t="s">
        <v>30</v>
      </c>
      <c r="D74" s="13" t="s">
        <v>63</v>
      </c>
      <c r="E74" s="17">
        <v>1</v>
      </c>
      <c r="F74" s="48">
        <v>1</v>
      </c>
      <c r="G74" s="12">
        <v>911.85</v>
      </c>
      <c r="H74" s="68">
        <f>F74*G74/1000</f>
        <v>0.91185000000000005</v>
      </c>
      <c r="I74" s="12">
        <v>0</v>
      </c>
    </row>
    <row r="75" spans="1:9" ht="41.25" hidden="1" customHeight="1">
      <c r="A75" s="26"/>
      <c r="B75" s="13" t="s">
        <v>167</v>
      </c>
      <c r="C75" s="15" t="s">
        <v>30</v>
      </c>
      <c r="D75" s="13" t="s">
        <v>63</v>
      </c>
      <c r="E75" s="17">
        <v>1</v>
      </c>
      <c r="F75" s="12">
        <v>1</v>
      </c>
      <c r="G75" s="12">
        <v>383.25</v>
      </c>
      <c r="H75" s="68">
        <f>G75*F75/1000</f>
        <v>0.38324999999999998</v>
      </c>
      <c r="I75" s="12">
        <v>0</v>
      </c>
    </row>
    <row r="76" spans="1:9" ht="38.25" hidden="1" customHeight="1">
      <c r="A76" s="26"/>
      <c r="B76" s="70" t="s">
        <v>71</v>
      </c>
      <c r="C76" s="15"/>
      <c r="D76" s="13"/>
      <c r="E76" s="17"/>
      <c r="F76" s="12"/>
      <c r="G76" s="12" t="s">
        <v>119</v>
      </c>
      <c r="H76" s="68" t="s">
        <v>119</v>
      </c>
      <c r="I76" s="12"/>
    </row>
    <row r="77" spans="1:9" ht="33.75" hidden="1" customHeight="1">
      <c r="A77" s="26">
        <v>22</v>
      </c>
      <c r="B77" s="39" t="s">
        <v>109</v>
      </c>
      <c r="C77" s="15" t="s">
        <v>72</v>
      </c>
      <c r="D77" s="13"/>
      <c r="E77" s="17"/>
      <c r="F77" s="12">
        <v>0.9</v>
      </c>
      <c r="G77" s="12">
        <v>2757.42</v>
      </c>
      <c r="H77" s="68">
        <f t="shared" si="4"/>
        <v>2.4816780000000005</v>
      </c>
      <c r="I77" s="12">
        <f>G77*F77</f>
        <v>2481.6780000000003</v>
      </c>
    </row>
    <row r="78" spans="1:9" ht="31.5" hidden="1" customHeight="1">
      <c r="A78" s="26"/>
      <c r="B78" s="185" t="s">
        <v>107</v>
      </c>
      <c r="C78" s="70"/>
      <c r="D78" s="28"/>
      <c r="E78" s="29"/>
      <c r="F78" s="59"/>
      <c r="G78" s="59"/>
      <c r="H78" s="71">
        <f>SUM(H56:H77)</f>
        <v>150.16601058800003</v>
      </c>
      <c r="I78" s="59"/>
    </row>
    <row r="79" spans="1:9" ht="16.5" hidden="1" customHeight="1">
      <c r="A79" s="124">
        <v>23</v>
      </c>
      <c r="B79" s="62" t="s">
        <v>108</v>
      </c>
      <c r="C79" s="125"/>
      <c r="D79" s="126"/>
      <c r="E79" s="49"/>
      <c r="F79" s="74">
        <v>1</v>
      </c>
      <c r="G79" s="74">
        <v>27901.200000000001</v>
      </c>
      <c r="H79" s="127">
        <f>G79*F79/1000</f>
        <v>27.901199999999999</v>
      </c>
      <c r="I79" s="74">
        <f>G79</f>
        <v>27901.200000000001</v>
      </c>
    </row>
    <row r="80" spans="1:9" ht="16.5" customHeight="1">
      <c r="A80" s="26"/>
      <c r="B80" s="194" t="s">
        <v>135</v>
      </c>
      <c r="C80" s="192"/>
      <c r="D80" s="13"/>
      <c r="E80" s="17"/>
      <c r="F80" s="12"/>
      <c r="G80" s="12"/>
      <c r="H80" s="12"/>
      <c r="I80" s="12"/>
    </row>
    <row r="81" spans="1:9" ht="36" customHeight="1">
      <c r="A81" s="26">
        <v>17</v>
      </c>
      <c r="B81" s="106" t="s">
        <v>136</v>
      </c>
      <c r="C81" s="32" t="s">
        <v>137</v>
      </c>
      <c r="D81" s="13"/>
      <c r="E81" s="17"/>
      <c r="F81" s="12"/>
      <c r="G81" s="107">
        <v>2.2799999999999998</v>
      </c>
      <c r="H81" s="12"/>
      <c r="I81" s="12">
        <f>47340/12*G81</f>
        <v>8994.5999999999985</v>
      </c>
    </row>
    <row r="82" spans="1:9" ht="31.5" customHeight="1">
      <c r="A82" s="26">
        <v>18</v>
      </c>
      <c r="B82" s="110" t="s">
        <v>138</v>
      </c>
      <c r="C82" s="111" t="s">
        <v>80</v>
      </c>
      <c r="D82" s="13" t="s">
        <v>191</v>
      </c>
      <c r="E82" s="17"/>
      <c r="F82" s="12"/>
      <c r="G82" s="107">
        <v>50.68</v>
      </c>
      <c r="H82" s="12"/>
      <c r="I82" s="12">
        <f>12/12*G82</f>
        <v>50.68</v>
      </c>
    </row>
    <row r="83" spans="1:9">
      <c r="A83" s="230" t="s">
        <v>123</v>
      </c>
      <c r="B83" s="231"/>
      <c r="C83" s="231"/>
      <c r="D83" s="231"/>
      <c r="E83" s="231"/>
      <c r="F83" s="231"/>
      <c r="G83" s="231"/>
      <c r="H83" s="231"/>
      <c r="I83" s="232"/>
    </row>
    <row r="84" spans="1:9" ht="20.25" customHeight="1">
      <c r="A84" s="77">
        <v>19</v>
      </c>
      <c r="B84" s="128" t="s">
        <v>110</v>
      </c>
      <c r="C84" s="129" t="s">
        <v>52</v>
      </c>
      <c r="D84" s="130"/>
      <c r="E84" s="131">
        <v>3945</v>
      </c>
      <c r="F84" s="131">
        <f>SUM(E84*12)</f>
        <v>47340</v>
      </c>
      <c r="G84" s="107">
        <v>3.1</v>
      </c>
      <c r="H84" s="132">
        <f>SUM(F84*G84/1000)</f>
        <v>146.75399999999999</v>
      </c>
      <c r="I84" s="131">
        <f>F84/12*G84</f>
        <v>12229.5</v>
      </c>
    </row>
    <row r="85" spans="1:9" ht="35.25" customHeight="1">
      <c r="A85" s="26">
        <v>20</v>
      </c>
      <c r="B85" s="13" t="s">
        <v>73</v>
      </c>
      <c r="C85" s="15"/>
      <c r="D85" s="130"/>
      <c r="E85" s="55">
        <f>E84</f>
        <v>3945</v>
      </c>
      <c r="F85" s="12">
        <f>E85*12</f>
        <v>47340</v>
      </c>
      <c r="G85" s="107">
        <v>3.5</v>
      </c>
      <c r="H85" s="68">
        <f>F85*G85/1000</f>
        <v>165.69</v>
      </c>
      <c r="I85" s="12">
        <f>F85/12*G85</f>
        <v>13807.5</v>
      </c>
    </row>
    <row r="86" spans="1:9">
      <c r="A86" s="26"/>
      <c r="B86" s="31" t="s">
        <v>75</v>
      </c>
      <c r="C86" s="32"/>
      <c r="D86" s="14"/>
      <c r="E86" s="14"/>
      <c r="F86" s="17"/>
      <c r="G86" s="30"/>
      <c r="H86" s="71">
        <f>H85</f>
        <v>165.69</v>
      </c>
      <c r="I86" s="29">
        <f>I85+I84+I82+I81+I62+I51+I50+I49+I48+I47+I46+I45+I44+I31+I30+I29+I28+I18+I17+I16</f>
        <v>79112.287480600004</v>
      </c>
    </row>
    <row r="87" spans="1:9">
      <c r="A87" s="227" t="s">
        <v>57</v>
      </c>
      <c r="B87" s="228"/>
      <c r="C87" s="228"/>
      <c r="D87" s="228"/>
      <c r="E87" s="228"/>
      <c r="F87" s="228"/>
      <c r="G87" s="228"/>
      <c r="H87" s="228"/>
      <c r="I87" s="229"/>
    </row>
    <row r="88" spans="1:9" ht="18.75" customHeight="1">
      <c r="A88" s="26">
        <v>21</v>
      </c>
      <c r="B88" s="110" t="s">
        <v>258</v>
      </c>
      <c r="C88" s="111" t="s">
        <v>29</v>
      </c>
      <c r="D88" s="201"/>
      <c r="E88" s="107"/>
      <c r="F88" s="107">
        <v>0.57599999999999996</v>
      </c>
      <c r="G88" s="107">
        <v>241.69</v>
      </c>
      <c r="H88" s="12"/>
      <c r="I88" s="74">
        <f>G88*0.576</f>
        <v>139.21343999999999</v>
      </c>
    </row>
    <row r="89" spans="1:9">
      <c r="A89" s="26">
        <v>22</v>
      </c>
      <c r="B89" s="110" t="s">
        <v>199</v>
      </c>
      <c r="C89" s="111" t="s">
        <v>200</v>
      </c>
      <c r="D89" s="201" t="s">
        <v>261</v>
      </c>
      <c r="E89" s="107"/>
      <c r="F89" s="107">
        <v>1</v>
      </c>
      <c r="G89" s="107">
        <v>231.54</v>
      </c>
      <c r="H89" s="68">
        <f>G89*F89/1000</f>
        <v>0.23154</v>
      </c>
      <c r="I89" s="74">
        <v>0</v>
      </c>
    </row>
    <row r="90" spans="1:9" ht="30">
      <c r="A90" s="26">
        <v>23</v>
      </c>
      <c r="B90" s="110" t="s">
        <v>196</v>
      </c>
      <c r="C90" s="111" t="s">
        <v>36</v>
      </c>
      <c r="D90" s="201" t="s">
        <v>191</v>
      </c>
      <c r="E90" s="107"/>
      <c r="F90" s="107">
        <v>0.01</v>
      </c>
      <c r="G90" s="107">
        <v>4233.72</v>
      </c>
      <c r="H90" s="68">
        <f>G90*F90/1000</f>
        <v>4.2337200000000005E-2</v>
      </c>
      <c r="I90" s="74">
        <v>0</v>
      </c>
    </row>
    <row r="91" spans="1:9">
      <c r="A91" s="26">
        <v>24</v>
      </c>
      <c r="B91" s="110" t="s">
        <v>214</v>
      </c>
      <c r="C91" s="111" t="s">
        <v>80</v>
      </c>
      <c r="D91" s="201"/>
      <c r="E91" s="107"/>
      <c r="F91" s="107">
        <v>1</v>
      </c>
      <c r="G91" s="107">
        <v>224.48</v>
      </c>
      <c r="H91" s="68">
        <f>G91*F91/1000</f>
        <v>0.22447999999999999</v>
      </c>
      <c r="I91" s="74">
        <f>G91*1</f>
        <v>224.48</v>
      </c>
    </row>
    <row r="92" spans="1:9">
      <c r="A92" s="134">
        <v>25</v>
      </c>
      <c r="B92" s="110" t="s">
        <v>259</v>
      </c>
      <c r="C92" s="111" t="s">
        <v>80</v>
      </c>
      <c r="D92" s="201"/>
      <c r="E92" s="107"/>
      <c r="F92" s="107">
        <v>1</v>
      </c>
      <c r="G92" s="107">
        <v>102.35</v>
      </c>
      <c r="H92" s="68">
        <f>G92*F92/1000</f>
        <v>0.10235</v>
      </c>
      <c r="I92" s="74">
        <f>G92*1</f>
        <v>102.35</v>
      </c>
    </row>
    <row r="93" spans="1:9" ht="30">
      <c r="A93" s="26">
        <v>26</v>
      </c>
      <c r="B93" s="208" t="s">
        <v>260</v>
      </c>
      <c r="C93" s="32" t="s">
        <v>237</v>
      </c>
      <c r="D93" s="201" t="s">
        <v>212</v>
      </c>
      <c r="E93" s="107"/>
      <c r="F93" s="107">
        <v>1</v>
      </c>
      <c r="G93" s="107">
        <v>2287.54</v>
      </c>
      <c r="H93" s="68"/>
      <c r="I93" s="74">
        <f>G93*1</f>
        <v>2287.54</v>
      </c>
    </row>
    <row r="94" spans="1:9">
      <c r="A94" s="26">
        <v>27</v>
      </c>
      <c r="B94" s="110" t="s">
        <v>262</v>
      </c>
      <c r="C94" s="111" t="s">
        <v>263</v>
      </c>
      <c r="D94" s="201"/>
      <c r="E94" s="107"/>
      <c r="F94" s="107">
        <v>1</v>
      </c>
      <c r="G94" s="107">
        <v>763</v>
      </c>
      <c r="H94" s="68"/>
      <c r="I94" s="74">
        <f>G94*1</f>
        <v>763</v>
      </c>
    </row>
    <row r="95" spans="1:9" ht="18" customHeight="1">
      <c r="A95" s="26"/>
      <c r="B95" s="37" t="s">
        <v>49</v>
      </c>
      <c r="C95" s="33"/>
      <c r="D95" s="40"/>
      <c r="E95" s="33">
        <v>1</v>
      </c>
      <c r="F95" s="33"/>
      <c r="G95" s="33"/>
      <c r="H95" s="33"/>
      <c r="I95" s="29">
        <f>SUM(I88:I94)</f>
        <v>3516.5834399999999</v>
      </c>
    </row>
    <row r="96" spans="1:9">
      <c r="A96" s="26"/>
      <c r="B96" s="39" t="s">
        <v>74</v>
      </c>
      <c r="C96" s="14"/>
      <c r="D96" s="14"/>
      <c r="E96" s="34"/>
      <c r="F96" s="34"/>
      <c r="G96" s="35"/>
      <c r="H96" s="35"/>
      <c r="I96" s="16">
        <v>0</v>
      </c>
    </row>
    <row r="97" spans="1:9">
      <c r="A97" s="41"/>
      <c r="B97" s="38" t="s">
        <v>168</v>
      </c>
      <c r="C97" s="30"/>
      <c r="D97" s="30"/>
      <c r="E97" s="30"/>
      <c r="F97" s="30"/>
      <c r="G97" s="30"/>
      <c r="H97" s="30"/>
      <c r="I97" s="36">
        <f>I86+I95</f>
        <v>82628.870920600006</v>
      </c>
    </row>
    <row r="98" spans="1:9" ht="15.75">
      <c r="A98" s="226" t="s">
        <v>264</v>
      </c>
      <c r="B98" s="226"/>
      <c r="C98" s="226"/>
      <c r="D98" s="226"/>
      <c r="E98" s="226"/>
      <c r="F98" s="226"/>
      <c r="G98" s="226"/>
      <c r="H98" s="226"/>
      <c r="I98" s="226"/>
    </row>
    <row r="99" spans="1:9" ht="15.75">
      <c r="A99" s="78"/>
      <c r="B99" s="233" t="s">
        <v>265</v>
      </c>
      <c r="C99" s="233"/>
      <c r="D99" s="233"/>
      <c r="E99" s="233"/>
      <c r="F99" s="233"/>
      <c r="G99" s="233"/>
      <c r="H99" s="52"/>
      <c r="I99" s="3"/>
    </row>
    <row r="100" spans="1:9">
      <c r="A100" s="116"/>
      <c r="B100" s="234" t="s">
        <v>6</v>
      </c>
      <c r="C100" s="234"/>
      <c r="D100" s="234"/>
      <c r="E100" s="234"/>
      <c r="F100" s="234"/>
      <c r="G100" s="234"/>
      <c r="H100" s="21"/>
      <c r="I100" s="5"/>
    </row>
    <row r="101" spans="1:9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5.75">
      <c r="A102" s="235" t="s">
        <v>7</v>
      </c>
      <c r="B102" s="235"/>
      <c r="C102" s="235"/>
      <c r="D102" s="235"/>
      <c r="E102" s="235"/>
      <c r="F102" s="235"/>
      <c r="G102" s="235"/>
      <c r="H102" s="235"/>
      <c r="I102" s="235"/>
    </row>
    <row r="103" spans="1:9" ht="15.75">
      <c r="A103" s="235" t="s">
        <v>8</v>
      </c>
      <c r="B103" s="235"/>
      <c r="C103" s="235"/>
      <c r="D103" s="235"/>
      <c r="E103" s="235"/>
      <c r="F103" s="235"/>
      <c r="G103" s="235"/>
      <c r="H103" s="235"/>
      <c r="I103" s="235"/>
    </row>
    <row r="104" spans="1:9" ht="15.75">
      <c r="A104" s="236" t="s">
        <v>58</v>
      </c>
      <c r="B104" s="236"/>
      <c r="C104" s="236"/>
      <c r="D104" s="236"/>
      <c r="E104" s="236"/>
      <c r="F104" s="236"/>
      <c r="G104" s="236"/>
      <c r="H104" s="236"/>
      <c r="I104" s="236"/>
    </row>
    <row r="105" spans="1:9" ht="15.75">
      <c r="A105" s="10"/>
    </row>
    <row r="106" spans="1:9" ht="15.75">
      <c r="A106" s="220" t="s">
        <v>9</v>
      </c>
      <c r="B106" s="220"/>
      <c r="C106" s="220"/>
      <c r="D106" s="220"/>
      <c r="E106" s="220"/>
      <c r="F106" s="220"/>
      <c r="G106" s="220"/>
      <c r="H106" s="220"/>
      <c r="I106" s="220"/>
    </row>
    <row r="107" spans="1:9" ht="15.75">
      <c r="A107" s="4"/>
    </row>
    <row r="108" spans="1:9" ht="15.75">
      <c r="B108" s="114" t="s">
        <v>10</v>
      </c>
      <c r="C108" s="238" t="s">
        <v>215</v>
      </c>
      <c r="D108" s="238"/>
      <c r="E108" s="238"/>
      <c r="F108" s="50"/>
      <c r="I108" s="115"/>
    </row>
    <row r="109" spans="1:9">
      <c r="A109" s="116"/>
      <c r="C109" s="234" t="s">
        <v>11</v>
      </c>
      <c r="D109" s="234"/>
      <c r="E109" s="234"/>
      <c r="F109" s="21"/>
      <c r="I109" s="113" t="s">
        <v>12</v>
      </c>
    </row>
    <row r="110" spans="1:9" ht="15.75">
      <c r="A110" s="22"/>
      <c r="C110" s="11"/>
      <c r="D110" s="11"/>
      <c r="G110" s="11"/>
      <c r="H110" s="11"/>
    </row>
    <row r="111" spans="1:9" ht="15.75">
      <c r="B111" s="114" t="s">
        <v>13</v>
      </c>
      <c r="C111" s="239"/>
      <c r="D111" s="239"/>
      <c r="E111" s="239"/>
      <c r="F111" s="51"/>
      <c r="I111" s="115"/>
    </row>
    <row r="112" spans="1:9">
      <c r="A112" s="116"/>
      <c r="C112" s="240" t="s">
        <v>11</v>
      </c>
      <c r="D112" s="240"/>
      <c r="E112" s="240"/>
      <c r="F112" s="116"/>
      <c r="I112" s="113" t="s">
        <v>12</v>
      </c>
    </row>
    <row r="113" spans="1:9" ht="15.75">
      <c r="A113" s="4" t="s">
        <v>14</v>
      </c>
    </row>
    <row r="114" spans="1:9">
      <c r="A114" s="241" t="s">
        <v>15</v>
      </c>
      <c r="B114" s="241"/>
      <c r="C114" s="241"/>
      <c r="D114" s="241"/>
      <c r="E114" s="241"/>
      <c r="F114" s="241"/>
      <c r="G114" s="241"/>
      <c r="H114" s="241"/>
      <c r="I114" s="241"/>
    </row>
    <row r="115" spans="1:9" ht="42.75" customHeight="1">
      <c r="A115" s="237" t="s">
        <v>16</v>
      </c>
      <c r="B115" s="237"/>
      <c r="C115" s="237"/>
      <c r="D115" s="237"/>
      <c r="E115" s="237"/>
      <c r="F115" s="237"/>
      <c r="G115" s="237"/>
      <c r="H115" s="237"/>
      <c r="I115" s="237"/>
    </row>
    <row r="116" spans="1:9" ht="42.75" customHeight="1">
      <c r="A116" s="237" t="s">
        <v>17</v>
      </c>
      <c r="B116" s="237"/>
      <c r="C116" s="237"/>
      <c r="D116" s="237"/>
      <c r="E116" s="237"/>
      <c r="F116" s="237"/>
      <c r="G116" s="237"/>
      <c r="H116" s="237"/>
      <c r="I116" s="237"/>
    </row>
    <row r="117" spans="1:9" ht="38.25" customHeight="1">
      <c r="A117" s="237" t="s">
        <v>21</v>
      </c>
      <c r="B117" s="237"/>
      <c r="C117" s="237"/>
      <c r="D117" s="237"/>
      <c r="E117" s="237"/>
      <c r="F117" s="237"/>
      <c r="G117" s="237"/>
      <c r="H117" s="237"/>
      <c r="I117" s="237"/>
    </row>
    <row r="118" spans="1:9" ht="15.75">
      <c r="A118" s="237" t="s">
        <v>20</v>
      </c>
      <c r="B118" s="237"/>
      <c r="C118" s="237"/>
      <c r="D118" s="237"/>
      <c r="E118" s="237"/>
      <c r="F118" s="237"/>
      <c r="G118" s="237"/>
      <c r="H118" s="237"/>
      <c r="I118" s="237"/>
    </row>
  </sheetData>
  <mergeCells count="28">
    <mergeCell ref="A14:I14"/>
    <mergeCell ref="A3:I3"/>
    <mergeCell ref="A4:I4"/>
    <mergeCell ref="A5:I5"/>
    <mergeCell ref="A8:I8"/>
    <mergeCell ref="A10:I10"/>
    <mergeCell ref="A104:I104"/>
    <mergeCell ref="A15:I15"/>
    <mergeCell ref="A26:I26"/>
    <mergeCell ref="A43:I43"/>
    <mergeCell ref="A54:I54"/>
    <mergeCell ref="A83:I83"/>
    <mergeCell ref="A87:I87"/>
    <mergeCell ref="A98:I98"/>
    <mergeCell ref="B99:G99"/>
    <mergeCell ref="B100:G100"/>
    <mergeCell ref="A102:I102"/>
    <mergeCell ref="A103:I103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" right="0.7" top="0.75" bottom="0.75" header="0.3" footer="0.3"/>
  <pageSetup paperSize="9" scale="63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9"/>
  <sheetViews>
    <sheetView view="pageBreakPreview" topLeftCell="A90" zoomScale="60" zoomScaleNormal="100" workbookViewId="0">
      <selection activeCell="J106" sqref="J106"/>
    </sheetView>
  </sheetViews>
  <sheetFormatPr defaultRowHeight="15"/>
  <cols>
    <col min="1" max="1" width="12.42578125" customWidth="1"/>
    <col min="2" max="2" width="47.42578125" customWidth="1"/>
    <col min="3" max="3" width="18.140625" customWidth="1"/>
    <col min="4" max="4" width="17.7109375" customWidth="1"/>
    <col min="5" max="6" width="0" hidden="1" customWidth="1"/>
    <col min="7" max="7" width="18.28515625" customWidth="1"/>
    <col min="8" max="8" width="0" hidden="1" customWidth="1"/>
    <col min="9" max="9" width="17.42578125" customWidth="1"/>
  </cols>
  <sheetData>
    <row r="1" spans="1:9" ht="15.75">
      <c r="A1" s="24" t="s">
        <v>170</v>
      </c>
      <c r="I1" s="23"/>
    </row>
    <row r="2" spans="1:9" ht="15.75">
      <c r="A2" s="25" t="s">
        <v>59</v>
      </c>
    </row>
    <row r="3" spans="1:9" ht="15.75">
      <c r="A3" s="215" t="s">
        <v>169</v>
      </c>
      <c r="B3" s="215"/>
      <c r="C3" s="215"/>
      <c r="D3" s="215"/>
      <c r="E3" s="215"/>
      <c r="F3" s="215"/>
      <c r="G3" s="215"/>
      <c r="H3" s="215"/>
      <c r="I3" s="215"/>
    </row>
    <row r="4" spans="1:9" ht="33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9" ht="15.75">
      <c r="A5" s="215" t="s">
        <v>266</v>
      </c>
      <c r="B5" s="217"/>
      <c r="C5" s="217"/>
      <c r="D5" s="217"/>
      <c r="E5" s="217"/>
      <c r="F5" s="217"/>
      <c r="G5" s="217"/>
      <c r="H5" s="217"/>
      <c r="I5" s="217"/>
    </row>
    <row r="6" spans="1:9" ht="15.75">
      <c r="A6" s="2"/>
      <c r="B6" s="123"/>
      <c r="C6" s="123"/>
      <c r="D6" s="123"/>
      <c r="E6" s="123"/>
      <c r="F6" s="123"/>
      <c r="G6" s="123"/>
      <c r="H6" s="123"/>
      <c r="I6" s="27">
        <v>44377</v>
      </c>
    </row>
    <row r="7" spans="1:9" ht="15.75">
      <c r="B7" s="121"/>
      <c r="C7" s="121"/>
      <c r="D7" s="121"/>
      <c r="E7" s="3"/>
      <c r="F7" s="3"/>
      <c r="G7" s="3"/>
      <c r="H7" s="3"/>
    </row>
    <row r="8" spans="1:9" ht="105.75" customHeight="1">
      <c r="A8" s="218" t="s">
        <v>213</v>
      </c>
      <c r="B8" s="218"/>
      <c r="C8" s="218"/>
      <c r="D8" s="218"/>
      <c r="E8" s="218"/>
      <c r="F8" s="218"/>
      <c r="G8" s="218"/>
      <c r="H8" s="218"/>
      <c r="I8" s="218"/>
    </row>
    <row r="9" spans="1:9" ht="15.75">
      <c r="A9" s="4"/>
    </row>
    <row r="10" spans="1:9" ht="64.5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</row>
    <row r="16" spans="1:9" ht="15.75" customHeight="1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5.75" customHeight="1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5.75" customHeight="1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>
      <c r="A19" s="26">
        <v>4</v>
      </c>
      <c r="B19" s="53" t="s">
        <v>85</v>
      </c>
      <c r="C19" s="54" t="s">
        <v>86</v>
      </c>
      <c r="D19" s="53" t="s">
        <v>191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</row>
    <row r="20" spans="1:9" hidden="1">
      <c r="A20" s="26">
        <v>5</v>
      </c>
      <c r="B20" s="53" t="s">
        <v>88</v>
      </c>
      <c r="C20" s="54" t="s">
        <v>84</v>
      </c>
      <c r="D20" s="53" t="s">
        <v>191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</row>
    <row r="21" spans="1:9" hidden="1">
      <c r="A21" s="26">
        <v>6</v>
      </c>
      <c r="B21" s="53" t="s">
        <v>89</v>
      </c>
      <c r="C21" s="54" t="s">
        <v>84</v>
      </c>
      <c r="D21" s="53" t="s">
        <v>191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90</v>
      </c>
      <c r="C22" s="54" t="s">
        <v>50</v>
      </c>
      <c r="D22" s="53" t="s">
        <v>201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91</v>
      </c>
      <c r="C23" s="54" t="s">
        <v>50</v>
      </c>
      <c r="D23" s="53" t="s">
        <v>201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92</v>
      </c>
      <c r="C24" s="54" t="s">
        <v>50</v>
      </c>
      <c r="D24" s="53" t="s">
        <v>193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</row>
    <row r="25" spans="1:9" ht="15" hidden="1" customHeight="1">
      <c r="A25" s="26">
        <v>10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22" t="s">
        <v>156</v>
      </c>
      <c r="B26" s="223"/>
      <c r="C26" s="223"/>
      <c r="D26" s="223"/>
      <c r="E26" s="223"/>
      <c r="F26" s="223"/>
      <c r="G26" s="223"/>
      <c r="H26" s="223"/>
      <c r="I26" s="224"/>
    </row>
    <row r="27" spans="1:9" ht="19.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7.25" customHeight="1">
      <c r="A28" s="26">
        <v>5</v>
      </c>
      <c r="B28" s="53" t="s">
        <v>93</v>
      </c>
      <c r="C28" s="54" t="s">
        <v>157</v>
      </c>
      <c r="D28" s="184" t="s">
        <v>184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 t="shared" ref="H28:H33" si="1">SUM(F28*G28/1000)</f>
        <v>11.105548792000002</v>
      </c>
      <c r="I28" s="12">
        <f>17.064/6*G28</f>
        <v>581.42736000000002</v>
      </c>
    </row>
    <row r="29" spans="1:9" ht="17.25" customHeight="1">
      <c r="A29" s="26">
        <v>6</v>
      </c>
      <c r="B29" s="53" t="s">
        <v>121</v>
      </c>
      <c r="C29" s="54" t="s">
        <v>94</v>
      </c>
      <c r="D29" s="184" t="s">
        <v>184</v>
      </c>
      <c r="E29" s="56">
        <v>116.93</v>
      </c>
      <c r="F29" s="56">
        <f>SUM(E29*78/1000)</f>
        <v>9.1205400000000001</v>
      </c>
      <c r="G29" s="139">
        <v>339.21</v>
      </c>
      <c r="H29" s="57">
        <f t="shared" si="1"/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94</v>
      </c>
      <c r="D30" s="184" t="s">
        <v>192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 t="shared" si="1"/>
        <v>4.1380989195</v>
      </c>
      <c r="I30" s="12">
        <f>0.3555*G30</f>
        <v>1408.217265</v>
      </c>
    </row>
    <row r="31" spans="1:9" ht="17.25" customHeight="1">
      <c r="A31" s="26">
        <v>7</v>
      </c>
      <c r="B31" s="53" t="s">
        <v>112</v>
      </c>
      <c r="C31" s="54" t="s">
        <v>38</v>
      </c>
      <c r="D31" s="184" t="s">
        <v>184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 t="shared" si="1"/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 t="shared" si="1"/>
        <v>2.2726599999999997</v>
      </c>
      <c r="I33" s="12">
        <v>0</v>
      </c>
    </row>
    <row r="34" spans="1:9" ht="16.5" hidden="1" customHeight="1">
      <c r="A34" s="26"/>
      <c r="B34" s="75" t="s">
        <v>5</v>
      </c>
      <c r="C34" s="54"/>
      <c r="D34" s="53"/>
      <c r="E34" s="55"/>
      <c r="F34" s="56"/>
      <c r="G34" s="56"/>
      <c r="H34" s="57" t="s">
        <v>119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2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158</v>
      </c>
      <c r="C36" s="54" t="s">
        <v>29</v>
      </c>
      <c r="D36" s="53" t="s">
        <v>159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t="30" hidden="1">
      <c r="A37" s="26">
        <v>8</v>
      </c>
      <c r="B37" s="53" t="s">
        <v>160</v>
      </c>
      <c r="C37" s="54" t="s">
        <v>29</v>
      </c>
      <c r="D37" s="53" t="s">
        <v>96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161</v>
      </c>
      <c r="C38" s="54" t="s">
        <v>162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97</v>
      </c>
      <c r="E39" s="56">
        <v>116.93</v>
      </c>
      <c r="F39" s="56">
        <f>SUM(E39*155/1000)</f>
        <v>18.12415</v>
      </c>
      <c r="G39" s="56">
        <v>374.95</v>
      </c>
      <c r="H39" s="57">
        <f t="shared" si="2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94</v>
      </c>
      <c r="D40" s="53" t="s">
        <v>113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2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98</v>
      </c>
      <c r="C41" s="54" t="s">
        <v>94</v>
      </c>
      <c r="D41" s="53" t="s">
        <v>163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2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2"/>
        <v>0.71820000000000006</v>
      </c>
      <c r="I42" s="12">
        <f>F42/6*G42</f>
        <v>119.69999999999999</v>
      </c>
    </row>
    <row r="43" spans="1:9" ht="16.5" customHeight="1">
      <c r="A43" s="222" t="s">
        <v>164</v>
      </c>
      <c r="B43" s="223"/>
      <c r="C43" s="223"/>
      <c r="D43" s="223"/>
      <c r="E43" s="223"/>
      <c r="F43" s="223"/>
      <c r="G43" s="223"/>
      <c r="H43" s="223"/>
      <c r="I43" s="224"/>
    </row>
    <row r="44" spans="1:9" ht="24.75" hidden="1" customHeight="1">
      <c r="A44" s="26">
        <v>17</v>
      </c>
      <c r="B44" s="53" t="s">
        <v>115</v>
      </c>
      <c r="C44" s="54" t="s">
        <v>94</v>
      </c>
      <c r="D44" s="53" t="s">
        <v>40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3">SUM(F44*G44/1000)</f>
        <v>2.2959991039999998</v>
      </c>
      <c r="I44" s="12">
        <f>F44/2*G44</f>
        <v>1147.999552</v>
      </c>
    </row>
    <row r="45" spans="1:9" ht="20.25" hidden="1" customHeight="1">
      <c r="A45" s="26">
        <v>18</v>
      </c>
      <c r="B45" s="53" t="s">
        <v>33</v>
      </c>
      <c r="C45" s="54" t="s">
        <v>94</v>
      </c>
      <c r="D45" s="53" t="s">
        <v>40</v>
      </c>
      <c r="E45" s="55">
        <v>132</v>
      </c>
      <c r="F45" s="56">
        <f>E45*2/1000</f>
        <v>0.26400000000000001</v>
      </c>
      <c r="G45" s="135">
        <v>4419.05</v>
      </c>
      <c r="H45" s="57">
        <f t="shared" si="3"/>
        <v>1.1666292</v>
      </c>
      <c r="I45" s="12">
        <f>F45/2*G45</f>
        <v>583.31460000000004</v>
      </c>
    </row>
    <row r="46" spans="1:9" ht="27" hidden="1" customHeight="1">
      <c r="A46" s="26">
        <v>19</v>
      </c>
      <c r="B46" s="53" t="s">
        <v>34</v>
      </c>
      <c r="C46" s="54" t="s">
        <v>94</v>
      </c>
      <c r="D46" s="53" t="s">
        <v>40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3"/>
        <v>15.3249438636</v>
      </c>
      <c r="I46" s="12">
        <f>F46/2*G46</f>
        <v>7662.4719317999998</v>
      </c>
    </row>
    <row r="47" spans="1:9" ht="31.5" hidden="1" customHeight="1">
      <c r="A47" s="26">
        <v>20</v>
      </c>
      <c r="B47" s="53" t="s">
        <v>35</v>
      </c>
      <c r="C47" s="54" t="s">
        <v>94</v>
      </c>
      <c r="D47" s="53" t="s">
        <v>40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3"/>
        <v>5.3807195075999994</v>
      </c>
      <c r="I47" s="12">
        <f>F47/2*G47</f>
        <v>2690.3597537999999</v>
      </c>
    </row>
    <row r="48" spans="1:9" ht="30" hidden="1" customHeight="1">
      <c r="A48" s="26">
        <v>21</v>
      </c>
      <c r="B48" s="53" t="s">
        <v>53</v>
      </c>
      <c r="C48" s="54" t="s">
        <v>94</v>
      </c>
      <c r="D48" s="53" t="s">
        <v>125</v>
      </c>
      <c r="E48" s="55">
        <v>1015.4</v>
      </c>
      <c r="F48" s="56">
        <f>SUM(E48*5/1000)</f>
        <v>5.077</v>
      </c>
      <c r="G48" s="135">
        <v>1083.69</v>
      </c>
      <c r="H48" s="57">
        <f t="shared" si="3"/>
        <v>5.5018941300000002</v>
      </c>
      <c r="I48" s="12">
        <f>3.945*G48</f>
        <v>4275.1570499999998</v>
      </c>
    </row>
    <row r="49" spans="1:9" ht="23.25" hidden="1" customHeight="1">
      <c r="A49" s="26"/>
      <c r="B49" s="53" t="s">
        <v>99</v>
      </c>
      <c r="C49" s="54" t="s">
        <v>94</v>
      </c>
      <c r="D49" s="53" t="s">
        <v>40</v>
      </c>
      <c r="E49" s="55">
        <v>1015.4</v>
      </c>
      <c r="F49" s="56">
        <f>SUM(E49*2/1000)</f>
        <v>2.0308000000000002</v>
      </c>
      <c r="G49" s="12">
        <v>1297.28</v>
      </c>
      <c r="H49" s="57">
        <f t="shared" si="3"/>
        <v>2.634516224</v>
      </c>
      <c r="I49" s="12">
        <v>0</v>
      </c>
    </row>
    <row r="50" spans="1:9" ht="18.75" hidden="1" customHeight="1">
      <c r="A50" s="26"/>
      <c r="B50" s="53" t="s">
        <v>100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2918.89</v>
      </c>
      <c r="H50" s="57">
        <f t="shared" si="3"/>
        <v>1.7513339999999997</v>
      </c>
      <c r="I50" s="12">
        <v>0</v>
      </c>
    </row>
    <row r="51" spans="1:9" ht="15.75" hidden="1" customHeight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6042.13</v>
      </c>
      <c r="H51" s="57">
        <f t="shared" si="3"/>
        <v>0.12084260000000001</v>
      </c>
      <c r="I51" s="12">
        <v>0</v>
      </c>
    </row>
    <row r="52" spans="1:9" ht="15" customHeight="1">
      <c r="A52" s="26">
        <v>8</v>
      </c>
      <c r="B52" s="53" t="s">
        <v>114</v>
      </c>
      <c r="C52" s="54" t="s">
        <v>80</v>
      </c>
      <c r="D52" s="195">
        <v>44350</v>
      </c>
      <c r="E52" s="55">
        <v>90</v>
      </c>
      <c r="F52" s="56">
        <f>E52*4</f>
        <v>360</v>
      </c>
      <c r="G52" s="135">
        <v>185.08</v>
      </c>
      <c r="H52" s="57">
        <f>F52*G52/1000</f>
        <v>66.628799999999998</v>
      </c>
      <c r="I52" s="12">
        <f>G52*E52</f>
        <v>16657.2</v>
      </c>
    </row>
    <row r="53" spans="1:9" ht="18" customHeight="1">
      <c r="A53" s="26">
        <v>9</v>
      </c>
      <c r="B53" s="53" t="s">
        <v>39</v>
      </c>
      <c r="C53" s="54" t="s">
        <v>80</v>
      </c>
      <c r="D53" s="195">
        <v>44350</v>
      </c>
      <c r="E53" s="55">
        <v>180</v>
      </c>
      <c r="F53" s="56">
        <f>SUM(E53)*3</f>
        <v>540</v>
      </c>
      <c r="G53" s="138">
        <v>86.15</v>
      </c>
      <c r="H53" s="57">
        <f t="shared" si="3"/>
        <v>46.521000000000001</v>
      </c>
      <c r="I53" s="12">
        <f>G53*E53</f>
        <v>15507.000000000002</v>
      </c>
    </row>
    <row r="54" spans="1:9">
      <c r="A54" s="222" t="s">
        <v>122</v>
      </c>
      <c r="B54" s="223"/>
      <c r="C54" s="223"/>
      <c r="D54" s="223"/>
      <c r="E54" s="223"/>
      <c r="F54" s="223"/>
      <c r="G54" s="223"/>
      <c r="H54" s="223"/>
      <c r="I54" s="224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idden="1">
      <c r="A56" s="26">
        <v>10</v>
      </c>
      <c r="B56" s="203" t="s">
        <v>102</v>
      </c>
      <c r="C56" s="204" t="s">
        <v>31</v>
      </c>
      <c r="D56" s="203" t="s">
        <v>274</v>
      </c>
      <c r="E56" s="205"/>
      <c r="F56" s="206">
        <v>3</v>
      </c>
      <c r="G56" s="107">
        <v>1582.05</v>
      </c>
      <c r="H56" s="66"/>
      <c r="I56" s="12">
        <f>G56*1</f>
        <v>1582.05</v>
      </c>
    </row>
    <row r="57" spans="1:9" ht="17.25" customHeight="1">
      <c r="A57" s="26"/>
      <c r="B57" s="76" t="s">
        <v>42</v>
      </c>
      <c r="C57" s="63"/>
      <c r="D57" s="62"/>
      <c r="E57" s="64"/>
      <c r="F57" s="65"/>
      <c r="G57" s="12"/>
      <c r="H57" s="66"/>
      <c r="I57" s="12"/>
    </row>
    <row r="58" spans="1:9" hidden="1">
      <c r="A58" s="26"/>
      <c r="B58" s="62" t="s">
        <v>166</v>
      </c>
      <c r="C58" s="63" t="s">
        <v>50</v>
      </c>
      <c r="D58" s="62" t="s">
        <v>51</v>
      </c>
      <c r="E58" s="64">
        <v>1015.4</v>
      </c>
      <c r="F58" s="65">
        <v>10.154</v>
      </c>
      <c r="G58" s="12">
        <v>848.37</v>
      </c>
      <c r="H58" s="66">
        <f>F58*G58/1000</f>
        <v>8.6143489800000008</v>
      </c>
      <c r="I58" s="12">
        <v>0</v>
      </c>
    </row>
    <row r="59" spans="1:9" ht="21" customHeight="1">
      <c r="A59" s="26">
        <v>10</v>
      </c>
      <c r="B59" s="62" t="s">
        <v>81</v>
      </c>
      <c r="C59" s="63" t="s">
        <v>25</v>
      </c>
      <c r="D59" s="62" t="s">
        <v>191</v>
      </c>
      <c r="E59" s="64">
        <v>203.1</v>
      </c>
      <c r="F59" s="67">
        <f>E59*12</f>
        <v>2437.1999999999998</v>
      </c>
      <c r="G59" s="48">
        <v>1.4</v>
      </c>
      <c r="H59" s="65">
        <f>F59*G59/1000</f>
        <v>3.4120799999999996</v>
      </c>
      <c r="I59" s="12">
        <f>2400/12*G59</f>
        <v>280</v>
      </c>
    </row>
    <row r="60" spans="1:9">
      <c r="A60" s="26"/>
      <c r="B60" s="76" t="s">
        <v>43</v>
      </c>
      <c r="C60" s="63"/>
      <c r="D60" s="62"/>
      <c r="E60" s="64"/>
      <c r="F60" s="67"/>
      <c r="G60" s="67"/>
      <c r="H60" s="65" t="s">
        <v>119</v>
      </c>
      <c r="I60" s="12"/>
    </row>
    <row r="61" spans="1:9" hidden="1">
      <c r="A61" s="26">
        <v>19</v>
      </c>
      <c r="B61" s="13" t="s">
        <v>44</v>
      </c>
      <c r="C61" s="15" t="s">
        <v>80</v>
      </c>
      <c r="D61" s="13" t="s">
        <v>63</v>
      </c>
      <c r="E61" s="17">
        <v>10</v>
      </c>
      <c r="F61" s="56">
        <v>10</v>
      </c>
      <c r="G61" s="12">
        <v>237.75</v>
      </c>
      <c r="H61" s="68">
        <f t="shared" ref="H61:H74" si="4">SUM(F61*G61/1000)</f>
        <v>2.3774999999999999</v>
      </c>
      <c r="I61" s="12">
        <f>G61</f>
        <v>237.75</v>
      </c>
    </row>
    <row r="62" spans="1:9" hidden="1">
      <c r="A62" s="26"/>
      <c r="B62" s="13" t="s">
        <v>45</v>
      </c>
      <c r="C62" s="15" t="s">
        <v>80</v>
      </c>
      <c r="D62" s="13" t="s">
        <v>63</v>
      </c>
      <c r="E62" s="17">
        <v>5</v>
      </c>
      <c r="F62" s="56">
        <v>5</v>
      </c>
      <c r="G62" s="12">
        <v>81.510000000000005</v>
      </c>
      <c r="H62" s="68">
        <f t="shared" si="4"/>
        <v>0.40755000000000002</v>
      </c>
      <c r="I62" s="12">
        <v>0</v>
      </c>
    </row>
    <row r="63" spans="1:9">
      <c r="A63" s="26">
        <v>11</v>
      </c>
      <c r="B63" s="13" t="s">
        <v>46</v>
      </c>
      <c r="C63" s="15" t="s">
        <v>103</v>
      </c>
      <c r="D63" s="13"/>
      <c r="E63" s="55">
        <v>14205</v>
      </c>
      <c r="F63" s="12">
        <f>SUM(E63/100)</f>
        <v>142.05000000000001</v>
      </c>
      <c r="G63" s="135">
        <v>278.24</v>
      </c>
      <c r="H63" s="68">
        <f t="shared" si="4"/>
        <v>39.523992000000007</v>
      </c>
      <c r="I63" s="12">
        <f>F63*G63</f>
        <v>39523.992000000006</v>
      </c>
    </row>
    <row r="64" spans="1:9">
      <c r="A64" s="26">
        <v>12</v>
      </c>
      <c r="B64" s="13" t="s">
        <v>47</v>
      </c>
      <c r="C64" s="15" t="s">
        <v>104</v>
      </c>
      <c r="D64" s="13"/>
      <c r="E64" s="55">
        <v>14205</v>
      </c>
      <c r="F64" s="12">
        <f>SUM(E64/1000)</f>
        <v>14.205</v>
      </c>
      <c r="G64" s="135">
        <v>216.68</v>
      </c>
      <c r="H64" s="68">
        <f t="shared" si="4"/>
        <v>3.0779394</v>
      </c>
      <c r="I64" s="12">
        <f>F64*G64</f>
        <v>3077.9394000000002</v>
      </c>
    </row>
    <row r="65" spans="1:9">
      <c r="A65" s="26">
        <v>13</v>
      </c>
      <c r="B65" s="13" t="s">
        <v>48</v>
      </c>
      <c r="C65" s="15" t="s">
        <v>72</v>
      </c>
      <c r="D65" s="13"/>
      <c r="E65" s="55">
        <v>2131</v>
      </c>
      <c r="F65" s="12">
        <f>SUM(E65/100)</f>
        <v>21.31</v>
      </c>
      <c r="G65" s="135">
        <v>2720.94</v>
      </c>
      <c r="H65" s="68">
        <f t="shared" si="4"/>
        <v>57.983231399999994</v>
      </c>
      <c r="I65" s="12">
        <f>F65*G65</f>
        <v>57983.231399999997</v>
      </c>
    </row>
    <row r="66" spans="1:9">
      <c r="A66" s="26">
        <v>14</v>
      </c>
      <c r="B66" s="69" t="s">
        <v>105</v>
      </c>
      <c r="C66" s="15" t="s">
        <v>32</v>
      </c>
      <c r="D66" s="13"/>
      <c r="E66" s="55">
        <v>12.48</v>
      </c>
      <c r="F66" s="12">
        <f>SUM(E66)</f>
        <v>12.48</v>
      </c>
      <c r="G66" s="135">
        <v>44.31</v>
      </c>
      <c r="H66" s="68">
        <f t="shared" si="4"/>
        <v>0.55298880000000006</v>
      </c>
      <c r="I66" s="12">
        <f>7*G66</f>
        <v>310.17</v>
      </c>
    </row>
    <row r="67" spans="1:9">
      <c r="A67" s="26">
        <v>15</v>
      </c>
      <c r="B67" s="69" t="s">
        <v>106</v>
      </c>
      <c r="C67" s="15" t="s">
        <v>32</v>
      </c>
      <c r="D67" s="13"/>
      <c r="E67" s="55">
        <v>12.48</v>
      </c>
      <c r="F67" s="12">
        <f>SUM(E67)</f>
        <v>12.48</v>
      </c>
      <c r="G67" s="135">
        <v>47.79</v>
      </c>
      <c r="H67" s="68">
        <f t="shared" si="4"/>
        <v>0.59641920000000004</v>
      </c>
      <c r="I67" s="12">
        <f>7*G67</f>
        <v>334.53</v>
      </c>
    </row>
    <row r="68" spans="1:9" hidden="1">
      <c r="A68" s="26"/>
      <c r="B68" s="13" t="s">
        <v>54</v>
      </c>
      <c r="C68" s="15" t="s">
        <v>55</v>
      </c>
      <c r="D68" s="13" t="s">
        <v>51</v>
      </c>
      <c r="E68" s="17">
        <v>5</v>
      </c>
      <c r="F68" s="56">
        <v>5</v>
      </c>
      <c r="G68" s="12">
        <v>53.32</v>
      </c>
      <c r="H68" s="68">
        <f t="shared" si="4"/>
        <v>0.2666</v>
      </c>
      <c r="I68" s="12">
        <v>0</v>
      </c>
    </row>
    <row r="69" spans="1:9" hidden="1">
      <c r="A69" s="26"/>
      <c r="B69" s="122" t="s">
        <v>67</v>
      </c>
      <c r="C69" s="15"/>
      <c r="D69" s="13"/>
      <c r="E69" s="17"/>
      <c r="F69" s="12"/>
      <c r="G69" s="12"/>
      <c r="H69" s="68" t="s">
        <v>119</v>
      </c>
      <c r="I69" s="12"/>
    </row>
    <row r="70" spans="1:9" hidden="1">
      <c r="A70" s="26">
        <v>21</v>
      </c>
      <c r="B70" s="13" t="s">
        <v>68</v>
      </c>
      <c r="C70" s="15" t="s">
        <v>70</v>
      </c>
      <c r="D70" s="13" t="s">
        <v>63</v>
      </c>
      <c r="E70" s="17">
        <v>2</v>
      </c>
      <c r="F70" s="12">
        <v>0.2</v>
      </c>
      <c r="G70" s="12">
        <v>536.23</v>
      </c>
      <c r="H70" s="68">
        <f t="shared" si="4"/>
        <v>0.10724600000000001</v>
      </c>
      <c r="I70" s="12">
        <f>G70*0.1</f>
        <v>53.623000000000005</v>
      </c>
    </row>
    <row r="71" spans="1:9" hidden="1">
      <c r="A71" s="26"/>
      <c r="B71" s="13" t="s">
        <v>69</v>
      </c>
      <c r="C71" s="15" t="s">
        <v>30</v>
      </c>
      <c r="D71" s="13" t="s">
        <v>63</v>
      </c>
      <c r="E71" s="17">
        <v>1</v>
      </c>
      <c r="F71" s="48">
        <v>1</v>
      </c>
      <c r="G71" s="12">
        <v>911.85</v>
      </c>
      <c r="H71" s="68">
        <f>F71*G71/1000</f>
        <v>0.91185000000000005</v>
      </c>
      <c r="I71" s="12">
        <v>0</v>
      </c>
    </row>
    <row r="72" spans="1:9" hidden="1">
      <c r="A72" s="26"/>
      <c r="B72" s="13" t="s">
        <v>167</v>
      </c>
      <c r="C72" s="15" t="s">
        <v>30</v>
      </c>
      <c r="D72" s="13" t="s">
        <v>63</v>
      </c>
      <c r="E72" s="17">
        <v>1</v>
      </c>
      <c r="F72" s="12">
        <v>1</v>
      </c>
      <c r="G72" s="12">
        <v>383.25</v>
      </c>
      <c r="H72" s="68">
        <f>G72*F72/1000</f>
        <v>0.38324999999999998</v>
      </c>
      <c r="I72" s="12">
        <v>0</v>
      </c>
    </row>
    <row r="73" spans="1:9" hidden="1">
      <c r="A73" s="26"/>
      <c r="B73" s="70" t="s">
        <v>71</v>
      </c>
      <c r="C73" s="15"/>
      <c r="D73" s="13"/>
      <c r="E73" s="17"/>
      <c r="F73" s="12"/>
      <c r="G73" s="12" t="s">
        <v>119</v>
      </c>
      <c r="H73" s="68" t="s">
        <v>119</v>
      </c>
      <c r="I73" s="12"/>
    </row>
    <row r="74" spans="1:9" hidden="1">
      <c r="A74" s="26">
        <v>22</v>
      </c>
      <c r="B74" s="39" t="s">
        <v>109</v>
      </c>
      <c r="C74" s="15" t="s">
        <v>72</v>
      </c>
      <c r="D74" s="13"/>
      <c r="E74" s="17"/>
      <c r="F74" s="12">
        <v>0.9</v>
      </c>
      <c r="G74" s="12">
        <v>2757.42</v>
      </c>
      <c r="H74" s="68">
        <f t="shared" si="4"/>
        <v>2.4816780000000005</v>
      </c>
      <c r="I74" s="12">
        <f>G74*F74</f>
        <v>2481.6780000000003</v>
      </c>
    </row>
    <row r="75" spans="1:9" ht="28.5">
      <c r="A75" s="26"/>
      <c r="B75" s="122" t="s">
        <v>107</v>
      </c>
      <c r="C75" s="70"/>
      <c r="D75" s="28"/>
      <c r="E75" s="29"/>
      <c r="F75" s="59"/>
      <c r="G75" s="59"/>
      <c r="H75" s="71">
        <f>SUM(H56:H74)</f>
        <v>120.69667378000001</v>
      </c>
      <c r="I75" s="59"/>
    </row>
    <row r="76" spans="1:9">
      <c r="A76" s="124">
        <v>16</v>
      </c>
      <c r="B76" s="62" t="s">
        <v>108</v>
      </c>
      <c r="C76" s="125"/>
      <c r="D76" s="126"/>
      <c r="E76" s="49"/>
      <c r="F76" s="74">
        <v>1</v>
      </c>
      <c r="G76" s="74">
        <v>506.5</v>
      </c>
      <c r="H76" s="127">
        <f>G76*F76/1000</f>
        <v>0.50649999999999995</v>
      </c>
      <c r="I76" s="74">
        <f>G76</f>
        <v>506.5</v>
      </c>
    </row>
    <row r="77" spans="1:9" ht="15" customHeight="1">
      <c r="A77" s="26"/>
      <c r="B77" s="146" t="s">
        <v>135</v>
      </c>
      <c r="C77" s="137"/>
      <c r="D77" s="13"/>
      <c r="E77" s="17"/>
      <c r="F77" s="12"/>
      <c r="G77" s="12"/>
      <c r="H77" s="12"/>
      <c r="I77" s="12"/>
    </row>
    <row r="78" spans="1:9" ht="29.25" customHeight="1">
      <c r="A78" s="26">
        <v>17</v>
      </c>
      <c r="B78" s="106" t="s">
        <v>136</v>
      </c>
      <c r="C78" s="32" t="s">
        <v>137</v>
      </c>
      <c r="D78" s="13"/>
      <c r="E78" s="17"/>
      <c r="F78" s="12"/>
      <c r="G78" s="107">
        <v>2.2799999999999998</v>
      </c>
      <c r="H78" s="12"/>
      <c r="I78" s="12">
        <f>47340/12*G78</f>
        <v>8994.5999999999985</v>
      </c>
    </row>
    <row r="79" spans="1:9" ht="29.25" customHeight="1">
      <c r="A79" s="26">
        <v>18</v>
      </c>
      <c r="B79" s="110" t="s">
        <v>138</v>
      </c>
      <c r="C79" s="111" t="s">
        <v>80</v>
      </c>
      <c r="D79" s="13" t="s">
        <v>191</v>
      </c>
      <c r="E79" s="17"/>
      <c r="F79" s="12"/>
      <c r="G79" s="107">
        <v>50.68</v>
      </c>
      <c r="H79" s="12"/>
      <c r="I79" s="12">
        <f>12/12*G79</f>
        <v>50.68</v>
      </c>
    </row>
    <row r="80" spans="1:9">
      <c r="A80" s="230" t="s">
        <v>123</v>
      </c>
      <c r="B80" s="231"/>
      <c r="C80" s="231"/>
      <c r="D80" s="231"/>
      <c r="E80" s="231"/>
      <c r="F80" s="231"/>
      <c r="G80" s="231"/>
      <c r="H80" s="231"/>
      <c r="I80" s="232"/>
    </row>
    <row r="81" spans="1:9" ht="18.75" customHeight="1">
      <c r="A81" s="77">
        <v>19</v>
      </c>
      <c r="B81" s="128" t="s">
        <v>110</v>
      </c>
      <c r="C81" s="129" t="s">
        <v>52</v>
      </c>
      <c r="D81" s="130"/>
      <c r="E81" s="131">
        <v>3945</v>
      </c>
      <c r="F81" s="131">
        <f>SUM(E81*12)</f>
        <v>47340</v>
      </c>
      <c r="G81" s="136">
        <v>3.1</v>
      </c>
      <c r="H81" s="132">
        <f>SUM(F81*G81/1000)</f>
        <v>146.75399999999999</v>
      </c>
      <c r="I81" s="131">
        <f>F81/12*G81</f>
        <v>12229.5</v>
      </c>
    </row>
    <row r="82" spans="1:9" ht="29.25" customHeight="1">
      <c r="A82" s="26">
        <v>20</v>
      </c>
      <c r="B82" s="13" t="s">
        <v>73</v>
      </c>
      <c r="C82" s="15"/>
      <c r="D82" s="130"/>
      <c r="E82" s="55">
        <f>E81</f>
        <v>3945</v>
      </c>
      <c r="F82" s="12">
        <f>E82*12</f>
        <v>47340</v>
      </c>
      <c r="G82" s="135">
        <v>3.5</v>
      </c>
      <c r="H82" s="68">
        <f>F82*G82/1000</f>
        <v>165.69</v>
      </c>
      <c r="I82" s="12">
        <f>F82/12*G82</f>
        <v>13807.5</v>
      </c>
    </row>
    <row r="83" spans="1:9">
      <c r="A83" s="26"/>
      <c r="B83" s="31" t="s">
        <v>75</v>
      </c>
      <c r="C83" s="32"/>
      <c r="D83" s="14"/>
      <c r="E83" s="14"/>
      <c r="F83" s="17"/>
      <c r="G83" s="133"/>
      <c r="H83" s="71">
        <f>H82</f>
        <v>165.69</v>
      </c>
      <c r="I83" s="29">
        <f>I82+I81+I79+I78+I76+I67+I66+I65+I64+I63+I59+I53+I52+I31+I29+I28+I19+I18+I17+I16</f>
        <v>188960.30212800001</v>
      </c>
    </row>
    <row r="84" spans="1:9">
      <c r="A84" s="227" t="s">
        <v>57</v>
      </c>
      <c r="B84" s="228"/>
      <c r="C84" s="228"/>
      <c r="D84" s="228"/>
      <c r="E84" s="228"/>
      <c r="F84" s="228"/>
      <c r="G84" s="228"/>
      <c r="H84" s="228"/>
      <c r="I84" s="229"/>
    </row>
    <row r="85" spans="1:9" hidden="1">
      <c r="A85" s="26">
        <v>34</v>
      </c>
      <c r="B85" s="110"/>
      <c r="C85" s="111" t="s">
        <v>29</v>
      </c>
      <c r="D85" s="39"/>
      <c r="E85" s="12"/>
      <c r="F85" s="12">
        <v>2</v>
      </c>
      <c r="G85" s="107">
        <v>1158.7</v>
      </c>
      <c r="H85" s="12">
        <f>G85*F85/1000</f>
        <v>2.3174000000000001</v>
      </c>
      <c r="I85" s="74">
        <f>G85*0.0431</f>
        <v>49.939970000000002</v>
      </c>
    </row>
    <row r="86" spans="1:9" hidden="1">
      <c r="A86" s="26">
        <v>28</v>
      </c>
      <c r="B86" s="72"/>
      <c r="C86" s="73"/>
      <c r="D86" s="39"/>
      <c r="E86" s="12"/>
      <c r="F86" s="12">
        <v>1</v>
      </c>
      <c r="G86" s="12"/>
      <c r="H86" s="68">
        <f>G86*F86/1000</f>
        <v>0</v>
      </c>
      <c r="I86" s="74"/>
    </row>
    <row r="87" spans="1:9" hidden="1">
      <c r="A87" s="26">
        <v>29</v>
      </c>
      <c r="B87" s="72"/>
      <c r="C87" s="73"/>
      <c r="D87" s="39"/>
      <c r="E87" s="12"/>
      <c r="F87" s="12">
        <v>4</v>
      </c>
      <c r="G87" s="12"/>
      <c r="H87" s="68">
        <f>G87*F87/1000</f>
        <v>0</v>
      </c>
      <c r="I87" s="74">
        <f>G87</f>
        <v>0</v>
      </c>
    </row>
    <row r="88" spans="1:9" hidden="1">
      <c r="A88" s="26">
        <v>30</v>
      </c>
      <c r="B88" s="72"/>
      <c r="C88" s="73"/>
      <c r="D88" s="39"/>
      <c r="E88" s="12"/>
      <c r="F88" s="12">
        <v>2</v>
      </c>
      <c r="G88" s="12"/>
      <c r="H88" s="68">
        <f>G88*F88/1000</f>
        <v>0</v>
      </c>
      <c r="I88" s="74"/>
    </row>
    <row r="89" spans="1:9" hidden="1">
      <c r="A89" s="134">
        <v>31</v>
      </c>
      <c r="B89" s="72"/>
      <c r="C89" s="109"/>
      <c r="D89" s="39"/>
      <c r="E89" s="12"/>
      <c r="F89" s="12">
        <v>1</v>
      </c>
      <c r="G89" s="12"/>
      <c r="H89" s="68">
        <f>G89*F89/1000</f>
        <v>0</v>
      </c>
      <c r="I89" s="74"/>
    </row>
    <row r="90" spans="1:9">
      <c r="A90" s="134">
        <v>21</v>
      </c>
      <c r="B90" s="110" t="s">
        <v>267</v>
      </c>
      <c r="C90" s="111" t="s">
        <v>181</v>
      </c>
      <c r="D90" s="201" t="s">
        <v>272</v>
      </c>
      <c r="E90" s="107"/>
      <c r="F90" s="107">
        <v>5</v>
      </c>
      <c r="G90" s="107">
        <v>295.36</v>
      </c>
      <c r="H90" s="68"/>
      <c r="I90" s="74">
        <v>0</v>
      </c>
    </row>
    <row r="91" spans="1:9">
      <c r="A91" s="26">
        <v>22</v>
      </c>
      <c r="B91" s="110" t="s">
        <v>207</v>
      </c>
      <c r="C91" s="111" t="s">
        <v>25</v>
      </c>
      <c r="D91" s="201" t="s">
        <v>273</v>
      </c>
      <c r="E91" s="107"/>
      <c r="F91" s="107">
        <v>6</v>
      </c>
      <c r="G91" s="107">
        <v>711.82</v>
      </c>
      <c r="H91" s="68"/>
      <c r="I91" s="74">
        <f>G91*60</f>
        <v>42709.200000000004</v>
      </c>
    </row>
    <row r="92" spans="1:9" ht="30">
      <c r="A92" s="26">
        <v>26</v>
      </c>
      <c r="B92" s="110" t="s">
        <v>268</v>
      </c>
      <c r="C92" s="111" t="s">
        <v>269</v>
      </c>
      <c r="D92" s="201"/>
      <c r="E92" s="107"/>
      <c r="F92" s="107">
        <v>0.5</v>
      </c>
      <c r="G92" s="107">
        <v>1366.66</v>
      </c>
      <c r="H92" s="68"/>
      <c r="I92" s="74">
        <f>G92*0.5</f>
        <v>683.33</v>
      </c>
    </row>
    <row r="93" spans="1:9">
      <c r="A93" s="26">
        <v>27</v>
      </c>
      <c r="B93" s="110" t="s">
        <v>270</v>
      </c>
      <c r="C93" s="111" t="s">
        <v>247</v>
      </c>
      <c r="D93" s="201" t="s">
        <v>274</v>
      </c>
      <c r="E93" s="107"/>
      <c r="F93" s="107">
        <v>1</v>
      </c>
      <c r="G93" s="107">
        <v>2006</v>
      </c>
      <c r="H93" s="68"/>
      <c r="I93" s="74">
        <f>G93*1</f>
        <v>2006</v>
      </c>
    </row>
    <row r="94" spans="1:9" ht="30">
      <c r="A94" s="26">
        <v>28</v>
      </c>
      <c r="B94" s="110" t="s">
        <v>271</v>
      </c>
      <c r="C94" s="111" t="s">
        <v>181</v>
      </c>
      <c r="D94" s="201" t="s">
        <v>275</v>
      </c>
      <c r="E94" s="107"/>
      <c r="F94" s="107">
        <v>1</v>
      </c>
      <c r="G94" s="107">
        <v>1584.54</v>
      </c>
      <c r="H94" s="68"/>
      <c r="I94" s="74">
        <f>G94*1</f>
        <v>1584.54</v>
      </c>
    </row>
    <row r="95" spans="1:9">
      <c r="A95" s="26">
        <v>29</v>
      </c>
      <c r="B95" s="110" t="s">
        <v>199</v>
      </c>
      <c r="C95" s="111" t="s">
        <v>200</v>
      </c>
      <c r="D95" s="201" t="s">
        <v>276</v>
      </c>
      <c r="E95" s="107"/>
      <c r="F95" s="107">
        <v>2</v>
      </c>
      <c r="G95" s="107">
        <v>231.54</v>
      </c>
      <c r="H95" s="68"/>
      <c r="I95" s="74">
        <v>0</v>
      </c>
    </row>
    <row r="96" spans="1:9" ht="15.75" customHeight="1">
      <c r="A96" s="26"/>
      <c r="B96" s="37" t="s">
        <v>49</v>
      </c>
      <c r="C96" s="33"/>
      <c r="D96" s="40"/>
      <c r="E96" s="33">
        <v>1</v>
      </c>
      <c r="F96" s="33"/>
      <c r="G96" s="33"/>
      <c r="H96" s="33"/>
      <c r="I96" s="29">
        <f>SUM(I90:I94)</f>
        <v>46983.070000000007</v>
      </c>
    </row>
    <row r="97" spans="1:9">
      <c r="A97" s="26"/>
      <c r="B97" s="39" t="s">
        <v>74</v>
      </c>
      <c r="C97" s="14"/>
      <c r="D97" s="14"/>
      <c r="E97" s="34"/>
      <c r="F97" s="34"/>
      <c r="G97" s="35"/>
      <c r="H97" s="35"/>
      <c r="I97" s="16">
        <v>0</v>
      </c>
    </row>
    <row r="98" spans="1:9">
      <c r="A98" s="41"/>
      <c r="B98" s="38" t="s">
        <v>168</v>
      </c>
      <c r="C98" s="30"/>
      <c r="D98" s="30"/>
      <c r="E98" s="30"/>
      <c r="F98" s="30"/>
      <c r="G98" s="30"/>
      <c r="H98" s="30"/>
      <c r="I98" s="36">
        <f>I83+I96</f>
        <v>235943.37212800002</v>
      </c>
    </row>
    <row r="99" spans="1:9" ht="15.75">
      <c r="A99" s="226" t="s">
        <v>277</v>
      </c>
      <c r="B99" s="226"/>
      <c r="C99" s="226"/>
      <c r="D99" s="226"/>
      <c r="E99" s="226"/>
      <c r="F99" s="226"/>
      <c r="G99" s="226"/>
      <c r="H99" s="226"/>
      <c r="I99" s="226"/>
    </row>
    <row r="100" spans="1:9" ht="15.75">
      <c r="A100" s="78"/>
      <c r="B100" s="233" t="s">
        <v>278</v>
      </c>
      <c r="C100" s="233"/>
      <c r="D100" s="233"/>
      <c r="E100" s="233"/>
      <c r="F100" s="233"/>
      <c r="G100" s="233"/>
      <c r="H100" s="52"/>
      <c r="I100" s="3"/>
    </row>
    <row r="101" spans="1:9">
      <c r="A101" s="120"/>
      <c r="B101" s="234" t="s">
        <v>6</v>
      </c>
      <c r="C101" s="234"/>
      <c r="D101" s="234"/>
      <c r="E101" s="234"/>
      <c r="F101" s="234"/>
      <c r="G101" s="234"/>
      <c r="H101" s="21"/>
      <c r="I101" s="5"/>
    </row>
    <row r="102" spans="1:9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>
      <c r="A103" s="235" t="s">
        <v>7</v>
      </c>
      <c r="B103" s="235"/>
      <c r="C103" s="235"/>
      <c r="D103" s="235"/>
      <c r="E103" s="235"/>
      <c r="F103" s="235"/>
      <c r="G103" s="235"/>
      <c r="H103" s="235"/>
      <c r="I103" s="235"/>
    </row>
    <row r="104" spans="1:9" ht="15.75">
      <c r="A104" s="235" t="s">
        <v>8</v>
      </c>
      <c r="B104" s="235"/>
      <c r="C104" s="235"/>
      <c r="D104" s="235"/>
      <c r="E104" s="235"/>
      <c r="F104" s="235"/>
      <c r="G104" s="235"/>
      <c r="H104" s="235"/>
      <c r="I104" s="235"/>
    </row>
    <row r="105" spans="1:9" ht="15.75">
      <c r="A105" s="236" t="s">
        <v>58</v>
      </c>
      <c r="B105" s="236"/>
      <c r="C105" s="236"/>
      <c r="D105" s="236"/>
      <c r="E105" s="236"/>
      <c r="F105" s="236"/>
      <c r="G105" s="236"/>
      <c r="H105" s="236"/>
      <c r="I105" s="236"/>
    </row>
    <row r="106" spans="1:9" ht="15.75">
      <c r="A106" s="10"/>
    </row>
    <row r="107" spans="1:9" ht="15.75">
      <c r="A107" s="220" t="s">
        <v>9</v>
      </c>
      <c r="B107" s="220"/>
      <c r="C107" s="220"/>
      <c r="D107" s="220"/>
      <c r="E107" s="220"/>
      <c r="F107" s="220"/>
      <c r="G107" s="220"/>
      <c r="H107" s="220"/>
      <c r="I107" s="220"/>
    </row>
    <row r="108" spans="1:9" ht="15.75">
      <c r="A108" s="4"/>
    </row>
    <row r="109" spans="1:9" ht="15.75">
      <c r="B109" s="121" t="s">
        <v>10</v>
      </c>
      <c r="C109" s="238" t="s">
        <v>215</v>
      </c>
      <c r="D109" s="238"/>
      <c r="E109" s="238"/>
      <c r="F109" s="50"/>
      <c r="I109" s="119"/>
    </row>
    <row r="110" spans="1:9">
      <c r="A110" s="120"/>
      <c r="C110" s="234" t="s">
        <v>11</v>
      </c>
      <c r="D110" s="234"/>
      <c r="E110" s="234"/>
      <c r="F110" s="21"/>
      <c r="I110" s="118" t="s">
        <v>12</v>
      </c>
    </row>
    <row r="111" spans="1:9" ht="15.75">
      <c r="A111" s="22"/>
      <c r="C111" s="11"/>
      <c r="D111" s="11"/>
      <c r="G111" s="11"/>
      <c r="H111" s="11"/>
    </row>
    <row r="112" spans="1:9" ht="15.75">
      <c r="B112" s="121" t="s">
        <v>13</v>
      </c>
      <c r="C112" s="239"/>
      <c r="D112" s="239"/>
      <c r="E112" s="239"/>
      <c r="F112" s="51"/>
      <c r="I112" s="119"/>
    </row>
    <row r="113" spans="1:9">
      <c r="A113" s="120"/>
      <c r="C113" s="240" t="s">
        <v>11</v>
      </c>
      <c r="D113" s="240"/>
      <c r="E113" s="240"/>
      <c r="F113" s="120"/>
      <c r="I113" s="118" t="s">
        <v>12</v>
      </c>
    </row>
    <row r="114" spans="1:9" ht="15.75">
      <c r="A114" s="4" t="s">
        <v>14</v>
      </c>
    </row>
    <row r="115" spans="1:9">
      <c r="A115" s="241" t="s">
        <v>15</v>
      </c>
      <c r="B115" s="241"/>
      <c r="C115" s="241"/>
      <c r="D115" s="241"/>
      <c r="E115" s="241"/>
      <c r="F115" s="241"/>
      <c r="G115" s="241"/>
      <c r="H115" s="241"/>
      <c r="I115" s="241"/>
    </row>
    <row r="116" spans="1:9" ht="45.75" customHeight="1">
      <c r="A116" s="237" t="s">
        <v>16</v>
      </c>
      <c r="B116" s="237"/>
      <c r="C116" s="237"/>
      <c r="D116" s="237"/>
      <c r="E116" s="237"/>
      <c r="F116" s="237"/>
      <c r="G116" s="237"/>
      <c r="H116" s="237"/>
      <c r="I116" s="237"/>
    </row>
    <row r="117" spans="1:9" ht="32.25" customHeight="1">
      <c r="A117" s="237" t="s">
        <v>17</v>
      </c>
      <c r="B117" s="237"/>
      <c r="C117" s="237"/>
      <c r="D117" s="237"/>
      <c r="E117" s="237"/>
      <c r="F117" s="237"/>
      <c r="G117" s="237"/>
      <c r="H117" s="237"/>
      <c r="I117" s="237"/>
    </row>
    <row r="118" spans="1:9" ht="33" customHeight="1">
      <c r="A118" s="237" t="s">
        <v>21</v>
      </c>
      <c r="B118" s="237"/>
      <c r="C118" s="237"/>
      <c r="D118" s="237"/>
      <c r="E118" s="237"/>
      <c r="F118" s="237"/>
      <c r="G118" s="237"/>
      <c r="H118" s="237"/>
      <c r="I118" s="237"/>
    </row>
    <row r="119" spans="1:9" ht="15.75">
      <c r="A119" s="237" t="s">
        <v>20</v>
      </c>
      <c r="B119" s="237"/>
      <c r="C119" s="237"/>
      <c r="D119" s="237"/>
      <c r="E119" s="237"/>
      <c r="F119" s="237"/>
      <c r="G119" s="237"/>
      <c r="H119" s="237"/>
      <c r="I119" s="237"/>
    </row>
  </sheetData>
  <mergeCells count="28"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  <mergeCell ref="A105:I105"/>
    <mergeCell ref="A15:I15"/>
    <mergeCell ref="A26:I26"/>
    <mergeCell ref="A43:I43"/>
    <mergeCell ref="A54:I54"/>
    <mergeCell ref="A80:I80"/>
    <mergeCell ref="A84:I84"/>
    <mergeCell ref="A99:I99"/>
    <mergeCell ref="B100:G100"/>
    <mergeCell ref="B101:G101"/>
    <mergeCell ref="A103:I103"/>
    <mergeCell ref="A104:I104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  <rowBreaks count="1" manualBreakCount="1">
    <brk id="10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19"/>
  <sheetViews>
    <sheetView view="pageBreakPreview" topLeftCell="A79" zoomScale="60" zoomScaleNormal="100" workbookViewId="0">
      <selection activeCell="I109" sqref="I109"/>
    </sheetView>
  </sheetViews>
  <sheetFormatPr defaultRowHeight="15"/>
  <cols>
    <col min="1" max="1" width="10.7109375" customWidth="1"/>
    <col min="2" max="2" width="52.140625" customWidth="1"/>
    <col min="3" max="3" width="18.140625" customWidth="1"/>
    <col min="4" max="4" width="22.28515625" customWidth="1"/>
    <col min="5" max="6" width="0" hidden="1" customWidth="1"/>
    <col min="7" max="7" width="19.140625" customWidth="1"/>
    <col min="8" max="8" width="0" hidden="1" customWidth="1"/>
    <col min="9" max="9" width="17" customWidth="1"/>
  </cols>
  <sheetData>
    <row r="1" spans="1:9" ht="15.75">
      <c r="A1" s="24" t="s">
        <v>170</v>
      </c>
      <c r="I1" s="23"/>
    </row>
    <row r="2" spans="1:9" ht="15.75">
      <c r="A2" s="25" t="s">
        <v>59</v>
      </c>
    </row>
    <row r="3" spans="1:9" ht="15.75">
      <c r="A3" s="215" t="s">
        <v>171</v>
      </c>
      <c r="B3" s="215"/>
      <c r="C3" s="215"/>
      <c r="D3" s="215"/>
      <c r="E3" s="215"/>
      <c r="F3" s="215"/>
      <c r="G3" s="215"/>
      <c r="H3" s="215"/>
      <c r="I3" s="215"/>
    </row>
    <row r="4" spans="1:9" ht="35.25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9" ht="15.75">
      <c r="A5" s="215" t="s">
        <v>279</v>
      </c>
      <c r="B5" s="217"/>
      <c r="C5" s="217"/>
      <c r="D5" s="217"/>
      <c r="E5" s="217"/>
      <c r="F5" s="217"/>
      <c r="G5" s="217"/>
      <c r="H5" s="217"/>
      <c r="I5" s="217"/>
    </row>
    <row r="6" spans="1:9" ht="15.75">
      <c r="A6" s="2"/>
      <c r="B6" s="141"/>
      <c r="C6" s="141"/>
      <c r="D6" s="141"/>
      <c r="E6" s="141"/>
      <c r="F6" s="141"/>
      <c r="G6" s="141"/>
      <c r="H6" s="141"/>
      <c r="I6" s="27">
        <v>44408</v>
      </c>
    </row>
    <row r="7" spans="1:9" ht="15.75">
      <c r="B7" s="143"/>
      <c r="C7" s="143"/>
      <c r="D7" s="143"/>
      <c r="E7" s="3"/>
      <c r="F7" s="3"/>
      <c r="G7" s="3"/>
      <c r="H7" s="3"/>
    </row>
    <row r="8" spans="1:9" ht="99" customHeight="1">
      <c r="A8" s="218" t="s">
        <v>213</v>
      </c>
      <c r="B8" s="218"/>
      <c r="C8" s="218"/>
      <c r="D8" s="218"/>
      <c r="E8" s="218"/>
      <c r="F8" s="218"/>
      <c r="G8" s="218"/>
      <c r="H8" s="218"/>
      <c r="I8" s="218"/>
    </row>
    <row r="9" spans="1:9" ht="0.75" customHeight="1">
      <c r="A9" s="4"/>
    </row>
    <row r="10" spans="1:9" ht="77.25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</row>
    <row r="16" spans="1:9" ht="15.75" customHeight="1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 t="shared" ref="H16:H24" si="0">SUM(F16*G16/1000)</f>
        <v>34.100352000000008</v>
      </c>
      <c r="I16" s="12">
        <f>F16/12*G16</f>
        <v>2841.6960000000004</v>
      </c>
    </row>
    <row r="17" spans="1:9" ht="16.5" customHeight="1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 t="shared" si="0"/>
        <v>90.934271999999993</v>
      </c>
      <c r="I17" s="12">
        <f>F17/12*G17</f>
        <v>7577.8560000000007</v>
      </c>
    </row>
    <row r="18" spans="1:9" ht="16.5" customHeight="1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 t="shared" si="0"/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85</v>
      </c>
      <c r="C19" s="54" t="s">
        <v>86</v>
      </c>
      <c r="D19" s="53" t="s">
        <v>87</v>
      </c>
      <c r="E19" s="55">
        <v>57.6</v>
      </c>
      <c r="F19" s="56">
        <f>SUM(E19/10)</f>
        <v>5.76</v>
      </c>
      <c r="G19" s="56">
        <v>223.17</v>
      </c>
      <c r="H19" s="57">
        <f t="shared" si="0"/>
        <v>1.2854591999999998</v>
      </c>
      <c r="I19" s="12">
        <f>F19*G19</f>
        <v>1285.4591999999998</v>
      </c>
    </row>
    <row r="20" spans="1:9">
      <c r="A20" s="26">
        <v>4</v>
      </c>
      <c r="B20" s="53" t="s">
        <v>88</v>
      </c>
      <c r="C20" s="54" t="s">
        <v>84</v>
      </c>
      <c r="D20" s="53" t="s">
        <v>40</v>
      </c>
      <c r="E20" s="55">
        <v>43.2</v>
      </c>
      <c r="F20" s="56">
        <f>SUM(E20*2/100)</f>
        <v>0.8640000000000001</v>
      </c>
      <c r="G20" s="56">
        <v>285.76</v>
      </c>
      <c r="H20" s="57">
        <f t="shared" si="0"/>
        <v>0.24689664000000003</v>
      </c>
      <c r="I20" s="12">
        <f>F20/2*G20</f>
        <v>123.44832000000001</v>
      </c>
    </row>
    <row r="21" spans="1:9">
      <c r="A21" s="26">
        <v>5</v>
      </c>
      <c r="B21" s="53" t="s">
        <v>89</v>
      </c>
      <c r="C21" s="54" t="s">
        <v>84</v>
      </c>
      <c r="D21" s="53" t="s">
        <v>40</v>
      </c>
      <c r="E21" s="55">
        <v>10.08</v>
      </c>
      <c r="F21" s="56">
        <f>SUM(E21*2/100)</f>
        <v>0.2016</v>
      </c>
      <c r="G21" s="56">
        <v>283.44</v>
      </c>
      <c r="H21" s="57">
        <f t="shared" si="0"/>
        <v>5.7141503999999996E-2</v>
      </c>
      <c r="I21" s="12">
        <f>F21/2*G21</f>
        <v>28.570751999999999</v>
      </c>
    </row>
    <row r="22" spans="1:9">
      <c r="A22" s="26">
        <v>6</v>
      </c>
      <c r="B22" s="53" t="s">
        <v>90</v>
      </c>
      <c r="C22" s="54" t="s">
        <v>50</v>
      </c>
      <c r="D22" s="53" t="s">
        <v>87</v>
      </c>
      <c r="E22" s="55">
        <v>642.6</v>
      </c>
      <c r="F22" s="56">
        <f>SUM(E22/100)</f>
        <v>6.4260000000000002</v>
      </c>
      <c r="G22" s="56">
        <v>353.14</v>
      </c>
      <c r="H22" s="57">
        <f t="shared" si="0"/>
        <v>2.2692776399999999</v>
      </c>
      <c r="I22" s="12">
        <f>F22*G22</f>
        <v>2269.2776399999998</v>
      </c>
    </row>
    <row r="23" spans="1:9">
      <c r="A23" s="26">
        <v>7</v>
      </c>
      <c r="B23" s="53" t="s">
        <v>91</v>
      </c>
      <c r="C23" s="54" t="s">
        <v>50</v>
      </c>
      <c r="D23" s="53" t="s">
        <v>87</v>
      </c>
      <c r="E23" s="58">
        <v>35.28</v>
      </c>
      <c r="F23" s="56">
        <f>SUM(E23/100)</f>
        <v>0.3528</v>
      </c>
      <c r="G23" s="56">
        <v>58.08</v>
      </c>
      <c r="H23" s="57">
        <f t="shared" si="0"/>
        <v>2.0490623999999999E-2</v>
      </c>
      <c r="I23" s="12">
        <f>F23*G23</f>
        <v>20.490624</v>
      </c>
    </row>
    <row r="24" spans="1:9">
      <c r="A24" s="26">
        <v>8</v>
      </c>
      <c r="B24" s="53" t="s">
        <v>92</v>
      </c>
      <c r="C24" s="54" t="s">
        <v>50</v>
      </c>
      <c r="D24" s="53" t="s">
        <v>87</v>
      </c>
      <c r="E24" s="55">
        <v>28.8</v>
      </c>
      <c r="F24" s="56">
        <f>SUM(E24/100)</f>
        <v>0.28800000000000003</v>
      </c>
      <c r="G24" s="56">
        <v>683.05</v>
      </c>
      <c r="H24" s="57">
        <f t="shared" si="0"/>
        <v>0.19671840000000002</v>
      </c>
      <c r="I24" s="12">
        <f>F24*G24</f>
        <v>196.7184</v>
      </c>
    </row>
    <row r="25" spans="1:9" ht="15.75" hidden="1" customHeight="1">
      <c r="A25" s="26">
        <v>4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22" t="s">
        <v>156</v>
      </c>
      <c r="B26" s="223"/>
      <c r="C26" s="223"/>
      <c r="D26" s="223"/>
      <c r="E26" s="223"/>
      <c r="F26" s="223"/>
      <c r="G26" s="223"/>
      <c r="H26" s="223"/>
      <c r="I26" s="224"/>
    </row>
    <row r="27" spans="1:9" ht="18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5.75" customHeight="1">
      <c r="A28" s="26">
        <v>9</v>
      </c>
      <c r="B28" s="53" t="s">
        <v>93</v>
      </c>
      <c r="C28" s="54" t="s">
        <v>157</v>
      </c>
      <c r="D28" s="184" t="s">
        <v>184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 t="shared" ref="H28:H33" si="1">SUM(F28*G28/1000)</f>
        <v>11.105548792000002</v>
      </c>
      <c r="I28" s="12">
        <f>17.064/6*G28</f>
        <v>581.42736000000002</v>
      </c>
    </row>
    <row r="29" spans="1:9" ht="44.25" customHeight="1">
      <c r="A29" s="26">
        <v>10</v>
      </c>
      <c r="B29" s="53" t="s">
        <v>121</v>
      </c>
      <c r="C29" s="54" t="s">
        <v>94</v>
      </c>
      <c r="D29" s="184" t="s">
        <v>184</v>
      </c>
      <c r="E29" s="56">
        <v>116.93</v>
      </c>
      <c r="F29" s="56">
        <f>SUM(E29*78/1000)</f>
        <v>9.1205400000000001</v>
      </c>
      <c r="G29" s="139">
        <v>339.21</v>
      </c>
      <c r="H29" s="57">
        <f t="shared" si="1"/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94</v>
      </c>
      <c r="D30" s="184" t="s">
        <v>192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 t="shared" si="1"/>
        <v>4.1380989195</v>
      </c>
      <c r="I30" s="12">
        <f>0.3555*G30</f>
        <v>1408.217265</v>
      </c>
    </row>
    <row r="31" spans="1:9" ht="18" customHeight="1">
      <c r="A31" s="26">
        <v>11</v>
      </c>
      <c r="B31" s="53" t="s">
        <v>112</v>
      </c>
      <c r="C31" s="54" t="s">
        <v>38</v>
      </c>
      <c r="D31" s="184" t="s">
        <v>184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 t="shared" si="1"/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 t="shared" si="1"/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119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2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158</v>
      </c>
      <c r="C36" s="54" t="s">
        <v>29</v>
      </c>
      <c r="D36" s="53" t="s">
        <v>159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idden="1">
      <c r="A37" s="26">
        <v>8</v>
      </c>
      <c r="B37" s="53" t="s">
        <v>160</v>
      </c>
      <c r="C37" s="54" t="s">
        <v>29</v>
      </c>
      <c r="D37" s="53" t="s">
        <v>96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161</v>
      </c>
      <c r="C38" s="54" t="s">
        <v>162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idden="1">
      <c r="A39" s="26">
        <v>9</v>
      </c>
      <c r="B39" s="53" t="s">
        <v>64</v>
      </c>
      <c r="C39" s="54" t="s">
        <v>29</v>
      </c>
      <c r="D39" s="53" t="s">
        <v>97</v>
      </c>
      <c r="E39" s="56">
        <v>116.93</v>
      </c>
      <c r="F39" s="56">
        <f>SUM(E39*155/1000)</f>
        <v>18.12415</v>
      </c>
      <c r="G39" s="56">
        <v>374.95</v>
      </c>
      <c r="H39" s="57">
        <f t="shared" si="2"/>
        <v>6.7956500424999993</v>
      </c>
      <c r="I39" s="12">
        <f>F39/6*G39</f>
        <v>1132.6083404166666</v>
      </c>
    </row>
    <row r="40" spans="1:9" ht="45" hidden="1">
      <c r="A40" s="26">
        <v>10</v>
      </c>
      <c r="B40" s="53" t="s">
        <v>76</v>
      </c>
      <c r="C40" s="54" t="s">
        <v>94</v>
      </c>
      <c r="D40" s="53" t="s">
        <v>113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2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98</v>
      </c>
      <c r="C41" s="54" t="s">
        <v>94</v>
      </c>
      <c r="D41" s="53" t="s">
        <v>163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2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2"/>
        <v>0.71820000000000006</v>
      </c>
      <c r="I42" s="12">
        <f>F42/6*G42</f>
        <v>119.69999999999999</v>
      </c>
    </row>
    <row r="43" spans="1:9" hidden="1">
      <c r="A43" s="222" t="s">
        <v>164</v>
      </c>
      <c r="B43" s="223"/>
      <c r="C43" s="223"/>
      <c r="D43" s="223"/>
      <c r="E43" s="223"/>
      <c r="F43" s="223"/>
      <c r="G43" s="223"/>
      <c r="H43" s="223"/>
      <c r="I43" s="224"/>
    </row>
    <row r="44" spans="1:9" hidden="1">
      <c r="A44" s="26">
        <v>17</v>
      </c>
      <c r="B44" s="53" t="s">
        <v>115</v>
      </c>
      <c r="C44" s="54" t="s">
        <v>94</v>
      </c>
      <c r="D44" s="53" t="s">
        <v>40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3">SUM(F44*G44/1000)</f>
        <v>2.2959991039999998</v>
      </c>
      <c r="I44" s="12">
        <f>F44/2*G44</f>
        <v>1147.999552</v>
      </c>
    </row>
    <row r="45" spans="1:9" hidden="1">
      <c r="A45" s="26">
        <v>18</v>
      </c>
      <c r="B45" s="53" t="s">
        <v>33</v>
      </c>
      <c r="C45" s="54" t="s">
        <v>94</v>
      </c>
      <c r="D45" s="53" t="s">
        <v>40</v>
      </c>
      <c r="E45" s="55">
        <v>132</v>
      </c>
      <c r="F45" s="56">
        <f>E45*2/1000</f>
        <v>0.26400000000000001</v>
      </c>
      <c r="G45" s="135">
        <v>4419.05</v>
      </c>
      <c r="H45" s="57">
        <f t="shared" si="3"/>
        <v>1.1666292</v>
      </c>
      <c r="I45" s="12">
        <f>F45/2*G45</f>
        <v>583.31460000000004</v>
      </c>
    </row>
    <row r="46" spans="1:9" hidden="1">
      <c r="A46" s="26">
        <v>19</v>
      </c>
      <c r="B46" s="53" t="s">
        <v>34</v>
      </c>
      <c r="C46" s="54" t="s">
        <v>94</v>
      </c>
      <c r="D46" s="53" t="s">
        <v>40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3"/>
        <v>15.3249438636</v>
      </c>
      <c r="I46" s="12">
        <f>F46/2*G46</f>
        <v>7662.4719317999998</v>
      </c>
    </row>
    <row r="47" spans="1:9" hidden="1">
      <c r="A47" s="26">
        <v>20</v>
      </c>
      <c r="B47" s="53" t="s">
        <v>35</v>
      </c>
      <c r="C47" s="54" t="s">
        <v>94</v>
      </c>
      <c r="D47" s="53" t="s">
        <v>40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3"/>
        <v>5.3807195075999994</v>
      </c>
      <c r="I47" s="12">
        <f>F47/2*G47</f>
        <v>2690.3597537999999</v>
      </c>
    </row>
    <row r="48" spans="1:9" hidden="1">
      <c r="A48" s="26">
        <v>21</v>
      </c>
      <c r="B48" s="53" t="s">
        <v>53</v>
      </c>
      <c r="C48" s="54" t="s">
        <v>94</v>
      </c>
      <c r="D48" s="53" t="s">
        <v>125</v>
      </c>
      <c r="E48" s="55">
        <v>1015.4</v>
      </c>
      <c r="F48" s="56">
        <f>SUM(E48*5/1000)</f>
        <v>5.077</v>
      </c>
      <c r="G48" s="135">
        <v>1083.69</v>
      </c>
      <c r="H48" s="57">
        <f t="shared" si="3"/>
        <v>5.5018941300000002</v>
      </c>
      <c r="I48" s="12">
        <f>3.945*G48</f>
        <v>4275.1570499999998</v>
      </c>
    </row>
    <row r="49" spans="1:9" ht="45" hidden="1">
      <c r="A49" s="26"/>
      <c r="B49" s="53" t="s">
        <v>99</v>
      </c>
      <c r="C49" s="54" t="s">
        <v>94</v>
      </c>
      <c r="D49" s="53" t="s">
        <v>40</v>
      </c>
      <c r="E49" s="55">
        <v>1015.4</v>
      </c>
      <c r="F49" s="56">
        <f>SUM(E49*2/1000)</f>
        <v>2.0308000000000002</v>
      </c>
      <c r="G49" s="12">
        <v>1297.28</v>
      </c>
      <c r="H49" s="57">
        <f t="shared" si="3"/>
        <v>2.634516224</v>
      </c>
      <c r="I49" s="12">
        <v>0</v>
      </c>
    </row>
    <row r="50" spans="1:9" ht="30" hidden="1">
      <c r="A50" s="26"/>
      <c r="B50" s="53" t="s">
        <v>100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2918.89</v>
      </c>
      <c r="H50" s="57">
        <f t="shared" si="3"/>
        <v>1.7513339999999997</v>
      </c>
      <c r="I50" s="12">
        <v>0</v>
      </c>
    </row>
    <row r="51" spans="1:9" hidden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6042.13</v>
      </c>
      <c r="H51" s="57">
        <f t="shared" si="3"/>
        <v>0.12084260000000001</v>
      </c>
      <c r="I51" s="12">
        <v>0</v>
      </c>
    </row>
    <row r="52" spans="1:9" hidden="1">
      <c r="A52" s="26">
        <v>22</v>
      </c>
      <c r="B52" s="53" t="s">
        <v>114</v>
      </c>
      <c r="C52" s="54" t="s">
        <v>80</v>
      </c>
      <c r="D52" s="53" t="s">
        <v>66</v>
      </c>
      <c r="E52" s="55">
        <v>90</v>
      </c>
      <c r="F52" s="56">
        <f>E52*4</f>
        <v>360</v>
      </c>
      <c r="G52" s="135">
        <v>185.08</v>
      </c>
      <c r="H52" s="57">
        <f>F52*G52/1000</f>
        <v>66.628799999999998</v>
      </c>
      <c r="I52" s="12">
        <f>G52*E52</f>
        <v>16657.2</v>
      </c>
    </row>
    <row r="53" spans="1:9" hidden="1">
      <c r="A53" s="26">
        <v>23</v>
      </c>
      <c r="B53" s="53" t="s">
        <v>39</v>
      </c>
      <c r="C53" s="54" t="s">
        <v>80</v>
      </c>
      <c r="D53" s="53" t="s">
        <v>66</v>
      </c>
      <c r="E53" s="55">
        <v>180</v>
      </c>
      <c r="F53" s="56">
        <f>SUM(E53)*3</f>
        <v>540</v>
      </c>
      <c r="G53" s="138">
        <v>86.15</v>
      </c>
      <c r="H53" s="57">
        <f t="shared" si="3"/>
        <v>46.521000000000001</v>
      </c>
      <c r="I53" s="12">
        <f>G53*E53</f>
        <v>15507.000000000002</v>
      </c>
    </row>
    <row r="54" spans="1:9">
      <c r="A54" s="222" t="s">
        <v>149</v>
      </c>
      <c r="B54" s="223"/>
      <c r="C54" s="223"/>
      <c r="D54" s="223"/>
      <c r="E54" s="223"/>
      <c r="F54" s="223"/>
      <c r="G54" s="223"/>
      <c r="H54" s="223"/>
      <c r="I54" s="224"/>
    </row>
    <row r="55" spans="1:9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30" hidden="1">
      <c r="A56" s="26">
        <v>16</v>
      </c>
      <c r="B56" s="53" t="s">
        <v>165</v>
      </c>
      <c r="C56" s="54" t="s">
        <v>84</v>
      </c>
      <c r="D56" s="53" t="s">
        <v>101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78</v>
      </c>
      <c r="C57" s="54" t="s">
        <v>84</v>
      </c>
      <c r="D57" s="53" t="s">
        <v>79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116</v>
      </c>
      <c r="C58" s="63" t="s">
        <v>117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118</v>
      </c>
      <c r="C59" s="54" t="s">
        <v>84</v>
      </c>
      <c r="D59" s="53" t="s">
        <v>101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7.25" customHeight="1">
      <c r="A60" s="26">
        <v>12</v>
      </c>
      <c r="B60" s="203" t="s">
        <v>102</v>
      </c>
      <c r="C60" s="204" t="s">
        <v>31</v>
      </c>
      <c r="D60" s="203" t="s">
        <v>280</v>
      </c>
      <c r="E60" s="205"/>
      <c r="F60" s="206">
        <v>3</v>
      </c>
      <c r="G60" s="107">
        <v>1582.05</v>
      </c>
      <c r="H60" s="66"/>
      <c r="I60" s="12">
        <f>G60*2.5</f>
        <v>3955.125</v>
      </c>
    </row>
    <row r="61" spans="1:9" ht="17.2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</row>
    <row r="62" spans="1:9" hidden="1">
      <c r="A62" s="26"/>
      <c r="B62" s="62" t="s">
        <v>166</v>
      </c>
      <c r="C62" s="63" t="s">
        <v>50</v>
      </c>
      <c r="D62" s="62" t="s">
        <v>51</v>
      </c>
      <c r="E62" s="64">
        <v>1015.4</v>
      </c>
      <c r="F62" s="65">
        <v>10.154</v>
      </c>
      <c r="G62" s="12">
        <v>848.37</v>
      </c>
      <c r="H62" s="66">
        <f>F62*G62/1000</f>
        <v>8.6143489800000008</v>
      </c>
      <c r="I62" s="12">
        <v>0</v>
      </c>
    </row>
    <row r="63" spans="1:9" ht="16.5" customHeight="1">
      <c r="A63" s="26">
        <v>13</v>
      </c>
      <c r="B63" s="62" t="s">
        <v>81</v>
      </c>
      <c r="C63" s="63" t="s">
        <v>25</v>
      </c>
      <c r="D63" s="62" t="s">
        <v>191</v>
      </c>
      <c r="E63" s="64">
        <v>203.1</v>
      </c>
      <c r="F63" s="67">
        <f>E63*12</f>
        <v>2437.1999999999998</v>
      </c>
      <c r="G63" s="48">
        <v>1.4</v>
      </c>
      <c r="H63" s="65">
        <f>F63*G63/1000</f>
        <v>3.4120799999999996</v>
      </c>
      <c r="I63" s="12">
        <f>2400/12*G63</f>
        <v>280</v>
      </c>
    </row>
    <row r="64" spans="1:9" hidden="1">
      <c r="A64" s="26"/>
      <c r="B64" s="76" t="s">
        <v>43</v>
      </c>
      <c r="C64" s="63"/>
      <c r="D64" s="62"/>
      <c r="E64" s="64"/>
      <c r="F64" s="67"/>
      <c r="G64" s="67"/>
      <c r="H64" s="65" t="s">
        <v>119</v>
      </c>
      <c r="I64" s="12"/>
    </row>
    <row r="65" spans="1:9" hidden="1">
      <c r="A65" s="26">
        <v>19</v>
      </c>
      <c r="B65" s="13" t="s">
        <v>44</v>
      </c>
      <c r="C65" s="15" t="s">
        <v>80</v>
      </c>
      <c r="D65" s="13" t="s">
        <v>63</v>
      </c>
      <c r="E65" s="17">
        <v>10</v>
      </c>
      <c r="F65" s="56">
        <v>10</v>
      </c>
      <c r="G65" s="12">
        <v>237.75</v>
      </c>
      <c r="H65" s="68">
        <f t="shared" ref="H65:H78" si="4">SUM(F65*G65/1000)</f>
        <v>2.3774999999999999</v>
      </c>
      <c r="I65" s="12">
        <f>G65</f>
        <v>237.75</v>
      </c>
    </row>
    <row r="66" spans="1:9" hidden="1">
      <c r="A66" s="26"/>
      <c r="B66" s="13" t="s">
        <v>45</v>
      </c>
      <c r="C66" s="15" t="s">
        <v>80</v>
      </c>
      <c r="D66" s="13" t="s">
        <v>63</v>
      </c>
      <c r="E66" s="17">
        <v>5</v>
      </c>
      <c r="F66" s="56">
        <v>5</v>
      </c>
      <c r="G66" s="12">
        <v>81.510000000000005</v>
      </c>
      <c r="H66" s="68">
        <f t="shared" si="4"/>
        <v>0.40755000000000002</v>
      </c>
      <c r="I66" s="12">
        <v>0</v>
      </c>
    </row>
    <row r="67" spans="1:9" hidden="1">
      <c r="A67" s="26">
        <v>9</v>
      </c>
      <c r="B67" s="13" t="s">
        <v>46</v>
      </c>
      <c r="C67" s="15" t="s">
        <v>103</v>
      </c>
      <c r="D67" s="13"/>
      <c r="E67" s="55">
        <v>14205</v>
      </c>
      <c r="F67" s="12">
        <f>SUM(E67/100)</f>
        <v>142.05000000000001</v>
      </c>
      <c r="G67" s="135">
        <v>278.24</v>
      </c>
      <c r="H67" s="68">
        <f t="shared" si="4"/>
        <v>39.523992000000007</v>
      </c>
      <c r="I67" s="12">
        <f>F67*G67</f>
        <v>39523.992000000006</v>
      </c>
    </row>
    <row r="68" spans="1:9" hidden="1">
      <c r="A68" s="26">
        <v>10</v>
      </c>
      <c r="B68" s="13" t="s">
        <v>47</v>
      </c>
      <c r="C68" s="15" t="s">
        <v>104</v>
      </c>
      <c r="D68" s="13"/>
      <c r="E68" s="55">
        <v>14205</v>
      </c>
      <c r="F68" s="12">
        <f>SUM(E68/1000)</f>
        <v>14.205</v>
      </c>
      <c r="G68" s="135">
        <v>216.68</v>
      </c>
      <c r="H68" s="68">
        <f t="shared" si="4"/>
        <v>3.0779394</v>
      </c>
      <c r="I68" s="12">
        <f>F68*G68</f>
        <v>3077.9394000000002</v>
      </c>
    </row>
    <row r="69" spans="1:9" hidden="1">
      <c r="A69" s="26">
        <v>11</v>
      </c>
      <c r="B69" s="13" t="s">
        <v>48</v>
      </c>
      <c r="C69" s="15" t="s">
        <v>72</v>
      </c>
      <c r="D69" s="13"/>
      <c r="E69" s="55">
        <v>2131</v>
      </c>
      <c r="F69" s="12">
        <f>SUM(E69/100)</f>
        <v>21.31</v>
      </c>
      <c r="G69" s="135">
        <v>2720.94</v>
      </c>
      <c r="H69" s="68">
        <f t="shared" si="4"/>
        <v>57.983231399999994</v>
      </c>
      <c r="I69" s="12">
        <f>F69*G69</f>
        <v>57983.231399999997</v>
      </c>
    </row>
    <row r="70" spans="1:9" hidden="1">
      <c r="A70" s="26">
        <v>12</v>
      </c>
      <c r="B70" s="69" t="s">
        <v>105</v>
      </c>
      <c r="C70" s="15" t="s">
        <v>32</v>
      </c>
      <c r="D70" s="13"/>
      <c r="E70" s="55">
        <v>12.48</v>
      </c>
      <c r="F70" s="12">
        <f>SUM(E70)</f>
        <v>12.48</v>
      </c>
      <c r="G70" s="135">
        <v>44.31</v>
      </c>
      <c r="H70" s="68">
        <f t="shared" si="4"/>
        <v>0.55298880000000006</v>
      </c>
      <c r="I70" s="12">
        <f>7*G70</f>
        <v>310.17</v>
      </c>
    </row>
    <row r="71" spans="1:9" hidden="1">
      <c r="A71" s="26">
        <v>13</v>
      </c>
      <c r="B71" s="69" t="s">
        <v>106</v>
      </c>
      <c r="C71" s="15" t="s">
        <v>32</v>
      </c>
      <c r="D71" s="13"/>
      <c r="E71" s="55">
        <v>12.48</v>
      </c>
      <c r="F71" s="12">
        <f>SUM(E71)</f>
        <v>12.48</v>
      </c>
      <c r="G71" s="135">
        <v>47.79</v>
      </c>
      <c r="H71" s="68">
        <f t="shared" si="4"/>
        <v>0.59641920000000004</v>
      </c>
      <c r="I71" s="12">
        <f>7*G71</f>
        <v>334.53</v>
      </c>
    </row>
    <row r="72" spans="1:9" hidden="1">
      <c r="A72" s="26"/>
      <c r="B72" s="13" t="s">
        <v>54</v>
      </c>
      <c r="C72" s="15" t="s">
        <v>55</v>
      </c>
      <c r="D72" s="13"/>
      <c r="E72" s="17">
        <v>5</v>
      </c>
      <c r="F72" s="56">
        <v>5</v>
      </c>
      <c r="G72" s="12">
        <v>53.32</v>
      </c>
      <c r="H72" s="68">
        <f t="shared" si="4"/>
        <v>0.2666</v>
      </c>
      <c r="I72" s="12">
        <v>0</v>
      </c>
    </row>
    <row r="73" spans="1:9" hidden="1">
      <c r="A73" s="26"/>
      <c r="B73" s="140" t="s">
        <v>67</v>
      </c>
      <c r="C73" s="15"/>
      <c r="D73" s="13"/>
      <c r="E73" s="17"/>
      <c r="F73" s="12"/>
      <c r="G73" s="12"/>
      <c r="H73" s="68" t="s">
        <v>119</v>
      </c>
      <c r="I73" s="12"/>
    </row>
    <row r="74" spans="1:9" hidden="1">
      <c r="A74" s="26">
        <v>14</v>
      </c>
      <c r="B74" s="13" t="s">
        <v>68</v>
      </c>
      <c r="C74" s="15" t="s">
        <v>70</v>
      </c>
      <c r="D74" s="13" t="s">
        <v>204</v>
      </c>
      <c r="E74" s="17">
        <v>2</v>
      </c>
      <c r="F74" s="12">
        <v>0.2</v>
      </c>
      <c r="G74" s="135">
        <v>657.87</v>
      </c>
      <c r="H74" s="68">
        <f t="shared" si="4"/>
        <v>0.13157400000000002</v>
      </c>
      <c r="I74" s="12">
        <f>G74*0.2</f>
        <v>131.57400000000001</v>
      </c>
    </row>
    <row r="75" spans="1:9" hidden="1">
      <c r="A75" s="26"/>
      <c r="B75" s="13" t="s">
        <v>69</v>
      </c>
      <c r="C75" s="15" t="s">
        <v>30</v>
      </c>
      <c r="D75" s="13" t="s">
        <v>63</v>
      </c>
      <c r="E75" s="17">
        <v>1</v>
      </c>
      <c r="F75" s="48">
        <v>1</v>
      </c>
      <c r="G75" s="12">
        <v>911.85</v>
      </c>
      <c r="H75" s="68">
        <f>F75*G75/1000</f>
        <v>0.91185000000000005</v>
      </c>
      <c r="I75" s="12">
        <v>0</v>
      </c>
    </row>
    <row r="76" spans="1:9" hidden="1">
      <c r="A76" s="26"/>
      <c r="B76" s="13" t="s">
        <v>167</v>
      </c>
      <c r="C76" s="15" t="s">
        <v>30</v>
      </c>
      <c r="D76" s="13" t="s">
        <v>63</v>
      </c>
      <c r="E76" s="17">
        <v>1</v>
      </c>
      <c r="F76" s="12">
        <v>1</v>
      </c>
      <c r="G76" s="12">
        <v>383.25</v>
      </c>
      <c r="H76" s="68">
        <f>G76*F76/1000</f>
        <v>0.38324999999999998</v>
      </c>
      <c r="I76" s="12">
        <v>0</v>
      </c>
    </row>
    <row r="77" spans="1:9" hidden="1">
      <c r="A77" s="26"/>
      <c r="B77" s="70" t="s">
        <v>71</v>
      </c>
      <c r="C77" s="15"/>
      <c r="D77" s="13"/>
      <c r="E77" s="17"/>
      <c r="F77" s="12"/>
      <c r="G77" s="12" t="s">
        <v>119</v>
      </c>
      <c r="H77" s="68" t="s">
        <v>119</v>
      </c>
      <c r="I77" s="12"/>
    </row>
    <row r="78" spans="1:9" hidden="1">
      <c r="A78" s="26">
        <v>22</v>
      </c>
      <c r="B78" s="39" t="s">
        <v>109</v>
      </c>
      <c r="C78" s="15" t="s">
        <v>72</v>
      </c>
      <c r="D78" s="13"/>
      <c r="E78" s="17"/>
      <c r="F78" s="12">
        <v>0.9</v>
      </c>
      <c r="G78" s="12">
        <v>2757.42</v>
      </c>
      <c r="H78" s="68">
        <f t="shared" si="4"/>
        <v>2.4816780000000005</v>
      </c>
      <c r="I78" s="12">
        <f>G78*F78</f>
        <v>2481.6780000000003</v>
      </c>
    </row>
    <row r="79" spans="1:9" ht="28.5">
      <c r="A79" s="26"/>
      <c r="B79" s="140" t="s">
        <v>107</v>
      </c>
      <c r="C79" s="70"/>
      <c r="D79" s="28"/>
      <c r="E79" s="29"/>
      <c r="F79" s="59"/>
      <c r="G79" s="59"/>
      <c r="H79" s="71">
        <f>SUM(H56:H78)</f>
        <v>150.52607858800002</v>
      </c>
      <c r="I79" s="59"/>
    </row>
    <row r="80" spans="1:9">
      <c r="A80" s="124">
        <v>14</v>
      </c>
      <c r="B80" s="62" t="s">
        <v>108</v>
      </c>
      <c r="C80" s="125"/>
      <c r="D80" s="126"/>
      <c r="E80" s="49"/>
      <c r="F80" s="74">
        <v>1</v>
      </c>
      <c r="G80" s="74">
        <v>2580.1999999999998</v>
      </c>
      <c r="H80" s="127">
        <f>G80*F80/1000</f>
        <v>2.5801999999999996</v>
      </c>
      <c r="I80" s="74">
        <f>G80</f>
        <v>2580.1999999999998</v>
      </c>
    </row>
    <row r="81" spans="1:9" ht="15.75" customHeight="1">
      <c r="A81" s="26"/>
      <c r="B81" s="147" t="s">
        <v>135</v>
      </c>
      <c r="C81" s="137"/>
      <c r="D81" s="13"/>
      <c r="E81" s="17"/>
      <c r="F81" s="12"/>
      <c r="G81" s="12"/>
      <c r="H81" s="12"/>
      <c r="I81" s="12"/>
    </row>
    <row r="82" spans="1:9" ht="34.5" customHeight="1">
      <c r="A82" s="26">
        <v>15</v>
      </c>
      <c r="B82" s="106" t="s">
        <v>136</v>
      </c>
      <c r="C82" s="32" t="s">
        <v>137</v>
      </c>
      <c r="D82" s="13"/>
      <c r="E82" s="17"/>
      <c r="F82" s="12"/>
      <c r="G82" s="107">
        <v>2.2799999999999998</v>
      </c>
      <c r="H82" s="12"/>
      <c r="I82" s="12">
        <f>47340/12*G82</f>
        <v>8994.5999999999985</v>
      </c>
    </row>
    <row r="83" spans="1:9" ht="30.75" customHeight="1">
      <c r="A83" s="26">
        <v>16</v>
      </c>
      <c r="B83" s="110" t="s">
        <v>138</v>
      </c>
      <c r="C83" s="111" t="s">
        <v>80</v>
      </c>
      <c r="D83" s="13" t="s">
        <v>191</v>
      </c>
      <c r="E83" s="17"/>
      <c r="F83" s="12"/>
      <c r="G83" s="107">
        <v>50.68</v>
      </c>
      <c r="H83" s="12"/>
      <c r="I83" s="12">
        <f>12/12*G83</f>
        <v>50.68</v>
      </c>
    </row>
    <row r="84" spans="1:9">
      <c r="A84" s="230" t="s">
        <v>150</v>
      </c>
      <c r="B84" s="231"/>
      <c r="C84" s="231"/>
      <c r="D84" s="231"/>
      <c r="E84" s="231"/>
      <c r="F84" s="231"/>
      <c r="G84" s="231"/>
      <c r="H84" s="231"/>
      <c r="I84" s="232"/>
    </row>
    <row r="85" spans="1:9" ht="18" customHeight="1">
      <c r="A85" s="77">
        <v>17</v>
      </c>
      <c r="B85" s="128" t="s">
        <v>110</v>
      </c>
      <c r="C85" s="129" t="s">
        <v>52</v>
      </c>
      <c r="D85" s="130"/>
      <c r="E85" s="131">
        <v>3945</v>
      </c>
      <c r="F85" s="131">
        <f>SUM(E85*12)</f>
        <v>47340</v>
      </c>
      <c r="G85" s="136">
        <v>3.1</v>
      </c>
      <c r="H85" s="132">
        <f>SUM(F85*G85/1000)</f>
        <v>146.75399999999999</v>
      </c>
      <c r="I85" s="131">
        <f>F85/12*G85</f>
        <v>12229.5</v>
      </c>
    </row>
    <row r="86" spans="1:9" ht="31.5" customHeight="1">
      <c r="A86" s="26">
        <v>18</v>
      </c>
      <c r="B86" s="13" t="s">
        <v>73</v>
      </c>
      <c r="C86" s="15"/>
      <c r="D86" s="130"/>
      <c r="E86" s="55">
        <f>E85</f>
        <v>3945</v>
      </c>
      <c r="F86" s="12">
        <f>E86*12</f>
        <v>47340</v>
      </c>
      <c r="G86" s="135">
        <v>3.5</v>
      </c>
      <c r="H86" s="68">
        <f>F86*G86/1000</f>
        <v>165.69</v>
      </c>
      <c r="I86" s="12">
        <f>F86/12*G86</f>
        <v>13807.5</v>
      </c>
    </row>
    <row r="87" spans="1:9">
      <c r="A87" s="26"/>
      <c r="B87" s="31" t="s">
        <v>75</v>
      </c>
      <c r="C87" s="32"/>
      <c r="D87" s="14"/>
      <c r="E87" s="14"/>
      <c r="F87" s="17"/>
      <c r="G87" s="133"/>
      <c r="H87" s="71">
        <f>H86</f>
        <v>165.69</v>
      </c>
      <c r="I87" s="29">
        <f>I86+I85+I83+I82+I80+I63+I60+I31+I29+I28+I24+I23+I22+I21+I20+I18+I17+I16</f>
        <v>62948.110864000002</v>
      </c>
    </row>
    <row r="88" spans="1:9">
      <c r="A88" s="227" t="s">
        <v>57</v>
      </c>
      <c r="B88" s="228"/>
      <c r="C88" s="228"/>
      <c r="D88" s="228"/>
      <c r="E88" s="228"/>
      <c r="F88" s="228"/>
      <c r="G88" s="228"/>
      <c r="H88" s="228"/>
      <c r="I88" s="229"/>
    </row>
    <row r="89" spans="1:9">
      <c r="A89" s="26">
        <v>19</v>
      </c>
      <c r="B89" s="110" t="s">
        <v>207</v>
      </c>
      <c r="C89" s="111" t="s">
        <v>25</v>
      </c>
      <c r="D89" s="201" t="s">
        <v>282</v>
      </c>
      <c r="E89" s="107"/>
      <c r="F89" s="107">
        <v>130</v>
      </c>
      <c r="G89" s="107">
        <v>711.82</v>
      </c>
      <c r="H89" s="12"/>
      <c r="I89" s="74">
        <f>G89*70</f>
        <v>49827.4</v>
      </c>
    </row>
    <row r="90" spans="1:9" ht="30">
      <c r="A90" s="26">
        <v>20</v>
      </c>
      <c r="B90" s="110" t="s">
        <v>268</v>
      </c>
      <c r="C90" s="111" t="s">
        <v>269</v>
      </c>
      <c r="D90" s="201"/>
      <c r="E90" s="107"/>
      <c r="F90" s="107">
        <v>1</v>
      </c>
      <c r="G90" s="107">
        <v>1366.66</v>
      </c>
      <c r="H90" s="12"/>
      <c r="I90" s="74">
        <f>G90*0.5</f>
        <v>683.33</v>
      </c>
    </row>
    <row r="91" spans="1:9">
      <c r="A91" s="26">
        <v>21</v>
      </c>
      <c r="B91" s="110" t="s">
        <v>281</v>
      </c>
      <c r="C91" s="111" t="s">
        <v>29</v>
      </c>
      <c r="D91" s="201"/>
      <c r="E91" s="107"/>
      <c r="F91" s="107">
        <v>0.255</v>
      </c>
      <c r="G91" s="107">
        <v>4683.09</v>
      </c>
      <c r="H91" s="12"/>
      <c r="I91" s="74">
        <f>G91*0.255</f>
        <v>1194.18795</v>
      </c>
    </row>
    <row r="92" spans="1:9">
      <c r="A92" s="26">
        <v>22</v>
      </c>
      <c r="B92" s="110" t="s">
        <v>267</v>
      </c>
      <c r="C92" s="111" t="s">
        <v>181</v>
      </c>
      <c r="D92" s="201" t="s">
        <v>295</v>
      </c>
      <c r="E92" s="107"/>
      <c r="F92" s="107">
        <v>28</v>
      </c>
      <c r="G92" s="107">
        <v>295.36</v>
      </c>
      <c r="H92" s="12"/>
      <c r="I92" s="74">
        <v>0</v>
      </c>
    </row>
    <row r="93" spans="1:9">
      <c r="A93" s="26">
        <v>23</v>
      </c>
      <c r="B93" s="110" t="s">
        <v>296</v>
      </c>
      <c r="C93" s="111" t="s">
        <v>181</v>
      </c>
      <c r="D93" s="201" t="s">
        <v>298</v>
      </c>
      <c r="E93" s="107"/>
      <c r="F93" s="107">
        <v>0.5</v>
      </c>
      <c r="G93" s="107">
        <v>795.42</v>
      </c>
      <c r="H93" s="12"/>
      <c r="I93" s="74">
        <f>G93*0.5</f>
        <v>397.71</v>
      </c>
    </row>
    <row r="94" spans="1:9">
      <c r="A94" s="26">
        <v>24</v>
      </c>
      <c r="B94" s="110" t="s">
        <v>203</v>
      </c>
      <c r="C94" s="111" t="s">
        <v>297</v>
      </c>
      <c r="D94" s="201"/>
      <c r="E94" s="107"/>
      <c r="F94" s="107">
        <v>1</v>
      </c>
      <c r="G94" s="107">
        <v>98</v>
      </c>
      <c r="H94" s="12"/>
      <c r="I94" s="74">
        <f>G94*1</f>
        <v>98</v>
      </c>
    </row>
    <row r="95" spans="1:9">
      <c r="A95" s="26">
        <v>25</v>
      </c>
      <c r="B95" s="110" t="s">
        <v>202</v>
      </c>
      <c r="C95" s="111" t="s">
        <v>30</v>
      </c>
      <c r="D95" s="201"/>
      <c r="E95" s="107"/>
      <c r="F95" s="107">
        <v>2</v>
      </c>
      <c r="G95" s="107">
        <v>235</v>
      </c>
      <c r="H95" s="12"/>
      <c r="I95" s="74">
        <f>G95*2</f>
        <v>470</v>
      </c>
    </row>
    <row r="96" spans="1:9" ht="15.75" customHeight="1">
      <c r="A96" s="26"/>
      <c r="B96" s="37" t="s">
        <v>49</v>
      </c>
      <c r="C96" s="33"/>
      <c r="D96" s="40"/>
      <c r="E96" s="33">
        <v>1</v>
      </c>
      <c r="F96" s="33"/>
      <c r="G96" s="33"/>
      <c r="H96" s="33"/>
      <c r="I96" s="29">
        <f>SUM(I89:I95)</f>
        <v>52670.627950000002</v>
      </c>
    </row>
    <row r="97" spans="1:9">
      <c r="A97" s="26"/>
      <c r="B97" s="39" t="s">
        <v>74</v>
      </c>
      <c r="C97" s="14"/>
      <c r="D97" s="14"/>
      <c r="E97" s="34"/>
      <c r="F97" s="34"/>
      <c r="G97" s="35"/>
      <c r="H97" s="35"/>
      <c r="I97" s="16">
        <v>0</v>
      </c>
    </row>
    <row r="98" spans="1:9">
      <c r="A98" s="41"/>
      <c r="B98" s="38" t="s">
        <v>168</v>
      </c>
      <c r="C98" s="30"/>
      <c r="D98" s="30"/>
      <c r="E98" s="30"/>
      <c r="F98" s="30"/>
      <c r="G98" s="30"/>
      <c r="H98" s="30"/>
      <c r="I98" s="36">
        <f>I87+I96</f>
        <v>115618.73881400001</v>
      </c>
    </row>
    <row r="99" spans="1:9" ht="15.75">
      <c r="A99" s="226" t="s">
        <v>299</v>
      </c>
      <c r="B99" s="226"/>
      <c r="C99" s="226"/>
      <c r="D99" s="226"/>
      <c r="E99" s="226"/>
      <c r="F99" s="226"/>
      <c r="G99" s="226"/>
      <c r="H99" s="226"/>
      <c r="I99" s="226"/>
    </row>
    <row r="100" spans="1:9" ht="15.75">
      <c r="A100" s="78"/>
      <c r="B100" s="233" t="s">
        <v>300</v>
      </c>
      <c r="C100" s="233"/>
      <c r="D100" s="233"/>
      <c r="E100" s="233"/>
      <c r="F100" s="233"/>
      <c r="G100" s="233"/>
      <c r="H100" s="52"/>
      <c r="I100" s="3"/>
    </row>
    <row r="101" spans="1:9">
      <c r="A101" s="145"/>
      <c r="B101" s="234" t="s">
        <v>6</v>
      </c>
      <c r="C101" s="234"/>
      <c r="D101" s="234"/>
      <c r="E101" s="234"/>
      <c r="F101" s="234"/>
      <c r="G101" s="234"/>
      <c r="H101" s="21"/>
      <c r="I101" s="5"/>
    </row>
    <row r="102" spans="1:9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>
      <c r="A103" s="235" t="s">
        <v>7</v>
      </c>
      <c r="B103" s="235"/>
      <c r="C103" s="235"/>
      <c r="D103" s="235"/>
      <c r="E103" s="235"/>
      <c r="F103" s="235"/>
      <c r="G103" s="235"/>
      <c r="H103" s="235"/>
      <c r="I103" s="235"/>
    </row>
    <row r="104" spans="1:9" ht="15.75">
      <c r="A104" s="235" t="s">
        <v>8</v>
      </c>
      <c r="B104" s="235"/>
      <c r="C104" s="235"/>
      <c r="D104" s="235"/>
      <c r="E104" s="235"/>
      <c r="F104" s="235"/>
      <c r="G104" s="235"/>
      <c r="H104" s="235"/>
      <c r="I104" s="235"/>
    </row>
    <row r="105" spans="1:9" ht="15.75">
      <c r="A105" s="236" t="s">
        <v>58</v>
      </c>
      <c r="B105" s="236"/>
      <c r="C105" s="236"/>
      <c r="D105" s="236"/>
      <c r="E105" s="236"/>
      <c r="F105" s="236"/>
      <c r="G105" s="236"/>
      <c r="H105" s="236"/>
      <c r="I105" s="236"/>
    </row>
    <row r="106" spans="1:9" ht="15.75">
      <c r="A106" s="10"/>
    </row>
    <row r="107" spans="1:9" ht="15.75">
      <c r="A107" s="220" t="s">
        <v>9</v>
      </c>
      <c r="B107" s="220"/>
      <c r="C107" s="220"/>
      <c r="D107" s="220"/>
      <c r="E107" s="220"/>
      <c r="F107" s="220"/>
      <c r="G107" s="220"/>
      <c r="H107" s="220"/>
      <c r="I107" s="220"/>
    </row>
    <row r="108" spans="1:9" ht="15.75">
      <c r="A108" s="4"/>
    </row>
    <row r="109" spans="1:9" ht="15.75">
      <c r="B109" s="143" t="s">
        <v>10</v>
      </c>
      <c r="C109" s="238" t="s">
        <v>215</v>
      </c>
      <c r="D109" s="238"/>
      <c r="E109" s="238"/>
      <c r="F109" s="50"/>
      <c r="I109" s="144"/>
    </row>
    <row r="110" spans="1:9">
      <c r="A110" s="145"/>
      <c r="C110" s="234" t="s">
        <v>11</v>
      </c>
      <c r="D110" s="234"/>
      <c r="E110" s="234"/>
      <c r="F110" s="21"/>
      <c r="I110" s="142" t="s">
        <v>12</v>
      </c>
    </row>
    <row r="111" spans="1:9" ht="15.75">
      <c r="A111" s="22"/>
      <c r="C111" s="11"/>
      <c r="D111" s="11"/>
      <c r="G111" s="11"/>
      <c r="H111" s="11"/>
    </row>
    <row r="112" spans="1:9" ht="15.75">
      <c r="B112" s="143" t="s">
        <v>13</v>
      </c>
      <c r="C112" s="239"/>
      <c r="D112" s="239"/>
      <c r="E112" s="239"/>
      <c r="F112" s="51"/>
      <c r="I112" s="144"/>
    </row>
    <row r="113" spans="1:9">
      <c r="A113" s="145"/>
      <c r="C113" s="240" t="s">
        <v>11</v>
      </c>
      <c r="D113" s="240"/>
      <c r="E113" s="240"/>
      <c r="F113" s="145"/>
      <c r="I113" s="142" t="s">
        <v>12</v>
      </c>
    </row>
    <row r="114" spans="1:9" ht="15.75">
      <c r="A114" s="4" t="s">
        <v>14</v>
      </c>
    </row>
    <row r="115" spans="1:9">
      <c r="A115" s="241" t="s">
        <v>15</v>
      </c>
      <c r="B115" s="241"/>
      <c r="C115" s="241"/>
      <c r="D115" s="241"/>
      <c r="E115" s="241"/>
      <c r="F115" s="241"/>
      <c r="G115" s="241"/>
      <c r="H115" s="241"/>
      <c r="I115" s="241"/>
    </row>
    <row r="116" spans="1:9" ht="42" customHeight="1">
      <c r="A116" s="237" t="s">
        <v>16</v>
      </c>
      <c r="B116" s="237"/>
      <c r="C116" s="237"/>
      <c r="D116" s="237"/>
      <c r="E116" s="237"/>
      <c r="F116" s="237"/>
      <c r="G116" s="237"/>
      <c r="H116" s="237"/>
      <c r="I116" s="237"/>
    </row>
    <row r="117" spans="1:9" ht="32.25" customHeight="1">
      <c r="A117" s="237" t="s">
        <v>17</v>
      </c>
      <c r="B117" s="237"/>
      <c r="C117" s="237"/>
      <c r="D117" s="237"/>
      <c r="E117" s="237"/>
      <c r="F117" s="237"/>
      <c r="G117" s="237"/>
      <c r="H117" s="237"/>
      <c r="I117" s="237"/>
    </row>
    <row r="118" spans="1:9" ht="31.5" customHeight="1">
      <c r="A118" s="237" t="s">
        <v>21</v>
      </c>
      <c r="B118" s="237"/>
      <c r="C118" s="237"/>
      <c r="D118" s="237"/>
      <c r="E118" s="237"/>
      <c r="F118" s="237"/>
      <c r="G118" s="237"/>
      <c r="H118" s="237"/>
      <c r="I118" s="237"/>
    </row>
    <row r="119" spans="1:9" ht="15.75">
      <c r="A119" s="237" t="s">
        <v>20</v>
      </c>
      <c r="B119" s="237"/>
      <c r="C119" s="237"/>
      <c r="D119" s="237"/>
      <c r="E119" s="237"/>
      <c r="F119" s="237"/>
      <c r="G119" s="237"/>
      <c r="H119" s="237"/>
      <c r="I119" s="237"/>
    </row>
  </sheetData>
  <mergeCells count="28">
    <mergeCell ref="A14:I14"/>
    <mergeCell ref="A3:I3"/>
    <mergeCell ref="A4:I4"/>
    <mergeCell ref="A5:I5"/>
    <mergeCell ref="A8:I8"/>
    <mergeCell ref="A10:I10"/>
    <mergeCell ref="A105:I105"/>
    <mergeCell ref="A15:I15"/>
    <mergeCell ref="A26:I26"/>
    <mergeCell ref="A43:I43"/>
    <mergeCell ref="A54:I54"/>
    <mergeCell ref="A84:I84"/>
    <mergeCell ref="A88:I88"/>
    <mergeCell ref="A99:I99"/>
    <mergeCell ref="B100:G100"/>
    <mergeCell ref="B101:G101"/>
    <mergeCell ref="A103:I103"/>
    <mergeCell ref="A104:I104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  <rowBreaks count="1" manualBreakCount="1">
    <brk id="10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116"/>
  <sheetViews>
    <sheetView view="pageBreakPreview" topLeftCell="A54" zoomScale="60" zoomScaleNormal="100" workbookViewId="0">
      <selection activeCell="K98" sqref="K98"/>
    </sheetView>
  </sheetViews>
  <sheetFormatPr defaultRowHeight="15"/>
  <cols>
    <col min="1" max="1" width="11" customWidth="1"/>
    <col min="2" max="2" width="49.7109375" customWidth="1"/>
    <col min="3" max="3" width="17.42578125" customWidth="1"/>
    <col min="4" max="4" width="18.28515625" customWidth="1"/>
    <col min="5" max="5" width="0" hidden="1" customWidth="1"/>
    <col min="6" max="6" width="15.42578125" hidden="1" customWidth="1"/>
    <col min="7" max="7" width="14.42578125" customWidth="1"/>
    <col min="8" max="8" width="15" hidden="1" customWidth="1"/>
    <col min="9" max="9" width="21" customWidth="1"/>
  </cols>
  <sheetData>
    <row r="1" spans="1:9" ht="15.75">
      <c r="A1" s="24" t="s">
        <v>170</v>
      </c>
      <c r="I1" s="23"/>
    </row>
    <row r="2" spans="1:9" ht="15.75">
      <c r="A2" s="25" t="s">
        <v>59</v>
      </c>
    </row>
    <row r="3" spans="1:9" ht="15.75">
      <c r="A3" s="215" t="s">
        <v>173</v>
      </c>
      <c r="B3" s="215"/>
      <c r="C3" s="215"/>
      <c r="D3" s="215"/>
      <c r="E3" s="215"/>
      <c r="F3" s="215"/>
      <c r="G3" s="215"/>
      <c r="H3" s="215"/>
      <c r="I3" s="215"/>
    </row>
    <row r="4" spans="1:9" ht="30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9" ht="15.75">
      <c r="A5" s="215" t="s">
        <v>283</v>
      </c>
      <c r="B5" s="217"/>
      <c r="C5" s="217"/>
      <c r="D5" s="217"/>
      <c r="E5" s="217"/>
      <c r="F5" s="217"/>
      <c r="G5" s="217"/>
      <c r="H5" s="217"/>
      <c r="I5" s="217"/>
    </row>
    <row r="6" spans="1:9" ht="15.75">
      <c r="A6" s="2"/>
      <c r="B6" s="149"/>
      <c r="C6" s="149"/>
      <c r="D6" s="149"/>
      <c r="E6" s="149"/>
      <c r="F6" s="149"/>
      <c r="G6" s="149"/>
      <c r="H6" s="149"/>
      <c r="I6" s="27">
        <v>44439</v>
      </c>
    </row>
    <row r="7" spans="1:9" ht="15.75">
      <c r="B7" s="151"/>
      <c r="C7" s="151"/>
      <c r="D7" s="151"/>
      <c r="E7" s="3"/>
      <c r="F7" s="3"/>
      <c r="G7" s="3"/>
      <c r="H7" s="3"/>
    </row>
    <row r="8" spans="1:9" ht="83.25" customHeight="1">
      <c r="A8" s="218" t="s">
        <v>213</v>
      </c>
      <c r="B8" s="218"/>
      <c r="C8" s="218"/>
      <c r="D8" s="218"/>
      <c r="E8" s="218"/>
      <c r="F8" s="218"/>
      <c r="G8" s="218"/>
      <c r="H8" s="218"/>
      <c r="I8" s="218"/>
    </row>
    <row r="9" spans="1:9" ht="15.75">
      <c r="A9" s="4"/>
    </row>
    <row r="10" spans="1:9" ht="52.5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</row>
    <row r="11" spans="1:9" ht="15.75">
      <c r="A11" s="4"/>
    </row>
    <row r="12" spans="1:9" ht="7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</row>
    <row r="16" spans="1:9" ht="16.5" customHeight="1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>SUM(F16*G16/1000)</f>
        <v>34.100352000000008</v>
      </c>
      <c r="I16" s="12">
        <f>F16/12*G16</f>
        <v>2841.6960000000004</v>
      </c>
    </row>
    <row r="17" spans="1:9" ht="16.5" customHeight="1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>SUM(F17*G17/1000)</f>
        <v>90.934271999999993</v>
      </c>
      <c r="I17" s="12">
        <f>F17/12*G17</f>
        <v>7577.8560000000007</v>
      </c>
    </row>
    <row r="18" spans="1:9" ht="15.75" customHeight="1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>SUM(F18*G18/1000)</f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85</v>
      </c>
      <c r="C19" s="54" t="s">
        <v>86</v>
      </c>
      <c r="D19" s="53" t="s">
        <v>87</v>
      </c>
      <c r="E19" s="55">
        <v>93.4</v>
      </c>
      <c r="F19" s="56">
        <f>SUM(E19/10)</f>
        <v>9.34</v>
      </c>
      <c r="G19" s="139">
        <v>223.17</v>
      </c>
      <c r="H19" s="57">
        <f t="shared" ref="H19:H24" si="0">SUM(F19*G19/1000)</f>
        <v>2.0844078000000001</v>
      </c>
      <c r="I19" s="12">
        <f>5.76*G19</f>
        <v>1285.4591999999998</v>
      </c>
    </row>
    <row r="20" spans="1:9" ht="15.75" hidden="1" customHeight="1">
      <c r="A20" s="26">
        <v>5</v>
      </c>
      <c r="B20" s="53" t="s">
        <v>88</v>
      </c>
      <c r="C20" s="54" t="s">
        <v>84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0"/>
        <v>0.24689664000000003</v>
      </c>
      <c r="I20" s="12">
        <f>F20/2*G20</f>
        <v>123.44832000000001</v>
      </c>
    </row>
    <row r="21" spans="1:9" ht="15.75" hidden="1" customHeight="1">
      <c r="A21" s="26">
        <v>6</v>
      </c>
      <c r="B21" s="53" t="s">
        <v>89</v>
      </c>
      <c r="C21" s="54" t="s">
        <v>84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90</v>
      </c>
      <c r="C22" s="54" t="s">
        <v>50</v>
      </c>
      <c r="D22" s="53" t="s">
        <v>87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91</v>
      </c>
      <c r="C23" s="54" t="s">
        <v>50</v>
      </c>
      <c r="D23" s="53" t="s">
        <v>87</v>
      </c>
      <c r="E23" s="58">
        <v>35.28</v>
      </c>
      <c r="F23" s="56">
        <f>SUM(E23/100)</f>
        <v>0.3528</v>
      </c>
      <c r="G23" s="139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92</v>
      </c>
      <c r="C24" s="54" t="s">
        <v>50</v>
      </c>
      <c r="D24" s="53" t="s">
        <v>87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0"/>
        <v>0.19671840000000002</v>
      </c>
      <c r="I24" s="12">
        <f>F24*G24</f>
        <v>196.7184</v>
      </c>
    </row>
    <row r="25" spans="1:9" ht="18" hidden="1" customHeight="1">
      <c r="A25" s="26">
        <v>4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22" t="s">
        <v>156</v>
      </c>
      <c r="B26" s="223"/>
      <c r="C26" s="223"/>
      <c r="D26" s="223"/>
      <c r="E26" s="223"/>
      <c r="F26" s="223"/>
      <c r="G26" s="223"/>
      <c r="H26" s="223"/>
      <c r="I26" s="224"/>
    </row>
    <row r="27" spans="1:9" ht="17.2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8" customHeight="1">
      <c r="A28" s="26">
        <v>4</v>
      </c>
      <c r="B28" s="53" t="s">
        <v>93</v>
      </c>
      <c r="C28" s="54" t="s">
        <v>157</v>
      </c>
      <c r="D28" s="184" t="s">
        <v>184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>SUM(F28*G28/1000)</f>
        <v>11.105548792000002</v>
      </c>
      <c r="I28" s="12">
        <f>17.064/6*G28</f>
        <v>581.42736000000002</v>
      </c>
    </row>
    <row r="29" spans="1:9" ht="43.5" customHeight="1">
      <c r="A29" s="26">
        <v>5</v>
      </c>
      <c r="B29" s="53" t="s">
        <v>121</v>
      </c>
      <c r="C29" s="54" t="s">
        <v>94</v>
      </c>
      <c r="D29" s="184" t="s">
        <v>184</v>
      </c>
      <c r="E29" s="56">
        <v>116.93</v>
      </c>
      <c r="F29" s="56">
        <f>SUM(E29*78/1000)</f>
        <v>9.1205400000000001</v>
      </c>
      <c r="G29" s="139">
        <v>339.21</v>
      </c>
      <c r="H29" s="57">
        <f>SUM(F29*G29/1000)</f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94</v>
      </c>
      <c r="D30" s="184" t="s">
        <v>192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>SUM(F30*G30/1000)</f>
        <v>4.1380989195</v>
      </c>
      <c r="I30" s="12">
        <f>0.3555*G30</f>
        <v>1408.217265</v>
      </c>
    </row>
    <row r="31" spans="1:9" ht="17.25" customHeight="1">
      <c r="A31" s="26">
        <v>6</v>
      </c>
      <c r="B31" s="53" t="s">
        <v>112</v>
      </c>
      <c r="C31" s="54" t="s">
        <v>38</v>
      </c>
      <c r="D31" s="184" t="s">
        <v>184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>SUM(F32*G32/1000)</f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>SUM(F33*G33/1000)</f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119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1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158</v>
      </c>
      <c r="C36" s="54" t="s">
        <v>29</v>
      </c>
      <c r="D36" s="53" t="s">
        <v>159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t="30" hidden="1">
      <c r="A37" s="26">
        <v>8</v>
      </c>
      <c r="B37" s="53" t="s">
        <v>160</v>
      </c>
      <c r="C37" s="54" t="s">
        <v>29</v>
      </c>
      <c r="D37" s="53" t="s">
        <v>96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161</v>
      </c>
      <c r="C38" s="54" t="s">
        <v>162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97</v>
      </c>
      <c r="E39" s="56">
        <v>116.93</v>
      </c>
      <c r="F39" s="56">
        <f>SUM(E39*155/1000)</f>
        <v>18.12415</v>
      </c>
      <c r="G39" s="56">
        <v>374.95</v>
      </c>
      <c r="H39" s="57">
        <f t="shared" si="1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94</v>
      </c>
      <c r="D40" s="53" t="s">
        <v>113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1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98</v>
      </c>
      <c r="C41" s="54" t="s">
        <v>94</v>
      </c>
      <c r="D41" s="53" t="s">
        <v>163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1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1"/>
        <v>0.71820000000000006</v>
      </c>
      <c r="I42" s="12">
        <f>F42/6*G42</f>
        <v>119.69999999999999</v>
      </c>
    </row>
    <row r="43" spans="1:9" hidden="1">
      <c r="A43" s="222" t="s">
        <v>164</v>
      </c>
      <c r="B43" s="223"/>
      <c r="C43" s="223"/>
      <c r="D43" s="223"/>
      <c r="E43" s="223"/>
      <c r="F43" s="223"/>
      <c r="G43" s="223"/>
      <c r="H43" s="223"/>
      <c r="I43" s="224"/>
    </row>
    <row r="44" spans="1:9" hidden="1">
      <c r="A44" s="26">
        <v>17</v>
      </c>
      <c r="B44" s="53" t="s">
        <v>115</v>
      </c>
      <c r="C44" s="54" t="s">
        <v>94</v>
      </c>
      <c r="D44" s="53" t="s">
        <v>40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2">SUM(F44*G44/1000)</f>
        <v>2.2959991039999998</v>
      </c>
      <c r="I44" s="12">
        <f>F44/2*G44</f>
        <v>1147.999552</v>
      </c>
    </row>
    <row r="45" spans="1:9" hidden="1">
      <c r="A45" s="26">
        <v>18</v>
      </c>
      <c r="B45" s="53" t="s">
        <v>33</v>
      </c>
      <c r="C45" s="54" t="s">
        <v>94</v>
      </c>
      <c r="D45" s="53" t="s">
        <v>40</v>
      </c>
      <c r="E45" s="55">
        <v>132</v>
      </c>
      <c r="F45" s="56">
        <f>E45*2/1000</f>
        <v>0.26400000000000001</v>
      </c>
      <c r="G45" s="135">
        <v>4419.05</v>
      </c>
      <c r="H45" s="57">
        <f t="shared" si="2"/>
        <v>1.1666292</v>
      </c>
      <c r="I45" s="12">
        <f>F45/2*G45</f>
        <v>583.31460000000004</v>
      </c>
    </row>
    <row r="46" spans="1:9" hidden="1">
      <c r="A46" s="26">
        <v>19</v>
      </c>
      <c r="B46" s="53" t="s">
        <v>34</v>
      </c>
      <c r="C46" s="54" t="s">
        <v>94</v>
      </c>
      <c r="D46" s="53" t="s">
        <v>40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2"/>
        <v>15.3249438636</v>
      </c>
      <c r="I46" s="12">
        <f>F46/2*G46</f>
        <v>7662.4719317999998</v>
      </c>
    </row>
    <row r="47" spans="1:9" hidden="1">
      <c r="A47" s="26">
        <v>20</v>
      </c>
      <c r="B47" s="53" t="s">
        <v>35</v>
      </c>
      <c r="C47" s="54" t="s">
        <v>94</v>
      </c>
      <c r="D47" s="53" t="s">
        <v>40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2"/>
        <v>5.3807195075999994</v>
      </c>
      <c r="I47" s="12">
        <f>F47/2*G47</f>
        <v>2690.3597537999999</v>
      </c>
    </row>
    <row r="48" spans="1:9" hidden="1">
      <c r="A48" s="26">
        <v>21</v>
      </c>
      <c r="B48" s="53" t="s">
        <v>53</v>
      </c>
      <c r="C48" s="54" t="s">
        <v>94</v>
      </c>
      <c r="D48" s="53" t="s">
        <v>125</v>
      </c>
      <c r="E48" s="55">
        <v>1015.4</v>
      </c>
      <c r="F48" s="56">
        <f>SUM(E48*5/1000)</f>
        <v>5.077</v>
      </c>
      <c r="G48" s="135">
        <v>1083.69</v>
      </c>
      <c r="H48" s="57">
        <f t="shared" si="2"/>
        <v>5.5018941300000002</v>
      </c>
      <c r="I48" s="12">
        <f>3.945*G48</f>
        <v>4275.1570499999998</v>
      </c>
    </row>
    <row r="49" spans="1:9" ht="45" hidden="1">
      <c r="A49" s="26"/>
      <c r="B49" s="53" t="s">
        <v>99</v>
      </c>
      <c r="C49" s="54" t="s">
        <v>94</v>
      </c>
      <c r="D49" s="53" t="s">
        <v>40</v>
      </c>
      <c r="E49" s="55">
        <v>1015.4</v>
      </c>
      <c r="F49" s="56">
        <f>SUM(E49*2/1000)</f>
        <v>2.0308000000000002</v>
      </c>
      <c r="G49" s="12">
        <v>1297.28</v>
      </c>
      <c r="H49" s="57">
        <f t="shared" si="2"/>
        <v>2.634516224</v>
      </c>
      <c r="I49" s="12">
        <v>0</v>
      </c>
    </row>
    <row r="50" spans="1:9" ht="30" hidden="1">
      <c r="A50" s="26"/>
      <c r="B50" s="53" t="s">
        <v>100</v>
      </c>
      <c r="C50" s="54" t="s">
        <v>36</v>
      </c>
      <c r="D50" s="53" t="s">
        <v>40</v>
      </c>
      <c r="E50" s="55">
        <v>30</v>
      </c>
      <c r="F50" s="56">
        <f>SUM(E50*2/100)</f>
        <v>0.6</v>
      </c>
      <c r="G50" s="12">
        <v>2918.89</v>
      </c>
      <c r="H50" s="57">
        <f t="shared" si="2"/>
        <v>1.7513339999999997</v>
      </c>
      <c r="I50" s="12">
        <v>0</v>
      </c>
    </row>
    <row r="51" spans="1:9" hidden="1">
      <c r="A51" s="26"/>
      <c r="B51" s="53" t="s">
        <v>37</v>
      </c>
      <c r="C51" s="54" t="s">
        <v>38</v>
      </c>
      <c r="D51" s="53" t="s">
        <v>40</v>
      </c>
      <c r="E51" s="55">
        <v>1</v>
      </c>
      <c r="F51" s="56">
        <v>0.02</v>
      </c>
      <c r="G51" s="12">
        <v>6042.13</v>
      </c>
      <c r="H51" s="57">
        <f t="shared" si="2"/>
        <v>0.12084260000000001</v>
      </c>
      <c r="I51" s="12">
        <v>0</v>
      </c>
    </row>
    <row r="52" spans="1:9" hidden="1">
      <c r="A52" s="26">
        <v>22</v>
      </c>
      <c r="B52" s="53" t="s">
        <v>114</v>
      </c>
      <c r="C52" s="54" t="s">
        <v>80</v>
      </c>
      <c r="D52" s="53" t="s">
        <v>66</v>
      </c>
      <c r="E52" s="55">
        <v>90</v>
      </c>
      <c r="F52" s="56">
        <f>E52*4</f>
        <v>360</v>
      </c>
      <c r="G52" s="135">
        <v>185.08</v>
      </c>
      <c r="H52" s="57">
        <f>F52*G52/1000</f>
        <v>66.628799999999998</v>
      </c>
      <c r="I52" s="12">
        <f>G52*E52</f>
        <v>16657.2</v>
      </c>
    </row>
    <row r="53" spans="1:9" hidden="1">
      <c r="A53" s="26">
        <v>23</v>
      </c>
      <c r="B53" s="53" t="s">
        <v>39</v>
      </c>
      <c r="C53" s="54" t="s">
        <v>80</v>
      </c>
      <c r="D53" s="53" t="s">
        <v>66</v>
      </c>
      <c r="E53" s="55">
        <v>180</v>
      </c>
      <c r="F53" s="56">
        <f>SUM(E53)*3</f>
        <v>540</v>
      </c>
      <c r="G53" s="138">
        <v>86.15</v>
      </c>
      <c r="H53" s="57">
        <f t="shared" si="2"/>
        <v>46.521000000000001</v>
      </c>
      <c r="I53" s="12">
        <f>G53*E53</f>
        <v>15507.000000000002</v>
      </c>
    </row>
    <row r="54" spans="1:9">
      <c r="A54" s="222" t="s">
        <v>149</v>
      </c>
      <c r="B54" s="223"/>
      <c r="C54" s="223"/>
      <c r="D54" s="223"/>
      <c r="E54" s="223"/>
      <c r="F54" s="223"/>
      <c r="G54" s="223"/>
      <c r="H54" s="223"/>
      <c r="I54" s="224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45" hidden="1">
      <c r="A56" s="26">
        <v>16</v>
      </c>
      <c r="B56" s="53" t="s">
        <v>165</v>
      </c>
      <c r="C56" s="54" t="s">
        <v>84</v>
      </c>
      <c r="D56" s="53" t="s">
        <v>101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78</v>
      </c>
      <c r="C57" s="54" t="s">
        <v>84</v>
      </c>
      <c r="D57" s="53" t="s">
        <v>79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116</v>
      </c>
      <c r="C58" s="63" t="s">
        <v>117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118</v>
      </c>
      <c r="C59" s="54" t="s">
        <v>84</v>
      </c>
      <c r="D59" s="53" t="s">
        <v>101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7.25" customHeight="1">
      <c r="A60" s="26"/>
      <c r="B60" s="76" t="s">
        <v>42</v>
      </c>
      <c r="C60" s="63"/>
      <c r="D60" s="62"/>
      <c r="E60" s="64"/>
      <c r="F60" s="65"/>
      <c r="G60" s="12"/>
      <c r="H60" s="66"/>
      <c r="I60" s="12"/>
    </row>
    <row r="61" spans="1:9" hidden="1">
      <c r="A61" s="26"/>
      <c r="B61" s="62" t="s">
        <v>166</v>
      </c>
      <c r="C61" s="63" t="s">
        <v>50</v>
      </c>
      <c r="D61" s="62" t="s">
        <v>51</v>
      </c>
      <c r="E61" s="64">
        <v>1015.4</v>
      </c>
      <c r="F61" s="65">
        <v>10.154</v>
      </c>
      <c r="G61" s="12">
        <v>848.37</v>
      </c>
      <c r="H61" s="66">
        <f>F61*G61/1000</f>
        <v>8.6143489800000008</v>
      </c>
      <c r="I61" s="12">
        <v>0</v>
      </c>
    </row>
    <row r="62" spans="1:9" ht="18" customHeight="1">
      <c r="A62" s="26">
        <v>7</v>
      </c>
      <c r="B62" s="62" t="s">
        <v>81</v>
      </c>
      <c r="C62" s="63" t="s">
        <v>25</v>
      </c>
      <c r="D62" s="62" t="s">
        <v>191</v>
      </c>
      <c r="E62" s="64">
        <v>203.1</v>
      </c>
      <c r="F62" s="67">
        <f>E62*12</f>
        <v>2437.1999999999998</v>
      </c>
      <c r="G62" s="48">
        <v>1.4</v>
      </c>
      <c r="H62" s="65">
        <f>F62*G62/1000</f>
        <v>3.4120799999999996</v>
      </c>
      <c r="I62" s="12">
        <f>2400/12*G62</f>
        <v>280</v>
      </c>
    </row>
    <row r="63" spans="1:9" hidden="1">
      <c r="A63" s="26"/>
      <c r="B63" s="76" t="s">
        <v>43</v>
      </c>
      <c r="C63" s="63"/>
      <c r="D63" s="62"/>
      <c r="E63" s="64"/>
      <c r="F63" s="67"/>
      <c r="G63" s="67"/>
      <c r="H63" s="65" t="s">
        <v>119</v>
      </c>
      <c r="I63" s="12"/>
    </row>
    <row r="64" spans="1:9" hidden="1">
      <c r="A64" s="26">
        <v>19</v>
      </c>
      <c r="B64" s="13" t="s">
        <v>44</v>
      </c>
      <c r="C64" s="15" t="s">
        <v>80</v>
      </c>
      <c r="D64" s="13" t="s">
        <v>63</v>
      </c>
      <c r="E64" s="17">
        <v>10</v>
      </c>
      <c r="F64" s="56">
        <v>10</v>
      </c>
      <c r="G64" s="12">
        <v>237.75</v>
      </c>
      <c r="H64" s="68">
        <f t="shared" ref="H64:H77" si="3">SUM(F64*G64/1000)</f>
        <v>2.3774999999999999</v>
      </c>
      <c r="I64" s="12">
        <f>G64</f>
        <v>237.75</v>
      </c>
    </row>
    <row r="65" spans="1:9" hidden="1">
      <c r="A65" s="26"/>
      <c r="B65" s="13" t="s">
        <v>45</v>
      </c>
      <c r="C65" s="15" t="s">
        <v>80</v>
      </c>
      <c r="D65" s="13" t="s">
        <v>63</v>
      </c>
      <c r="E65" s="17">
        <v>5</v>
      </c>
      <c r="F65" s="56">
        <v>5</v>
      </c>
      <c r="G65" s="12">
        <v>81.510000000000005</v>
      </c>
      <c r="H65" s="68">
        <f t="shared" si="3"/>
        <v>0.40755000000000002</v>
      </c>
      <c r="I65" s="12">
        <v>0</v>
      </c>
    </row>
    <row r="66" spans="1:9" hidden="1">
      <c r="A66" s="26">
        <v>25</v>
      </c>
      <c r="B66" s="13" t="s">
        <v>46</v>
      </c>
      <c r="C66" s="15" t="s">
        <v>103</v>
      </c>
      <c r="D66" s="13" t="s">
        <v>51</v>
      </c>
      <c r="E66" s="55">
        <v>14205</v>
      </c>
      <c r="F66" s="12">
        <f>SUM(E66/100)</f>
        <v>142.05000000000001</v>
      </c>
      <c r="G66" s="135">
        <v>278.24</v>
      </c>
      <c r="H66" s="68">
        <f t="shared" si="3"/>
        <v>39.523992000000007</v>
      </c>
      <c r="I66" s="12">
        <f>F66*G66</f>
        <v>39523.992000000006</v>
      </c>
    </row>
    <row r="67" spans="1:9" hidden="1">
      <c r="A67" s="26">
        <v>26</v>
      </c>
      <c r="B67" s="13" t="s">
        <v>47</v>
      </c>
      <c r="C67" s="15" t="s">
        <v>104</v>
      </c>
      <c r="D67" s="13" t="s">
        <v>51</v>
      </c>
      <c r="E67" s="55">
        <v>14205</v>
      </c>
      <c r="F67" s="12">
        <f>SUM(E67/1000)</f>
        <v>14.205</v>
      </c>
      <c r="G67" s="135">
        <v>216.68</v>
      </c>
      <c r="H67" s="68">
        <f t="shared" si="3"/>
        <v>3.0779394</v>
      </c>
      <c r="I67" s="12">
        <f>F67*G67</f>
        <v>3077.9394000000002</v>
      </c>
    </row>
    <row r="68" spans="1:9" hidden="1">
      <c r="A68" s="26">
        <v>27</v>
      </c>
      <c r="B68" s="13" t="s">
        <v>48</v>
      </c>
      <c r="C68" s="15" t="s">
        <v>72</v>
      </c>
      <c r="D68" s="13" t="s">
        <v>51</v>
      </c>
      <c r="E68" s="55">
        <v>2131</v>
      </c>
      <c r="F68" s="12">
        <f>SUM(E68/100)</f>
        <v>21.31</v>
      </c>
      <c r="G68" s="135">
        <v>2720.94</v>
      </c>
      <c r="H68" s="68">
        <f t="shared" si="3"/>
        <v>57.983231399999994</v>
      </c>
      <c r="I68" s="12">
        <f>F68*G68</f>
        <v>57983.231399999997</v>
      </c>
    </row>
    <row r="69" spans="1:9" hidden="1">
      <c r="A69" s="26">
        <v>28</v>
      </c>
      <c r="B69" s="69" t="s">
        <v>105</v>
      </c>
      <c r="C69" s="15" t="s">
        <v>32</v>
      </c>
      <c r="D69" s="13" t="s">
        <v>51</v>
      </c>
      <c r="E69" s="55">
        <v>12.48</v>
      </c>
      <c r="F69" s="12">
        <f>SUM(E69)</f>
        <v>12.48</v>
      </c>
      <c r="G69" s="135">
        <v>44.31</v>
      </c>
      <c r="H69" s="68">
        <f t="shared" si="3"/>
        <v>0.55298880000000006</v>
      </c>
      <c r="I69" s="12">
        <f>7*G69</f>
        <v>310.17</v>
      </c>
    </row>
    <row r="70" spans="1:9" hidden="1">
      <c r="A70" s="26">
        <v>29</v>
      </c>
      <c r="B70" s="69" t="s">
        <v>106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35">
        <v>47.79</v>
      </c>
      <c r="H70" s="68">
        <f t="shared" si="3"/>
        <v>0.59641920000000004</v>
      </c>
      <c r="I70" s="12">
        <f>7*G70</f>
        <v>334.53</v>
      </c>
    </row>
    <row r="71" spans="1:9" hidden="1">
      <c r="A71" s="26"/>
      <c r="B71" s="13" t="s">
        <v>54</v>
      </c>
      <c r="C71" s="15" t="s">
        <v>55</v>
      </c>
      <c r="D71" s="13" t="s">
        <v>51</v>
      </c>
      <c r="E71" s="17">
        <v>5</v>
      </c>
      <c r="F71" s="56">
        <v>5</v>
      </c>
      <c r="G71" s="12">
        <v>53.32</v>
      </c>
      <c r="H71" s="68">
        <f t="shared" si="3"/>
        <v>0.2666</v>
      </c>
      <c r="I71" s="12">
        <v>0</v>
      </c>
    </row>
    <row r="72" spans="1:9" hidden="1">
      <c r="A72" s="26"/>
      <c r="B72" s="148" t="s">
        <v>67</v>
      </c>
      <c r="C72" s="15"/>
      <c r="D72" s="13"/>
      <c r="E72" s="17"/>
      <c r="F72" s="12"/>
      <c r="G72" s="12"/>
      <c r="H72" s="68" t="s">
        <v>119</v>
      </c>
      <c r="I72" s="12"/>
    </row>
    <row r="73" spans="1:9" ht="18.75" hidden="1" customHeight="1">
      <c r="A73" s="26">
        <v>9</v>
      </c>
      <c r="B73" s="13" t="s">
        <v>68</v>
      </c>
      <c r="C73" s="15" t="s">
        <v>70</v>
      </c>
      <c r="D73" s="13" t="s">
        <v>205</v>
      </c>
      <c r="E73" s="17">
        <v>2</v>
      </c>
      <c r="F73" s="12">
        <v>0.2</v>
      </c>
      <c r="G73" s="135">
        <v>657.87</v>
      </c>
      <c r="H73" s="68">
        <f t="shared" si="3"/>
        <v>0.13157400000000002</v>
      </c>
      <c r="I73" s="12">
        <f>G73*0.1</f>
        <v>65.787000000000006</v>
      </c>
    </row>
    <row r="74" spans="1:9" ht="16.5" hidden="1" customHeight="1">
      <c r="A74" s="26">
        <v>9</v>
      </c>
      <c r="B74" s="106" t="s">
        <v>69</v>
      </c>
      <c r="C74" s="192" t="s">
        <v>30</v>
      </c>
      <c r="D74" s="106" t="s">
        <v>151</v>
      </c>
      <c r="E74" s="16">
        <v>1</v>
      </c>
      <c r="F74" s="197">
        <v>1</v>
      </c>
      <c r="G74" s="107">
        <v>1118.72</v>
      </c>
      <c r="H74" s="68">
        <f>F74*G74/1000</f>
        <v>1.1187199999999999</v>
      </c>
      <c r="I74" s="12">
        <f>G74*1</f>
        <v>1118.72</v>
      </c>
    </row>
    <row r="75" spans="1:9" hidden="1">
      <c r="A75" s="26"/>
      <c r="B75" s="13" t="s">
        <v>167</v>
      </c>
      <c r="C75" s="15" t="s">
        <v>30</v>
      </c>
      <c r="D75" s="13" t="s">
        <v>63</v>
      </c>
      <c r="E75" s="17">
        <v>1</v>
      </c>
      <c r="F75" s="12">
        <v>1</v>
      </c>
      <c r="G75" s="12">
        <v>383.25</v>
      </c>
      <c r="H75" s="68">
        <f>G75*F75/1000</f>
        <v>0.38324999999999998</v>
      </c>
      <c r="I75" s="12">
        <v>0</v>
      </c>
    </row>
    <row r="76" spans="1:9" hidden="1">
      <c r="A76" s="26"/>
      <c r="B76" s="70" t="s">
        <v>71</v>
      </c>
      <c r="C76" s="15"/>
      <c r="D76" s="13"/>
      <c r="E76" s="17"/>
      <c r="F76" s="12"/>
      <c r="G76" s="12" t="s">
        <v>119</v>
      </c>
      <c r="H76" s="68" t="s">
        <v>119</v>
      </c>
      <c r="I76" s="12"/>
    </row>
    <row r="77" spans="1:9" hidden="1">
      <c r="A77" s="26">
        <v>22</v>
      </c>
      <c r="B77" s="39" t="s">
        <v>109</v>
      </c>
      <c r="C77" s="15" t="s">
        <v>72</v>
      </c>
      <c r="D77" s="13"/>
      <c r="E77" s="17"/>
      <c r="F77" s="12">
        <v>0.9</v>
      </c>
      <c r="G77" s="12">
        <v>2757.42</v>
      </c>
      <c r="H77" s="68">
        <f t="shared" si="3"/>
        <v>2.4816780000000005</v>
      </c>
      <c r="I77" s="12">
        <f>G77*F77</f>
        <v>2481.6780000000003</v>
      </c>
    </row>
    <row r="78" spans="1:9" ht="28.5" hidden="1">
      <c r="A78" s="26"/>
      <c r="B78" s="148" t="s">
        <v>107</v>
      </c>
      <c r="C78" s="70"/>
      <c r="D78" s="28"/>
      <c r="E78" s="29"/>
      <c r="F78" s="59"/>
      <c r="G78" s="59"/>
      <c r="H78" s="71">
        <f>SUM(H56:H77)</f>
        <v>150.73294858800003</v>
      </c>
      <c r="I78" s="59"/>
    </row>
    <row r="79" spans="1:9" hidden="1">
      <c r="A79" s="124">
        <v>23</v>
      </c>
      <c r="B79" s="62" t="s">
        <v>108</v>
      </c>
      <c r="C79" s="125"/>
      <c r="D79" s="126"/>
      <c r="E79" s="49"/>
      <c r="F79" s="74">
        <v>1</v>
      </c>
      <c r="G79" s="74">
        <v>27901.200000000001</v>
      </c>
      <c r="H79" s="127">
        <f>G79*F79/1000</f>
        <v>27.901199999999999</v>
      </c>
      <c r="I79" s="74">
        <f>G79</f>
        <v>27901.200000000001</v>
      </c>
    </row>
    <row r="80" spans="1:9" ht="15.75" customHeight="1">
      <c r="A80" s="26"/>
      <c r="B80" s="147" t="s">
        <v>135</v>
      </c>
      <c r="C80" s="137"/>
      <c r="D80" s="13"/>
      <c r="E80" s="17"/>
      <c r="F80" s="12"/>
      <c r="G80" s="12"/>
      <c r="H80" s="12"/>
      <c r="I80" s="12"/>
    </row>
    <row r="81" spans="1:9" ht="34.5" customHeight="1">
      <c r="A81" s="26">
        <v>8</v>
      </c>
      <c r="B81" s="106" t="s">
        <v>136</v>
      </c>
      <c r="C81" s="32" t="s">
        <v>137</v>
      </c>
      <c r="D81" s="13"/>
      <c r="E81" s="17"/>
      <c r="F81" s="12"/>
      <c r="G81" s="107">
        <v>2.2799999999999998</v>
      </c>
      <c r="H81" s="12"/>
      <c r="I81" s="12">
        <f>47340/12*G81</f>
        <v>8994.5999999999985</v>
      </c>
    </row>
    <row r="82" spans="1:9" ht="28.5" customHeight="1">
      <c r="A82" s="26">
        <v>9</v>
      </c>
      <c r="B82" s="110" t="s">
        <v>138</v>
      </c>
      <c r="C82" s="111" t="s">
        <v>80</v>
      </c>
      <c r="D82" s="13" t="s">
        <v>191</v>
      </c>
      <c r="E82" s="17"/>
      <c r="F82" s="12"/>
      <c r="G82" s="107">
        <v>50.68</v>
      </c>
      <c r="H82" s="12"/>
      <c r="I82" s="12">
        <f>12/12*G82</f>
        <v>50.68</v>
      </c>
    </row>
    <row r="83" spans="1:9" ht="16.5" hidden="1" customHeight="1">
      <c r="A83" s="26"/>
      <c r="B83" s="183" t="s">
        <v>179</v>
      </c>
      <c r="C83" s="111"/>
      <c r="D83" s="13"/>
      <c r="E83" s="17"/>
      <c r="F83" s="12"/>
      <c r="G83" s="107"/>
      <c r="H83" s="12"/>
      <c r="I83" s="12"/>
    </row>
    <row r="84" spans="1:9" ht="18" hidden="1" customHeight="1">
      <c r="A84" s="26">
        <v>13</v>
      </c>
      <c r="B84" s="184" t="s">
        <v>143</v>
      </c>
      <c r="C84" s="111" t="s">
        <v>180</v>
      </c>
      <c r="D84" s="13"/>
      <c r="E84" s="17"/>
      <c r="F84" s="12"/>
      <c r="G84" s="107">
        <v>44100</v>
      </c>
      <c r="H84" s="12"/>
      <c r="I84" s="12">
        <f>G84*1</f>
        <v>44100</v>
      </c>
    </row>
    <row r="85" spans="1:9">
      <c r="A85" s="230" t="s">
        <v>150</v>
      </c>
      <c r="B85" s="231"/>
      <c r="C85" s="231"/>
      <c r="D85" s="231"/>
      <c r="E85" s="231"/>
      <c r="F85" s="231"/>
      <c r="G85" s="231"/>
      <c r="H85" s="231"/>
      <c r="I85" s="232"/>
    </row>
    <row r="86" spans="1:9" ht="18" customHeight="1">
      <c r="A86" s="77">
        <v>10</v>
      </c>
      <c r="B86" s="128" t="s">
        <v>110</v>
      </c>
      <c r="C86" s="129" t="s">
        <v>52</v>
      </c>
      <c r="D86" s="130"/>
      <c r="E86" s="131">
        <v>3945</v>
      </c>
      <c r="F86" s="131">
        <f>SUM(E86*12)</f>
        <v>47340</v>
      </c>
      <c r="G86" s="136">
        <v>3.1</v>
      </c>
      <c r="H86" s="132">
        <f>SUM(F86*G86/1000)</f>
        <v>146.75399999999999</v>
      </c>
      <c r="I86" s="131">
        <f>F86/12*G86</f>
        <v>12229.5</v>
      </c>
    </row>
    <row r="87" spans="1:9" ht="30.75" customHeight="1">
      <c r="A87" s="26">
        <v>11</v>
      </c>
      <c r="B87" s="13" t="s">
        <v>73</v>
      </c>
      <c r="C87" s="15"/>
      <c r="D87" s="130"/>
      <c r="E87" s="55">
        <f>E86</f>
        <v>3945</v>
      </c>
      <c r="F87" s="12">
        <f>E87*12</f>
        <v>47340</v>
      </c>
      <c r="G87" s="135">
        <v>3.5</v>
      </c>
      <c r="H87" s="68">
        <f>F87*G87/1000</f>
        <v>165.69</v>
      </c>
      <c r="I87" s="12">
        <f>F87/12*G87</f>
        <v>13807.5</v>
      </c>
    </row>
    <row r="88" spans="1:9">
      <c r="A88" s="26"/>
      <c r="B88" s="31" t="s">
        <v>75</v>
      </c>
      <c r="C88" s="32"/>
      <c r="D88" s="14"/>
      <c r="E88" s="14"/>
      <c r="F88" s="17"/>
      <c r="G88" s="133"/>
      <c r="H88" s="71">
        <f>H87</f>
        <v>165.69</v>
      </c>
      <c r="I88" s="29">
        <f>I87+I86+I82+I81+I62+I31+I29+I28+I18+I17+I16</f>
        <v>53774.280128000006</v>
      </c>
    </row>
    <row r="89" spans="1:9">
      <c r="A89" s="227" t="s">
        <v>57</v>
      </c>
      <c r="B89" s="228"/>
      <c r="C89" s="228"/>
      <c r="D89" s="228"/>
      <c r="E89" s="228"/>
      <c r="F89" s="228"/>
      <c r="G89" s="228"/>
      <c r="H89" s="228"/>
      <c r="I89" s="229"/>
    </row>
    <row r="90" spans="1:9">
      <c r="A90" s="26">
        <v>12</v>
      </c>
      <c r="B90" s="110" t="s">
        <v>284</v>
      </c>
      <c r="C90" s="210" t="s">
        <v>208</v>
      </c>
      <c r="D90" s="201"/>
      <c r="E90" s="107"/>
      <c r="F90" s="107">
        <v>0.12</v>
      </c>
      <c r="G90" s="107">
        <v>4113.16</v>
      </c>
      <c r="H90" s="12"/>
      <c r="I90" s="74">
        <f>G90*0.12</f>
        <v>493.57919999999996</v>
      </c>
    </row>
    <row r="91" spans="1:9">
      <c r="A91" s="26">
        <v>13</v>
      </c>
      <c r="B91" s="110" t="s">
        <v>199</v>
      </c>
      <c r="C91" s="111" t="s">
        <v>200</v>
      </c>
      <c r="D91" s="86" t="s">
        <v>288</v>
      </c>
      <c r="E91" s="107"/>
      <c r="F91" s="107">
        <v>3</v>
      </c>
      <c r="G91" s="107">
        <v>231.54</v>
      </c>
      <c r="H91" s="12"/>
      <c r="I91" s="74">
        <f>G91*1</f>
        <v>231.54</v>
      </c>
    </row>
    <row r="92" spans="1:9" ht="30">
      <c r="A92" s="26">
        <v>14</v>
      </c>
      <c r="B92" s="110" t="s">
        <v>285</v>
      </c>
      <c r="C92" s="111" t="s">
        <v>286</v>
      </c>
      <c r="D92" s="201" t="s">
        <v>287</v>
      </c>
      <c r="E92" s="107"/>
      <c r="F92" s="107">
        <v>1</v>
      </c>
      <c r="G92" s="107">
        <v>784.27</v>
      </c>
      <c r="H92" s="12"/>
      <c r="I92" s="74">
        <f>G92*1</f>
        <v>784.27</v>
      </c>
    </row>
    <row r="93" spans="1:9" ht="15" customHeight="1">
      <c r="A93" s="26"/>
      <c r="B93" s="37" t="s">
        <v>49</v>
      </c>
      <c r="C93" s="33"/>
      <c r="D93" s="40"/>
      <c r="E93" s="33">
        <v>1</v>
      </c>
      <c r="F93" s="33"/>
      <c r="G93" s="33"/>
      <c r="H93" s="33"/>
      <c r="I93" s="29">
        <f>SUM(I90:I92)</f>
        <v>1509.3892000000001</v>
      </c>
    </row>
    <row r="94" spans="1:9">
      <c r="A94" s="26"/>
      <c r="B94" s="39" t="s">
        <v>74</v>
      </c>
      <c r="C94" s="14"/>
      <c r="D94" s="14"/>
      <c r="E94" s="34"/>
      <c r="F94" s="34"/>
      <c r="G94" s="35"/>
      <c r="H94" s="35"/>
      <c r="I94" s="16">
        <v>0</v>
      </c>
    </row>
    <row r="95" spans="1:9">
      <c r="A95" s="41"/>
      <c r="B95" s="38" t="s">
        <v>168</v>
      </c>
      <c r="C95" s="30"/>
      <c r="D95" s="30"/>
      <c r="E95" s="30"/>
      <c r="F95" s="30"/>
      <c r="G95" s="30"/>
      <c r="H95" s="30"/>
      <c r="I95" s="36">
        <f>I88+I93</f>
        <v>55283.669328000004</v>
      </c>
    </row>
    <row r="96" spans="1:9" ht="15.75">
      <c r="A96" s="226" t="s">
        <v>289</v>
      </c>
      <c r="B96" s="226"/>
      <c r="C96" s="226"/>
      <c r="D96" s="226"/>
      <c r="E96" s="226"/>
      <c r="F96" s="226"/>
      <c r="G96" s="226"/>
      <c r="H96" s="226"/>
      <c r="I96" s="226"/>
    </row>
    <row r="97" spans="1:9" ht="15.75">
      <c r="A97" s="78"/>
      <c r="B97" s="233" t="s">
        <v>290</v>
      </c>
      <c r="C97" s="233"/>
      <c r="D97" s="233"/>
      <c r="E97" s="233"/>
      <c r="F97" s="233"/>
      <c r="G97" s="233"/>
      <c r="H97" s="52"/>
      <c r="I97" s="3"/>
    </row>
    <row r="98" spans="1:9">
      <c r="A98" s="153"/>
      <c r="B98" s="234" t="s">
        <v>6</v>
      </c>
      <c r="C98" s="234"/>
      <c r="D98" s="234"/>
      <c r="E98" s="234"/>
      <c r="F98" s="234"/>
      <c r="G98" s="234"/>
      <c r="H98" s="21"/>
      <c r="I98" s="5"/>
    </row>
    <row r="99" spans="1:9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235" t="s">
        <v>7</v>
      </c>
      <c r="B100" s="235"/>
      <c r="C100" s="235"/>
      <c r="D100" s="235"/>
      <c r="E100" s="235"/>
      <c r="F100" s="235"/>
      <c r="G100" s="235"/>
      <c r="H100" s="235"/>
      <c r="I100" s="235"/>
    </row>
    <row r="101" spans="1:9" ht="15.75">
      <c r="A101" s="235" t="s">
        <v>8</v>
      </c>
      <c r="B101" s="235"/>
      <c r="C101" s="235"/>
      <c r="D101" s="235"/>
      <c r="E101" s="235"/>
      <c r="F101" s="235"/>
      <c r="G101" s="235"/>
      <c r="H101" s="235"/>
      <c r="I101" s="235"/>
    </row>
    <row r="102" spans="1:9" ht="15.75">
      <c r="A102" s="236" t="s">
        <v>58</v>
      </c>
      <c r="B102" s="236"/>
      <c r="C102" s="236"/>
      <c r="D102" s="236"/>
      <c r="E102" s="236"/>
      <c r="F102" s="236"/>
      <c r="G102" s="236"/>
      <c r="H102" s="236"/>
      <c r="I102" s="236"/>
    </row>
    <row r="103" spans="1:9" ht="15.75">
      <c r="A103" s="10"/>
    </row>
    <row r="104" spans="1:9" ht="15.75">
      <c r="A104" s="220" t="s">
        <v>9</v>
      </c>
      <c r="B104" s="220"/>
      <c r="C104" s="220"/>
      <c r="D104" s="220"/>
      <c r="E104" s="220"/>
      <c r="F104" s="220"/>
      <c r="G104" s="220"/>
      <c r="H104" s="220"/>
      <c r="I104" s="220"/>
    </row>
    <row r="105" spans="1:9" ht="15.75">
      <c r="A105" s="4"/>
    </row>
    <row r="106" spans="1:9" ht="15.75">
      <c r="B106" s="151" t="s">
        <v>10</v>
      </c>
      <c r="C106" s="238" t="s">
        <v>215</v>
      </c>
      <c r="D106" s="238"/>
      <c r="E106" s="238"/>
      <c r="F106" s="50"/>
      <c r="I106" s="152"/>
    </row>
    <row r="107" spans="1:9">
      <c r="A107" s="153"/>
      <c r="C107" s="234" t="s">
        <v>11</v>
      </c>
      <c r="D107" s="234"/>
      <c r="E107" s="234"/>
      <c r="F107" s="21"/>
      <c r="I107" s="150" t="s">
        <v>12</v>
      </c>
    </row>
    <row r="108" spans="1:9" ht="15.75">
      <c r="A108" s="22"/>
      <c r="C108" s="11"/>
      <c r="D108" s="11"/>
      <c r="G108" s="11"/>
      <c r="H108" s="11"/>
    </row>
    <row r="109" spans="1:9" ht="15.75">
      <c r="B109" s="151" t="s">
        <v>13</v>
      </c>
      <c r="C109" s="239"/>
      <c r="D109" s="239"/>
      <c r="E109" s="239"/>
      <c r="F109" s="51"/>
      <c r="I109" s="152"/>
    </row>
    <row r="110" spans="1:9">
      <c r="A110" s="153"/>
      <c r="C110" s="240" t="s">
        <v>11</v>
      </c>
      <c r="D110" s="240"/>
      <c r="E110" s="240"/>
      <c r="F110" s="153"/>
      <c r="I110" s="150" t="s">
        <v>12</v>
      </c>
    </row>
    <row r="111" spans="1:9" ht="15.75">
      <c r="A111" s="4" t="s">
        <v>14</v>
      </c>
    </row>
    <row r="112" spans="1:9">
      <c r="A112" s="241" t="s">
        <v>15</v>
      </c>
      <c r="B112" s="241"/>
      <c r="C112" s="241"/>
      <c r="D112" s="241"/>
      <c r="E112" s="241"/>
      <c r="F112" s="241"/>
      <c r="G112" s="241"/>
      <c r="H112" s="241"/>
      <c r="I112" s="241"/>
    </row>
    <row r="113" spans="1:9" ht="42" customHeight="1">
      <c r="A113" s="237" t="s">
        <v>16</v>
      </c>
      <c r="B113" s="237"/>
      <c r="C113" s="237"/>
      <c r="D113" s="237"/>
      <c r="E113" s="237"/>
      <c r="F113" s="237"/>
      <c r="G113" s="237"/>
      <c r="H113" s="237"/>
      <c r="I113" s="237"/>
    </row>
    <row r="114" spans="1:9" ht="33" customHeight="1">
      <c r="A114" s="237" t="s">
        <v>17</v>
      </c>
      <c r="B114" s="237"/>
      <c r="C114" s="237"/>
      <c r="D114" s="237"/>
      <c r="E114" s="237"/>
      <c r="F114" s="237"/>
      <c r="G114" s="237"/>
      <c r="H114" s="237"/>
      <c r="I114" s="237"/>
    </row>
    <row r="115" spans="1:9" ht="30.75" customHeight="1">
      <c r="A115" s="237" t="s">
        <v>21</v>
      </c>
      <c r="B115" s="237"/>
      <c r="C115" s="237"/>
      <c r="D115" s="237"/>
      <c r="E115" s="237"/>
      <c r="F115" s="237"/>
      <c r="G115" s="237"/>
      <c r="H115" s="237"/>
      <c r="I115" s="237"/>
    </row>
    <row r="116" spans="1:9" ht="15.75">
      <c r="A116" s="237" t="s">
        <v>20</v>
      </c>
      <c r="B116" s="237"/>
      <c r="C116" s="237"/>
      <c r="D116" s="237"/>
      <c r="E116" s="237"/>
      <c r="F116" s="237"/>
      <c r="G116" s="237"/>
      <c r="H116" s="237"/>
      <c r="I116" s="237"/>
    </row>
  </sheetData>
  <mergeCells count="28">
    <mergeCell ref="A14:I14"/>
    <mergeCell ref="A3:I3"/>
    <mergeCell ref="A4:I4"/>
    <mergeCell ref="A5:I5"/>
    <mergeCell ref="A8:I8"/>
    <mergeCell ref="A10:I10"/>
    <mergeCell ref="A102:I102"/>
    <mergeCell ref="A15:I15"/>
    <mergeCell ref="A26:I26"/>
    <mergeCell ref="A43:I43"/>
    <mergeCell ref="A54:I54"/>
    <mergeCell ref="A85:I85"/>
    <mergeCell ref="A89:I89"/>
    <mergeCell ref="A96:I96"/>
    <mergeCell ref="B97:G97"/>
    <mergeCell ref="B98:G98"/>
    <mergeCell ref="A100:I100"/>
    <mergeCell ref="A101:I101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" right="0.7" top="0.75" bottom="0.75" header="0.3" footer="0.3"/>
  <pageSetup paperSize="9" scale="65" orientation="portrait" horizontalDpi="0" verticalDpi="0" r:id="rId1"/>
  <rowBreaks count="1" manualBreakCount="1">
    <brk id="1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32"/>
  <sheetViews>
    <sheetView topLeftCell="A29" workbookViewId="0">
      <selection activeCell="I115" sqref="I115"/>
    </sheetView>
  </sheetViews>
  <sheetFormatPr defaultRowHeight="15"/>
  <cols>
    <col min="1" max="1" width="13" customWidth="1"/>
    <col min="2" max="2" width="46.28515625" customWidth="1"/>
    <col min="3" max="3" width="17" customWidth="1"/>
    <col min="4" max="4" width="19.5703125" customWidth="1"/>
    <col min="5" max="5" width="0" hidden="1" customWidth="1"/>
    <col min="6" max="6" width="8.28515625" hidden="1" customWidth="1"/>
    <col min="7" max="7" width="16.42578125" customWidth="1"/>
    <col min="8" max="8" width="0" hidden="1" customWidth="1"/>
    <col min="9" max="9" width="14.5703125" customWidth="1"/>
  </cols>
  <sheetData>
    <row r="1" spans="1:9" ht="15.75">
      <c r="A1" s="24" t="s">
        <v>170</v>
      </c>
      <c r="I1" s="23"/>
    </row>
    <row r="2" spans="1:9" ht="15.75">
      <c r="A2" s="25" t="s">
        <v>59</v>
      </c>
    </row>
    <row r="3" spans="1:9" ht="15.75">
      <c r="A3" s="215" t="s">
        <v>175</v>
      </c>
      <c r="B3" s="215"/>
      <c r="C3" s="215"/>
      <c r="D3" s="215"/>
      <c r="E3" s="215"/>
      <c r="F3" s="215"/>
      <c r="G3" s="215"/>
      <c r="H3" s="215"/>
      <c r="I3" s="215"/>
    </row>
    <row r="4" spans="1:9" ht="32.25" customHeight="1">
      <c r="A4" s="216" t="s">
        <v>111</v>
      </c>
      <c r="B4" s="216"/>
      <c r="C4" s="216"/>
      <c r="D4" s="216"/>
      <c r="E4" s="216"/>
      <c r="F4" s="216"/>
      <c r="G4" s="216"/>
      <c r="H4" s="216"/>
      <c r="I4" s="216"/>
    </row>
    <row r="5" spans="1:9" ht="15.75">
      <c r="A5" s="215" t="s">
        <v>291</v>
      </c>
      <c r="B5" s="217"/>
      <c r="C5" s="217"/>
      <c r="D5" s="217"/>
      <c r="E5" s="217"/>
      <c r="F5" s="217"/>
      <c r="G5" s="217"/>
      <c r="H5" s="217"/>
      <c r="I5" s="217"/>
    </row>
    <row r="6" spans="1:9" ht="15.75">
      <c r="A6" s="2"/>
      <c r="B6" s="154"/>
      <c r="C6" s="154"/>
      <c r="D6" s="154"/>
      <c r="E6" s="154"/>
      <c r="F6" s="154"/>
      <c r="G6" s="154"/>
      <c r="H6" s="154"/>
      <c r="I6" s="27">
        <v>44469</v>
      </c>
    </row>
    <row r="7" spans="1:9" ht="15.75">
      <c r="B7" s="156"/>
      <c r="C7" s="156"/>
      <c r="D7" s="156"/>
      <c r="E7" s="3"/>
      <c r="F7" s="3"/>
      <c r="G7" s="3"/>
      <c r="H7" s="3"/>
    </row>
    <row r="8" spans="1:9" ht="99.75" customHeight="1">
      <c r="A8" s="218" t="s">
        <v>213</v>
      </c>
      <c r="B8" s="218"/>
      <c r="C8" s="218"/>
      <c r="D8" s="218"/>
      <c r="E8" s="218"/>
      <c r="F8" s="218"/>
      <c r="G8" s="218"/>
      <c r="H8" s="218"/>
      <c r="I8" s="218"/>
    </row>
    <row r="9" spans="1:9" ht="15.75">
      <c r="A9" s="4"/>
    </row>
    <row r="10" spans="1:9" ht="72" customHeight="1">
      <c r="A10" s="219" t="s">
        <v>126</v>
      </c>
      <c r="B10" s="219"/>
      <c r="C10" s="219"/>
      <c r="D10" s="219"/>
      <c r="E10" s="219"/>
      <c r="F10" s="219"/>
      <c r="G10" s="219"/>
      <c r="H10" s="219"/>
      <c r="I10" s="219"/>
    </row>
    <row r="11" spans="1:9" ht="15.75">
      <c r="A11" s="4"/>
    </row>
    <row r="12" spans="1:9" ht="75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214" t="s">
        <v>56</v>
      </c>
      <c r="B14" s="214"/>
      <c r="C14" s="214"/>
      <c r="D14" s="214"/>
      <c r="E14" s="214"/>
      <c r="F14" s="214"/>
      <c r="G14" s="214"/>
      <c r="H14" s="214"/>
      <c r="I14" s="214"/>
    </row>
    <row r="15" spans="1:9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</row>
    <row r="16" spans="1:9" ht="15.75" customHeight="1">
      <c r="A16" s="26">
        <v>1</v>
      </c>
      <c r="B16" s="53" t="s">
        <v>77</v>
      </c>
      <c r="C16" s="54" t="s">
        <v>84</v>
      </c>
      <c r="D16" s="53" t="s">
        <v>183</v>
      </c>
      <c r="E16" s="55">
        <v>95.04</v>
      </c>
      <c r="F16" s="56">
        <f>SUM(E16*156/100)</f>
        <v>148.26240000000001</v>
      </c>
      <c r="G16" s="56">
        <v>230</v>
      </c>
      <c r="H16" s="57">
        <f>SUM(F16*G16/1000)</f>
        <v>34.100352000000008</v>
      </c>
      <c r="I16" s="12">
        <f>F16/12*G16</f>
        <v>2841.6960000000004</v>
      </c>
    </row>
    <row r="17" spans="1:9" ht="33" customHeight="1">
      <c r="A17" s="26">
        <v>2</v>
      </c>
      <c r="B17" s="53" t="s">
        <v>82</v>
      </c>
      <c r="C17" s="54" t="s">
        <v>84</v>
      </c>
      <c r="D17" s="53" t="s">
        <v>184</v>
      </c>
      <c r="E17" s="55">
        <v>380.16</v>
      </c>
      <c r="F17" s="56">
        <f>SUM(E17*104/100)</f>
        <v>395.3664</v>
      </c>
      <c r="G17" s="56">
        <v>230</v>
      </c>
      <c r="H17" s="57">
        <f>SUM(F17*G17/1000)</f>
        <v>90.934271999999993</v>
      </c>
      <c r="I17" s="12">
        <f>F17/12*G17</f>
        <v>7577.8560000000007</v>
      </c>
    </row>
    <row r="18" spans="1:9" ht="14.25" customHeight="1">
      <c r="A18" s="26">
        <v>3</v>
      </c>
      <c r="B18" s="53" t="s">
        <v>83</v>
      </c>
      <c r="C18" s="54" t="s">
        <v>84</v>
      </c>
      <c r="D18" s="53" t="s">
        <v>185</v>
      </c>
      <c r="E18" s="55">
        <f>SUM(E16+E17)</f>
        <v>475.20000000000005</v>
      </c>
      <c r="F18" s="56">
        <f>SUM(E18*24/100)</f>
        <v>114.04800000000002</v>
      </c>
      <c r="G18" s="56">
        <v>661.67</v>
      </c>
      <c r="H18" s="57">
        <f>SUM(F18*G18/1000)</f>
        <v>75.462140160000004</v>
      </c>
      <c r="I18" s="12">
        <f>F18/12*G18</f>
        <v>6288.5116800000005</v>
      </c>
    </row>
    <row r="19" spans="1:9" hidden="1">
      <c r="A19" s="26">
        <v>4</v>
      </c>
      <c r="B19" s="53" t="s">
        <v>85</v>
      </c>
      <c r="C19" s="54" t="s">
        <v>86</v>
      </c>
      <c r="D19" s="53" t="s">
        <v>87</v>
      </c>
      <c r="E19" s="55">
        <v>93.4</v>
      </c>
      <c r="F19" s="56">
        <f>SUM(E19/10)</f>
        <v>9.34</v>
      </c>
      <c r="G19" s="139">
        <v>223.17</v>
      </c>
      <c r="H19" s="57">
        <f t="shared" ref="H19:H24" si="0">SUM(F19*G19/1000)</f>
        <v>2.0844078000000001</v>
      </c>
      <c r="I19" s="12">
        <f>5.76*G19</f>
        <v>1285.4591999999998</v>
      </c>
    </row>
    <row r="20" spans="1:9" ht="17.25" customHeight="1">
      <c r="A20" s="26">
        <v>4</v>
      </c>
      <c r="B20" s="53" t="s">
        <v>88</v>
      </c>
      <c r="C20" s="54" t="s">
        <v>84</v>
      </c>
      <c r="D20" s="53" t="s">
        <v>40</v>
      </c>
      <c r="E20" s="55">
        <v>43.2</v>
      </c>
      <c r="F20" s="56">
        <f>SUM(E20*2/100)</f>
        <v>0.8640000000000001</v>
      </c>
      <c r="G20" s="139">
        <v>285.76</v>
      </c>
      <c r="H20" s="57">
        <f t="shared" si="0"/>
        <v>0.24689664000000003</v>
      </c>
      <c r="I20" s="12">
        <f>F20/2*G20</f>
        <v>123.44832000000001</v>
      </c>
    </row>
    <row r="21" spans="1:9" ht="15" customHeight="1">
      <c r="A21" s="26">
        <v>5</v>
      </c>
      <c r="B21" s="53" t="s">
        <v>89</v>
      </c>
      <c r="C21" s="54" t="s">
        <v>84</v>
      </c>
      <c r="D21" s="53" t="s">
        <v>40</v>
      </c>
      <c r="E21" s="55">
        <v>10.08</v>
      </c>
      <c r="F21" s="56">
        <f>SUM(E21*2/100)</f>
        <v>0.2016</v>
      </c>
      <c r="G21" s="139">
        <v>283.44</v>
      </c>
      <c r="H21" s="57">
        <f t="shared" si="0"/>
        <v>5.7141503999999996E-2</v>
      </c>
      <c r="I21" s="12">
        <f>F21/2*G21</f>
        <v>28.570751999999999</v>
      </c>
    </row>
    <row r="22" spans="1:9" hidden="1">
      <c r="A22" s="26">
        <v>7</v>
      </c>
      <c r="B22" s="53" t="s">
        <v>90</v>
      </c>
      <c r="C22" s="54" t="s">
        <v>50</v>
      </c>
      <c r="D22" s="53" t="s">
        <v>87</v>
      </c>
      <c r="E22" s="55">
        <v>642.6</v>
      </c>
      <c r="F22" s="56">
        <f>SUM(E22/100)</f>
        <v>6.4260000000000002</v>
      </c>
      <c r="G22" s="139">
        <v>353.14</v>
      </c>
      <c r="H22" s="57">
        <f t="shared" si="0"/>
        <v>2.2692776399999999</v>
      </c>
      <c r="I22" s="12">
        <f>F22*G22</f>
        <v>2269.2776399999998</v>
      </c>
    </row>
    <row r="23" spans="1:9" hidden="1">
      <c r="A23" s="26">
        <v>8</v>
      </c>
      <c r="B23" s="53" t="s">
        <v>91</v>
      </c>
      <c r="C23" s="54" t="s">
        <v>50</v>
      </c>
      <c r="D23" s="53" t="s">
        <v>87</v>
      </c>
      <c r="E23" s="58">
        <v>35.28</v>
      </c>
      <c r="F23" s="56">
        <f>SUM(E23/100)</f>
        <v>0.3528</v>
      </c>
      <c r="G23" s="139">
        <v>58.08</v>
      </c>
      <c r="H23" s="57">
        <f t="shared" si="0"/>
        <v>2.0490623999999999E-2</v>
      </c>
      <c r="I23" s="12">
        <f>F23*G23</f>
        <v>20.490624</v>
      </c>
    </row>
    <row r="24" spans="1:9" hidden="1">
      <c r="A24" s="26">
        <v>9</v>
      </c>
      <c r="B24" s="53" t="s">
        <v>92</v>
      </c>
      <c r="C24" s="54" t="s">
        <v>50</v>
      </c>
      <c r="D24" s="53" t="s">
        <v>87</v>
      </c>
      <c r="E24" s="55">
        <v>28.8</v>
      </c>
      <c r="F24" s="56">
        <f>SUM(E24/100)</f>
        <v>0.28800000000000003</v>
      </c>
      <c r="G24" s="139">
        <v>683.05</v>
      </c>
      <c r="H24" s="57">
        <f t="shared" si="0"/>
        <v>0.19671840000000002</v>
      </c>
      <c r="I24" s="12">
        <f>F24*G24</f>
        <v>196.7184</v>
      </c>
    </row>
    <row r="25" spans="1:9" ht="17.25" hidden="1" customHeight="1">
      <c r="A25" s="26">
        <v>6</v>
      </c>
      <c r="B25" s="184" t="s">
        <v>182</v>
      </c>
      <c r="C25" s="186" t="s">
        <v>25</v>
      </c>
      <c r="D25" s="184" t="s">
        <v>186</v>
      </c>
      <c r="E25" s="175">
        <v>5.71</v>
      </c>
      <c r="F25" s="188">
        <f>E25*258</f>
        <v>1473.18</v>
      </c>
      <c r="G25" s="188">
        <v>10.39</v>
      </c>
      <c r="H25" s="57">
        <f>SUM(F25*G25/1000)</f>
        <v>15.306340200000003</v>
      </c>
      <c r="I25" s="12">
        <f>F25/12*G25</f>
        <v>1275.52835</v>
      </c>
    </row>
    <row r="26" spans="1:9">
      <c r="A26" s="222" t="s">
        <v>156</v>
      </c>
      <c r="B26" s="223"/>
      <c r="C26" s="223"/>
      <c r="D26" s="223"/>
      <c r="E26" s="223"/>
      <c r="F26" s="223"/>
      <c r="G26" s="223"/>
      <c r="H26" s="223"/>
      <c r="I26" s="224"/>
    </row>
    <row r="27" spans="1:9" ht="17.25" customHeight="1">
      <c r="A27" s="26"/>
      <c r="B27" s="75" t="s">
        <v>28</v>
      </c>
      <c r="C27" s="54"/>
      <c r="D27" s="53"/>
      <c r="E27" s="55"/>
      <c r="F27" s="56"/>
      <c r="G27" s="56"/>
      <c r="H27" s="57"/>
      <c r="I27" s="12"/>
    </row>
    <row r="28" spans="1:9" ht="14.25" customHeight="1">
      <c r="A28" s="26">
        <v>6</v>
      </c>
      <c r="B28" s="53" t="s">
        <v>93</v>
      </c>
      <c r="C28" s="54" t="s">
        <v>157</v>
      </c>
      <c r="D28" s="184" t="s">
        <v>184</v>
      </c>
      <c r="E28" s="56">
        <v>1044.6500000000001</v>
      </c>
      <c r="F28" s="56">
        <f>SUM(E28*52/1000)</f>
        <v>54.321800000000003</v>
      </c>
      <c r="G28" s="139">
        <v>204.44</v>
      </c>
      <c r="H28" s="57">
        <f>SUM(F28*G28/1000)</f>
        <v>11.105548792000002</v>
      </c>
      <c r="I28" s="12">
        <f>17.064/6*G28</f>
        <v>581.42736000000002</v>
      </c>
    </row>
    <row r="29" spans="1:9" ht="44.25" customHeight="1">
      <c r="A29" s="26">
        <v>7</v>
      </c>
      <c r="B29" s="53" t="s">
        <v>121</v>
      </c>
      <c r="C29" s="54" t="s">
        <v>94</v>
      </c>
      <c r="D29" s="184" t="s">
        <v>184</v>
      </c>
      <c r="E29" s="56">
        <v>116.93</v>
      </c>
      <c r="F29" s="56">
        <f>SUM(E29*78/1000)</f>
        <v>9.1205400000000001</v>
      </c>
      <c r="G29" s="139">
        <v>339.21</v>
      </c>
      <c r="H29" s="57">
        <f>SUM(F29*G29/1000)</f>
        <v>3.0937783734000002</v>
      </c>
      <c r="I29" s="12">
        <f>5.3568/6*G29</f>
        <v>302.84668799999997</v>
      </c>
    </row>
    <row r="30" spans="1:9" hidden="1">
      <c r="A30" s="26">
        <v>14</v>
      </c>
      <c r="B30" s="53" t="s">
        <v>27</v>
      </c>
      <c r="C30" s="54" t="s">
        <v>94</v>
      </c>
      <c r="D30" s="184" t="s">
        <v>192</v>
      </c>
      <c r="E30" s="56">
        <v>1044.6500000000001</v>
      </c>
      <c r="F30" s="56">
        <f>SUM(E30/1000)</f>
        <v>1.0446500000000001</v>
      </c>
      <c r="G30" s="139">
        <v>3961.23</v>
      </c>
      <c r="H30" s="57">
        <f>SUM(F30*G30/1000)</f>
        <v>4.1380989195</v>
      </c>
      <c r="I30" s="12">
        <f>0.3555*G30</f>
        <v>1408.217265</v>
      </c>
    </row>
    <row r="31" spans="1:9" ht="15" customHeight="1">
      <c r="A31" s="26">
        <v>8</v>
      </c>
      <c r="B31" s="53" t="s">
        <v>112</v>
      </c>
      <c r="C31" s="54" t="s">
        <v>38</v>
      </c>
      <c r="D31" s="184" t="s">
        <v>184</v>
      </c>
      <c r="E31" s="56">
        <v>6</v>
      </c>
      <c r="F31" s="56">
        <v>9.3000000000000007</v>
      </c>
      <c r="G31" s="139">
        <v>1707.63</v>
      </c>
      <c r="H31" s="57">
        <f>G31*F31/1000</f>
        <v>15.880959000000002</v>
      </c>
      <c r="I31" s="12">
        <f>2.88/6*G31</f>
        <v>819.66240000000005</v>
      </c>
    </row>
    <row r="32" spans="1:9" hidden="1">
      <c r="A32" s="26"/>
      <c r="B32" s="53" t="s">
        <v>61</v>
      </c>
      <c r="C32" s="54" t="s">
        <v>32</v>
      </c>
      <c r="D32" s="53" t="s">
        <v>63</v>
      </c>
      <c r="E32" s="55"/>
      <c r="F32" s="56">
        <v>3</v>
      </c>
      <c r="G32" s="56">
        <v>204.52</v>
      </c>
      <c r="H32" s="57">
        <f>SUM(F32*G32/1000)</f>
        <v>0.61356000000000011</v>
      </c>
      <c r="I32" s="12">
        <v>0</v>
      </c>
    </row>
    <row r="33" spans="1:9" hidden="1">
      <c r="A33" s="26"/>
      <c r="B33" s="53" t="s">
        <v>62</v>
      </c>
      <c r="C33" s="54" t="s">
        <v>31</v>
      </c>
      <c r="D33" s="53" t="s">
        <v>63</v>
      </c>
      <c r="E33" s="55"/>
      <c r="F33" s="56">
        <v>2</v>
      </c>
      <c r="G33" s="56">
        <v>1136.33</v>
      </c>
      <c r="H33" s="57">
        <f>SUM(F33*G33/1000)</f>
        <v>2.2726599999999997</v>
      </c>
      <c r="I33" s="12">
        <v>0</v>
      </c>
    </row>
    <row r="34" spans="1:9" hidden="1">
      <c r="A34" s="26"/>
      <c r="B34" s="75" t="s">
        <v>5</v>
      </c>
      <c r="C34" s="54"/>
      <c r="D34" s="53"/>
      <c r="E34" s="55"/>
      <c r="F34" s="56"/>
      <c r="G34" s="56"/>
      <c r="H34" s="57" t="s">
        <v>119</v>
      </c>
      <c r="I34" s="12"/>
    </row>
    <row r="35" spans="1:9" hidden="1">
      <c r="A35" s="26">
        <v>6</v>
      </c>
      <c r="B35" s="53" t="s">
        <v>26</v>
      </c>
      <c r="C35" s="54" t="s">
        <v>31</v>
      </c>
      <c r="D35" s="53"/>
      <c r="E35" s="55"/>
      <c r="F35" s="56">
        <v>8</v>
      </c>
      <c r="G35" s="56">
        <v>1632.6</v>
      </c>
      <c r="H35" s="57">
        <f t="shared" ref="H35:H42" si="1">SUM(F35*G35/1000)</f>
        <v>13.060799999999999</v>
      </c>
      <c r="I35" s="12">
        <f>F35/6*G35</f>
        <v>2176.7999999999997</v>
      </c>
    </row>
    <row r="36" spans="1:9" hidden="1">
      <c r="A36" s="26">
        <v>7</v>
      </c>
      <c r="B36" s="53" t="s">
        <v>158</v>
      </c>
      <c r="C36" s="54" t="s">
        <v>29</v>
      </c>
      <c r="D36" s="53" t="s">
        <v>159</v>
      </c>
      <c r="E36" s="55">
        <v>477.19</v>
      </c>
      <c r="F36" s="56">
        <f>E36*12/1000</f>
        <v>5.72628</v>
      </c>
      <c r="G36" s="56">
        <v>2247.8000000000002</v>
      </c>
      <c r="H36" s="57">
        <f>G36*F36/1000</f>
        <v>12.871532184000001</v>
      </c>
      <c r="I36" s="12">
        <f>F36/6*G36</f>
        <v>2145.2553640000001</v>
      </c>
    </row>
    <row r="37" spans="1:9" ht="30" hidden="1">
      <c r="A37" s="26">
        <v>8</v>
      </c>
      <c r="B37" s="53" t="s">
        <v>160</v>
      </c>
      <c r="C37" s="54" t="s">
        <v>29</v>
      </c>
      <c r="D37" s="53" t="s">
        <v>96</v>
      </c>
      <c r="E37" s="55">
        <v>116.93</v>
      </c>
      <c r="F37" s="56">
        <f>E37*30/1000</f>
        <v>3.5079000000000002</v>
      </c>
      <c r="G37" s="56">
        <v>2247.8000000000002</v>
      </c>
      <c r="H37" s="57">
        <f>G37*F37/1000</f>
        <v>7.8850576200000013</v>
      </c>
      <c r="I37" s="12">
        <f>F37/6*G37</f>
        <v>1314.1762700000002</v>
      </c>
    </row>
    <row r="38" spans="1:9" hidden="1">
      <c r="A38" s="26"/>
      <c r="B38" s="53" t="s">
        <v>161</v>
      </c>
      <c r="C38" s="54" t="s">
        <v>162</v>
      </c>
      <c r="D38" s="53" t="s">
        <v>63</v>
      </c>
      <c r="E38" s="55"/>
      <c r="F38" s="56">
        <v>135</v>
      </c>
      <c r="G38" s="56">
        <v>213.2</v>
      </c>
      <c r="H38" s="57">
        <f>G38*F38/1000</f>
        <v>28.782</v>
      </c>
      <c r="I38" s="12">
        <v>0</v>
      </c>
    </row>
    <row r="39" spans="1:9" ht="30" hidden="1">
      <c r="A39" s="26">
        <v>9</v>
      </c>
      <c r="B39" s="53" t="s">
        <v>64</v>
      </c>
      <c r="C39" s="54" t="s">
        <v>29</v>
      </c>
      <c r="D39" s="53" t="s">
        <v>97</v>
      </c>
      <c r="E39" s="56">
        <v>116.93</v>
      </c>
      <c r="F39" s="56">
        <f>SUM(E39*155/1000)</f>
        <v>18.12415</v>
      </c>
      <c r="G39" s="56">
        <v>374.95</v>
      </c>
      <c r="H39" s="57">
        <f t="shared" si="1"/>
        <v>6.7956500424999993</v>
      </c>
      <c r="I39" s="12">
        <f>F39/6*G39</f>
        <v>1132.6083404166666</v>
      </c>
    </row>
    <row r="40" spans="1:9" ht="60" hidden="1">
      <c r="A40" s="26">
        <v>10</v>
      </c>
      <c r="B40" s="53" t="s">
        <v>76</v>
      </c>
      <c r="C40" s="54" t="s">
        <v>94</v>
      </c>
      <c r="D40" s="53" t="s">
        <v>113</v>
      </c>
      <c r="E40" s="56">
        <v>116.93</v>
      </c>
      <c r="F40" s="56">
        <f>SUM(E40*24/1000)</f>
        <v>2.8063200000000004</v>
      </c>
      <c r="G40" s="56">
        <v>6203.71</v>
      </c>
      <c r="H40" s="57">
        <f t="shared" si="1"/>
        <v>17.409595447200001</v>
      </c>
      <c r="I40" s="12">
        <f>F40/6*G40</f>
        <v>2901.5992412000005</v>
      </c>
    </row>
    <row r="41" spans="1:9" hidden="1">
      <c r="A41" s="26">
        <v>11</v>
      </c>
      <c r="B41" s="53" t="s">
        <v>98</v>
      </c>
      <c r="C41" s="54" t="s">
        <v>94</v>
      </c>
      <c r="D41" s="53" t="s">
        <v>163</v>
      </c>
      <c r="E41" s="56">
        <v>116.93</v>
      </c>
      <c r="F41" s="56">
        <f>SUM(E41*45/1000)</f>
        <v>5.2618500000000008</v>
      </c>
      <c r="G41" s="56">
        <v>458.28</v>
      </c>
      <c r="H41" s="57">
        <f t="shared" si="1"/>
        <v>2.4114006180000001</v>
      </c>
      <c r="I41" s="12">
        <f>F41/6*G41</f>
        <v>401.90010300000006</v>
      </c>
    </row>
    <row r="42" spans="1:9" hidden="1">
      <c r="A42" s="26">
        <v>12</v>
      </c>
      <c r="B42" s="53" t="s">
        <v>65</v>
      </c>
      <c r="C42" s="54" t="s">
        <v>32</v>
      </c>
      <c r="D42" s="53"/>
      <c r="E42" s="55"/>
      <c r="F42" s="56">
        <v>0.9</v>
      </c>
      <c r="G42" s="56">
        <v>798</v>
      </c>
      <c r="H42" s="57">
        <f t="shared" si="1"/>
        <v>0.71820000000000006</v>
      </c>
      <c r="I42" s="12">
        <f>F42/6*G42</f>
        <v>119.69999999999999</v>
      </c>
    </row>
    <row r="43" spans="1:9">
      <c r="A43" s="222" t="s">
        <v>164</v>
      </c>
      <c r="B43" s="223"/>
      <c r="C43" s="223"/>
      <c r="D43" s="223"/>
      <c r="E43" s="223"/>
      <c r="F43" s="223"/>
      <c r="G43" s="223"/>
      <c r="H43" s="223"/>
      <c r="I43" s="224"/>
    </row>
    <row r="44" spans="1:9" ht="18" customHeight="1">
      <c r="A44" s="26">
        <v>9</v>
      </c>
      <c r="B44" s="53" t="s">
        <v>115</v>
      </c>
      <c r="C44" s="54" t="s">
        <v>94</v>
      </c>
      <c r="D44" s="53" t="s">
        <v>191</v>
      </c>
      <c r="E44" s="55">
        <v>1030.4000000000001</v>
      </c>
      <c r="F44" s="56">
        <f>SUM(E44*2/1000)</f>
        <v>2.0608</v>
      </c>
      <c r="G44" s="135">
        <v>1114.1300000000001</v>
      </c>
      <c r="H44" s="57">
        <f t="shared" ref="H44:H53" si="2">SUM(F44*G44/1000)</f>
        <v>2.2959991039999998</v>
      </c>
      <c r="I44" s="12">
        <f>F44/2*G44</f>
        <v>1147.999552</v>
      </c>
    </row>
    <row r="45" spans="1:9" ht="15.75" customHeight="1">
      <c r="A45" s="26">
        <v>10</v>
      </c>
      <c r="B45" s="53" t="s">
        <v>33</v>
      </c>
      <c r="C45" s="54" t="s">
        <v>94</v>
      </c>
      <c r="D45" s="53" t="s">
        <v>191</v>
      </c>
      <c r="E45" s="55">
        <v>132</v>
      </c>
      <c r="F45" s="56">
        <f>E45*2/1000</f>
        <v>0.26400000000000001</v>
      </c>
      <c r="G45" s="135">
        <v>4419.05</v>
      </c>
      <c r="H45" s="57">
        <f t="shared" si="2"/>
        <v>1.1666292</v>
      </c>
      <c r="I45" s="12">
        <f>F45/2*G45</f>
        <v>583.31460000000004</v>
      </c>
    </row>
    <row r="46" spans="1:9" ht="15.75" customHeight="1">
      <c r="A46" s="26">
        <v>11</v>
      </c>
      <c r="B46" s="53" t="s">
        <v>34</v>
      </c>
      <c r="C46" s="54" t="s">
        <v>94</v>
      </c>
      <c r="D46" s="53" t="s">
        <v>191</v>
      </c>
      <c r="E46" s="55">
        <v>4248.22</v>
      </c>
      <c r="F46" s="56">
        <f>SUM(E46*2/1000)</f>
        <v>8.4964399999999998</v>
      </c>
      <c r="G46" s="135">
        <v>1803.69</v>
      </c>
      <c r="H46" s="57">
        <f t="shared" si="2"/>
        <v>15.3249438636</v>
      </c>
      <c r="I46" s="12">
        <f>F46/2*G46</f>
        <v>7662.4719317999998</v>
      </c>
    </row>
    <row r="47" spans="1:9" ht="15.75" customHeight="1">
      <c r="A47" s="26">
        <v>12</v>
      </c>
      <c r="B47" s="53" t="s">
        <v>35</v>
      </c>
      <c r="C47" s="54" t="s">
        <v>94</v>
      </c>
      <c r="D47" s="53" t="s">
        <v>191</v>
      </c>
      <c r="E47" s="55">
        <v>2163.66</v>
      </c>
      <c r="F47" s="56">
        <f>SUM(E47*2/1000)</f>
        <v>4.3273199999999994</v>
      </c>
      <c r="G47" s="135">
        <v>1243.43</v>
      </c>
      <c r="H47" s="57">
        <f t="shared" si="2"/>
        <v>5.3807195075999994</v>
      </c>
      <c r="I47" s="12">
        <f>F47/2*G47</f>
        <v>2690.3597537999999</v>
      </c>
    </row>
    <row r="48" spans="1:9" ht="20.25" customHeight="1">
      <c r="A48" s="26">
        <v>13</v>
      </c>
      <c r="B48" s="53" t="s">
        <v>53</v>
      </c>
      <c r="C48" s="54" t="s">
        <v>94</v>
      </c>
      <c r="D48" s="53" t="s">
        <v>191</v>
      </c>
      <c r="E48" s="55">
        <v>1015.4</v>
      </c>
      <c r="F48" s="56">
        <f>SUM(E48*5/1000)</f>
        <v>5.077</v>
      </c>
      <c r="G48" s="135">
        <v>1083.69</v>
      </c>
      <c r="H48" s="57">
        <f t="shared" si="2"/>
        <v>5.5018941300000002</v>
      </c>
      <c r="I48" s="12">
        <f>3.945*G48</f>
        <v>4275.1570499999998</v>
      </c>
    </row>
    <row r="49" spans="1:9" ht="45">
      <c r="A49" s="26">
        <v>14</v>
      </c>
      <c r="B49" s="184" t="s">
        <v>99</v>
      </c>
      <c r="C49" s="186" t="s">
        <v>94</v>
      </c>
      <c r="D49" s="184" t="s">
        <v>191</v>
      </c>
      <c r="E49" s="187">
        <v>3945</v>
      </c>
      <c r="F49" s="188">
        <f>SUM(E49*2/1000)</f>
        <v>7.89</v>
      </c>
      <c r="G49" s="107">
        <v>1591.6</v>
      </c>
      <c r="H49" s="57">
        <f t="shared" si="2"/>
        <v>12.557723999999999</v>
      </c>
      <c r="I49" s="12">
        <f>G49*F49/2</f>
        <v>6278.8619999999992</v>
      </c>
    </row>
    <row r="50" spans="1:9" ht="30">
      <c r="A50" s="26">
        <v>15</v>
      </c>
      <c r="B50" s="184" t="s">
        <v>100</v>
      </c>
      <c r="C50" s="186" t="s">
        <v>36</v>
      </c>
      <c r="D50" s="184" t="s">
        <v>191</v>
      </c>
      <c r="E50" s="187">
        <v>30</v>
      </c>
      <c r="F50" s="188">
        <f>SUM(E50*2/100)</f>
        <v>0.6</v>
      </c>
      <c r="G50" s="107">
        <v>4058.32</v>
      </c>
      <c r="H50" s="57">
        <f t="shared" si="2"/>
        <v>2.4349920000000003</v>
      </c>
      <c r="I50" s="12">
        <f>G50*F50/2</f>
        <v>1217.4960000000001</v>
      </c>
    </row>
    <row r="51" spans="1:9">
      <c r="A51" s="26">
        <v>16</v>
      </c>
      <c r="B51" s="184" t="s">
        <v>37</v>
      </c>
      <c r="C51" s="186" t="s">
        <v>38</v>
      </c>
      <c r="D51" s="184" t="s">
        <v>191</v>
      </c>
      <c r="E51" s="187">
        <v>1</v>
      </c>
      <c r="F51" s="188">
        <v>0.02</v>
      </c>
      <c r="G51" s="107">
        <v>7412.92</v>
      </c>
      <c r="H51" s="57">
        <f t="shared" si="2"/>
        <v>0.14825839999999998</v>
      </c>
      <c r="I51" s="12">
        <f>G51*F51/2</f>
        <v>74.129199999999997</v>
      </c>
    </row>
    <row r="52" spans="1:9" ht="16.5" hidden="1" customHeight="1">
      <c r="A52" s="26">
        <v>18</v>
      </c>
      <c r="B52" s="53" t="s">
        <v>114</v>
      </c>
      <c r="C52" s="54" t="s">
        <v>80</v>
      </c>
      <c r="D52" s="195">
        <v>44090</v>
      </c>
      <c r="E52" s="55">
        <v>90</v>
      </c>
      <c r="F52" s="56">
        <f>E52*4</f>
        <v>360</v>
      </c>
      <c r="G52" s="107">
        <v>185.08</v>
      </c>
      <c r="H52" s="57">
        <f>F52*G52/1000</f>
        <v>66.628799999999998</v>
      </c>
      <c r="I52" s="12">
        <f>G52*E52</f>
        <v>16657.2</v>
      </c>
    </row>
    <row r="53" spans="1:9" ht="16.5" hidden="1" customHeight="1">
      <c r="A53" s="26">
        <v>19</v>
      </c>
      <c r="B53" s="53" t="s">
        <v>39</v>
      </c>
      <c r="C53" s="54" t="s">
        <v>80</v>
      </c>
      <c r="D53" s="195">
        <v>44090</v>
      </c>
      <c r="E53" s="55">
        <v>180</v>
      </c>
      <c r="F53" s="56">
        <f>SUM(E53)*3</f>
        <v>540</v>
      </c>
      <c r="G53" s="190">
        <v>86.15</v>
      </c>
      <c r="H53" s="57">
        <f t="shared" si="2"/>
        <v>46.521000000000001</v>
      </c>
      <c r="I53" s="12">
        <f>G53*E53</f>
        <v>15507.000000000002</v>
      </c>
    </row>
    <row r="54" spans="1:9">
      <c r="A54" s="222" t="s">
        <v>122</v>
      </c>
      <c r="B54" s="223"/>
      <c r="C54" s="223"/>
      <c r="D54" s="223"/>
      <c r="E54" s="223"/>
      <c r="F54" s="223"/>
      <c r="G54" s="223"/>
      <c r="H54" s="223"/>
      <c r="I54" s="224"/>
    </row>
    <row r="55" spans="1:9" hidden="1">
      <c r="A55" s="26"/>
      <c r="B55" s="75" t="s">
        <v>41</v>
      </c>
      <c r="C55" s="54"/>
      <c r="D55" s="53"/>
      <c r="E55" s="55"/>
      <c r="F55" s="56"/>
      <c r="G55" s="56"/>
      <c r="H55" s="57"/>
      <c r="I55" s="12"/>
    </row>
    <row r="56" spans="1:9" ht="45" hidden="1">
      <c r="A56" s="26">
        <v>16</v>
      </c>
      <c r="B56" s="53" t="s">
        <v>165</v>
      </c>
      <c r="C56" s="54" t="s">
        <v>84</v>
      </c>
      <c r="D56" s="53" t="s">
        <v>101</v>
      </c>
      <c r="E56" s="55">
        <v>148.04</v>
      </c>
      <c r="F56" s="56">
        <f>SUM(E56*6/100)</f>
        <v>8.8824000000000005</v>
      </c>
      <c r="G56" s="12">
        <v>1654.04</v>
      </c>
      <c r="H56" s="57">
        <f>SUM(F56*G56/1000)</f>
        <v>14.691844896000001</v>
      </c>
      <c r="I56" s="12">
        <f>F56/6*G56</f>
        <v>2448.6408160000001</v>
      </c>
    </row>
    <row r="57" spans="1:9" ht="30" hidden="1">
      <c r="A57" s="26">
        <v>17</v>
      </c>
      <c r="B57" s="53" t="s">
        <v>78</v>
      </c>
      <c r="C57" s="54" t="s">
        <v>84</v>
      </c>
      <c r="D57" s="53" t="s">
        <v>79</v>
      </c>
      <c r="E57" s="55">
        <v>39.700000000000003</v>
      </c>
      <c r="F57" s="56">
        <f>SUM(E57*12/100)</f>
        <v>4.7640000000000002</v>
      </c>
      <c r="G57" s="12">
        <v>1654.04</v>
      </c>
      <c r="H57" s="57">
        <f>SUM(F57*G57/1000)</f>
        <v>7.8798465599999998</v>
      </c>
      <c r="I57" s="12">
        <f>F57/6*G57</f>
        <v>1313.3077600000001</v>
      </c>
    </row>
    <row r="58" spans="1:9" hidden="1">
      <c r="A58" s="26">
        <v>18</v>
      </c>
      <c r="B58" s="62" t="s">
        <v>116</v>
      </c>
      <c r="C58" s="63" t="s">
        <v>117</v>
      </c>
      <c r="D58" s="62" t="s">
        <v>40</v>
      </c>
      <c r="E58" s="64">
        <v>8</v>
      </c>
      <c r="F58" s="65">
        <v>16</v>
      </c>
      <c r="G58" s="12">
        <v>193.25</v>
      </c>
      <c r="H58" s="66">
        <f>F58*G58/1000</f>
        <v>3.0920000000000001</v>
      </c>
      <c r="I58" s="12">
        <f>F58/2*G58</f>
        <v>1546</v>
      </c>
    </row>
    <row r="59" spans="1:9" hidden="1">
      <c r="A59" s="26">
        <v>19</v>
      </c>
      <c r="B59" s="53" t="s">
        <v>118</v>
      </c>
      <c r="C59" s="54" t="s">
        <v>84</v>
      </c>
      <c r="D59" s="53" t="s">
        <v>101</v>
      </c>
      <c r="E59" s="55">
        <v>41.73</v>
      </c>
      <c r="F59" s="56">
        <f>SUM(E59*6/100)</f>
        <v>2.5038</v>
      </c>
      <c r="G59" s="12">
        <v>1654.04</v>
      </c>
      <c r="H59" s="57">
        <f>SUM(F59*G59/1000)</f>
        <v>4.1413853520000004</v>
      </c>
      <c r="I59" s="12">
        <f>F59/6*G59</f>
        <v>690.23089200000004</v>
      </c>
    </row>
    <row r="60" spans="1:9" ht="18.75" hidden="1" customHeight="1">
      <c r="A60" s="26"/>
      <c r="B60" s="203" t="s">
        <v>102</v>
      </c>
      <c r="C60" s="204" t="s">
        <v>31</v>
      </c>
      <c r="D60" s="203" t="s">
        <v>209</v>
      </c>
      <c r="E60" s="205"/>
      <c r="F60" s="206">
        <v>3</v>
      </c>
      <c r="G60" s="107">
        <v>1582.05</v>
      </c>
      <c r="H60" s="66"/>
      <c r="I60" s="12">
        <f>G60*2</f>
        <v>3164.1</v>
      </c>
    </row>
    <row r="61" spans="1:9" ht="13.5" customHeight="1">
      <c r="A61" s="26"/>
      <c r="B61" s="76" t="s">
        <v>42</v>
      </c>
      <c r="C61" s="63"/>
      <c r="D61" s="62"/>
      <c r="E61" s="64"/>
      <c r="F61" s="65"/>
      <c r="G61" s="12"/>
      <c r="H61" s="66"/>
      <c r="I61" s="12"/>
    </row>
    <row r="62" spans="1:9" ht="14.25" hidden="1" customHeight="1">
      <c r="A62" s="26"/>
      <c r="B62" s="62" t="s">
        <v>166</v>
      </c>
      <c r="C62" s="63" t="s">
        <v>50</v>
      </c>
      <c r="D62" s="62" t="s">
        <v>51</v>
      </c>
      <c r="E62" s="64">
        <v>1015.4</v>
      </c>
      <c r="F62" s="65">
        <v>10.154</v>
      </c>
      <c r="G62" s="12">
        <v>848.37</v>
      </c>
      <c r="H62" s="66">
        <f>F62*G62/1000</f>
        <v>8.6143489800000008</v>
      </c>
      <c r="I62" s="12">
        <v>0</v>
      </c>
    </row>
    <row r="63" spans="1:9" ht="15.75" customHeight="1">
      <c r="A63" s="26">
        <v>17</v>
      </c>
      <c r="B63" s="62" t="s">
        <v>81</v>
      </c>
      <c r="C63" s="63" t="s">
        <v>25</v>
      </c>
      <c r="D63" s="62" t="s">
        <v>192</v>
      </c>
      <c r="E63" s="64">
        <v>203.1</v>
      </c>
      <c r="F63" s="67">
        <f>E63*12</f>
        <v>2437.1999999999998</v>
      </c>
      <c r="G63" s="48">
        <v>1.4</v>
      </c>
      <c r="H63" s="65">
        <f>F63*G63/1000</f>
        <v>3.4120799999999996</v>
      </c>
      <c r="I63" s="12">
        <f>2400/12*G63</f>
        <v>280</v>
      </c>
    </row>
    <row r="64" spans="1:9" ht="15.75" customHeight="1">
      <c r="A64" s="26"/>
      <c r="B64" s="76" t="s">
        <v>43</v>
      </c>
      <c r="C64" s="63"/>
      <c r="D64" s="62"/>
      <c r="E64" s="64"/>
      <c r="F64" s="67"/>
      <c r="G64" s="67"/>
      <c r="H64" s="65" t="s">
        <v>119</v>
      </c>
      <c r="I64" s="12"/>
    </row>
    <row r="65" spans="1:9" ht="19.5" hidden="1" customHeight="1">
      <c r="A65" s="26">
        <v>21</v>
      </c>
      <c r="B65" s="13" t="s">
        <v>44</v>
      </c>
      <c r="C65" s="15" t="s">
        <v>80</v>
      </c>
      <c r="D65" s="13" t="s">
        <v>206</v>
      </c>
      <c r="E65" s="17">
        <v>10</v>
      </c>
      <c r="F65" s="56">
        <v>10</v>
      </c>
      <c r="G65" s="107">
        <v>291.68</v>
      </c>
      <c r="H65" s="68">
        <f t="shared" ref="H65:H78" si="3">SUM(F65*G65/1000)</f>
        <v>2.9168000000000003</v>
      </c>
      <c r="I65" s="12">
        <f>G65*1</f>
        <v>291.68</v>
      </c>
    </row>
    <row r="66" spans="1:9" ht="18" customHeight="1">
      <c r="A66" s="26">
        <v>18</v>
      </c>
      <c r="B66" s="13" t="s">
        <v>45</v>
      </c>
      <c r="C66" s="15" t="s">
        <v>80</v>
      </c>
      <c r="D66" s="13" t="s">
        <v>185</v>
      </c>
      <c r="E66" s="17">
        <v>5</v>
      </c>
      <c r="F66" s="56">
        <v>5</v>
      </c>
      <c r="G66" s="135">
        <v>100.01</v>
      </c>
      <c r="H66" s="68">
        <f t="shared" si="3"/>
        <v>0.50004999999999999</v>
      </c>
      <c r="I66" s="12">
        <f>G66*2</f>
        <v>200.02</v>
      </c>
    </row>
    <row r="67" spans="1:9" ht="19.5" hidden="1" customHeight="1">
      <c r="A67" s="26">
        <v>25</v>
      </c>
      <c r="B67" s="13" t="s">
        <v>46</v>
      </c>
      <c r="C67" s="15" t="s">
        <v>103</v>
      </c>
      <c r="D67" s="13" t="s">
        <v>51</v>
      </c>
      <c r="E67" s="55">
        <v>14205</v>
      </c>
      <c r="F67" s="12">
        <f>SUM(E67/100)</f>
        <v>142.05000000000001</v>
      </c>
      <c r="G67" s="107">
        <v>278.24</v>
      </c>
      <c r="H67" s="68">
        <f t="shared" si="3"/>
        <v>39.523992000000007</v>
      </c>
      <c r="I67" s="12">
        <f>F67*G67</f>
        <v>39523.992000000006</v>
      </c>
    </row>
    <row r="68" spans="1:9" ht="21.75" hidden="1" customHeight="1">
      <c r="A68" s="26">
        <v>26</v>
      </c>
      <c r="B68" s="13" t="s">
        <v>47</v>
      </c>
      <c r="C68" s="15" t="s">
        <v>104</v>
      </c>
      <c r="D68" s="13" t="s">
        <v>51</v>
      </c>
      <c r="E68" s="55">
        <v>14205</v>
      </c>
      <c r="F68" s="12">
        <f>SUM(E68/1000)</f>
        <v>14.205</v>
      </c>
      <c r="G68" s="107">
        <v>216.68</v>
      </c>
      <c r="H68" s="68">
        <f t="shared" si="3"/>
        <v>3.0779394</v>
      </c>
      <c r="I68" s="12">
        <f>F68*G68</f>
        <v>3077.9394000000002</v>
      </c>
    </row>
    <row r="69" spans="1:9" ht="21.75" hidden="1" customHeight="1">
      <c r="A69" s="26">
        <v>27</v>
      </c>
      <c r="B69" s="13" t="s">
        <v>48</v>
      </c>
      <c r="C69" s="15" t="s">
        <v>72</v>
      </c>
      <c r="D69" s="13" t="s">
        <v>51</v>
      </c>
      <c r="E69" s="55">
        <v>2131</v>
      </c>
      <c r="F69" s="12">
        <f>SUM(E69/100)</f>
        <v>21.31</v>
      </c>
      <c r="G69" s="107">
        <v>2720.94</v>
      </c>
      <c r="H69" s="68">
        <f t="shared" si="3"/>
        <v>57.983231399999994</v>
      </c>
      <c r="I69" s="12">
        <f>F69*G69</f>
        <v>57983.231399999997</v>
      </c>
    </row>
    <row r="70" spans="1:9" ht="21" hidden="1" customHeight="1">
      <c r="A70" s="26">
        <v>28</v>
      </c>
      <c r="B70" s="69" t="s">
        <v>105</v>
      </c>
      <c r="C70" s="15" t="s">
        <v>32</v>
      </c>
      <c r="D70" s="13" t="s">
        <v>51</v>
      </c>
      <c r="E70" s="55">
        <v>12.48</v>
      </c>
      <c r="F70" s="12">
        <f>SUM(E70)</f>
        <v>12.48</v>
      </c>
      <c r="G70" s="107">
        <v>44.31</v>
      </c>
      <c r="H70" s="68">
        <f t="shared" si="3"/>
        <v>0.55298880000000006</v>
      </c>
      <c r="I70" s="12">
        <f>7*G70</f>
        <v>310.17</v>
      </c>
    </row>
    <row r="71" spans="1:9" ht="18.75" hidden="1" customHeight="1">
      <c r="A71" s="26">
        <v>29</v>
      </c>
      <c r="B71" s="69" t="s">
        <v>106</v>
      </c>
      <c r="C71" s="15" t="s">
        <v>32</v>
      </c>
      <c r="D71" s="13" t="s">
        <v>51</v>
      </c>
      <c r="E71" s="55">
        <v>12.48</v>
      </c>
      <c r="F71" s="12">
        <f>SUM(E71)</f>
        <v>12.48</v>
      </c>
      <c r="G71" s="107">
        <v>47.79</v>
      </c>
      <c r="H71" s="68">
        <f t="shared" si="3"/>
        <v>0.59641920000000004</v>
      </c>
      <c r="I71" s="12">
        <f>7*G71</f>
        <v>334.53</v>
      </c>
    </row>
    <row r="72" spans="1:9" ht="17.25" customHeight="1">
      <c r="A72" s="26">
        <v>19</v>
      </c>
      <c r="B72" s="13" t="s">
        <v>54</v>
      </c>
      <c r="C72" s="15" t="s">
        <v>55</v>
      </c>
      <c r="D72" s="13" t="s">
        <v>191</v>
      </c>
      <c r="E72" s="17">
        <v>5</v>
      </c>
      <c r="F72" s="56">
        <v>6</v>
      </c>
      <c r="G72" s="12">
        <v>65.42</v>
      </c>
      <c r="H72" s="68">
        <f t="shared" si="3"/>
        <v>0.39251999999999998</v>
      </c>
      <c r="I72" s="12">
        <f>F72/1*G72</f>
        <v>392.52</v>
      </c>
    </row>
    <row r="73" spans="1:9" ht="17.25" customHeight="1">
      <c r="A73" s="26"/>
      <c r="B73" s="196" t="s">
        <v>67</v>
      </c>
      <c r="C73" s="15"/>
      <c r="D73" s="13"/>
      <c r="E73" s="17"/>
      <c r="F73" s="12"/>
      <c r="G73" s="12"/>
      <c r="H73" s="68" t="s">
        <v>119</v>
      </c>
      <c r="I73" s="12"/>
    </row>
    <row r="74" spans="1:9" ht="30">
      <c r="A74" s="26">
        <v>20</v>
      </c>
      <c r="B74" s="13" t="s">
        <v>68</v>
      </c>
      <c r="C74" s="15" t="s">
        <v>70</v>
      </c>
      <c r="D74" s="13" t="s">
        <v>303</v>
      </c>
      <c r="E74" s="17">
        <v>2</v>
      </c>
      <c r="F74" s="12">
        <v>0.2</v>
      </c>
      <c r="G74" s="135">
        <v>657.87</v>
      </c>
      <c r="H74" s="68">
        <f t="shared" si="3"/>
        <v>0.13157400000000002</v>
      </c>
      <c r="I74" s="12">
        <f>G74*0.1</f>
        <v>65.787000000000006</v>
      </c>
    </row>
    <row r="75" spans="1:9" hidden="1">
      <c r="A75" s="26"/>
      <c r="B75" s="13" t="s">
        <v>69</v>
      </c>
      <c r="C75" s="15" t="s">
        <v>30</v>
      </c>
      <c r="D75" s="13" t="s">
        <v>63</v>
      </c>
      <c r="E75" s="17">
        <v>1</v>
      </c>
      <c r="F75" s="48">
        <v>1</v>
      </c>
      <c r="G75" s="12">
        <v>911.85</v>
      </c>
      <c r="H75" s="68">
        <f>F75*G75/1000</f>
        <v>0.91185000000000005</v>
      </c>
      <c r="I75" s="12">
        <v>0</v>
      </c>
    </row>
    <row r="76" spans="1:9" hidden="1">
      <c r="A76" s="26"/>
      <c r="B76" s="13" t="s">
        <v>167</v>
      </c>
      <c r="C76" s="15" t="s">
        <v>30</v>
      </c>
      <c r="D76" s="13" t="s">
        <v>63</v>
      </c>
      <c r="E76" s="17">
        <v>1</v>
      </c>
      <c r="F76" s="12">
        <v>1</v>
      </c>
      <c r="G76" s="12">
        <v>383.25</v>
      </c>
      <c r="H76" s="68">
        <f>G76*F76/1000</f>
        <v>0.38324999999999998</v>
      </c>
      <c r="I76" s="12">
        <v>0</v>
      </c>
    </row>
    <row r="77" spans="1:9" hidden="1">
      <c r="A77" s="26"/>
      <c r="B77" s="70" t="s">
        <v>71</v>
      </c>
      <c r="C77" s="15"/>
      <c r="D77" s="13"/>
      <c r="E77" s="17"/>
      <c r="F77" s="12"/>
      <c r="G77" s="12" t="s">
        <v>119</v>
      </c>
      <c r="H77" s="68" t="s">
        <v>119</v>
      </c>
      <c r="I77" s="12"/>
    </row>
    <row r="78" spans="1:9" hidden="1">
      <c r="A78" s="26">
        <v>22</v>
      </c>
      <c r="B78" s="39" t="s">
        <v>109</v>
      </c>
      <c r="C78" s="15" t="s">
        <v>72</v>
      </c>
      <c r="D78" s="13"/>
      <c r="E78" s="17"/>
      <c r="F78" s="12">
        <v>0.9</v>
      </c>
      <c r="G78" s="12">
        <v>2757.42</v>
      </c>
      <c r="H78" s="68">
        <f t="shared" si="3"/>
        <v>2.4816780000000005</v>
      </c>
      <c r="I78" s="12">
        <f>G78*F78</f>
        <v>2481.6780000000003</v>
      </c>
    </row>
    <row r="79" spans="1:9" ht="28.5">
      <c r="A79" s="26"/>
      <c r="B79" s="196" t="s">
        <v>107</v>
      </c>
      <c r="C79" s="70"/>
      <c r="D79" s="28"/>
      <c r="E79" s="29"/>
      <c r="F79" s="59"/>
      <c r="G79" s="59"/>
      <c r="H79" s="71">
        <f>SUM(H56:H78)</f>
        <v>151.283798588</v>
      </c>
      <c r="I79" s="59"/>
    </row>
    <row r="80" spans="1:9">
      <c r="A80" s="124">
        <v>21</v>
      </c>
      <c r="B80" s="62" t="s">
        <v>108</v>
      </c>
      <c r="C80" s="125"/>
      <c r="D80" s="126"/>
      <c r="E80" s="49"/>
      <c r="F80" s="74">
        <v>1</v>
      </c>
      <c r="G80" s="74">
        <v>437.5</v>
      </c>
      <c r="H80" s="127">
        <f>G80*F80/1000</f>
        <v>0.4375</v>
      </c>
      <c r="I80" s="74">
        <f>G80</f>
        <v>437.5</v>
      </c>
    </row>
    <row r="81" spans="1:9" ht="16.5" customHeight="1">
      <c r="A81" s="26"/>
      <c r="B81" s="147" t="s">
        <v>135</v>
      </c>
      <c r="C81" s="192"/>
      <c r="D81" s="13"/>
      <c r="E81" s="17"/>
      <c r="F81" s="12"/>
      <c r="G81" s="12"/>
      <c r="H81" s="12"/>
      <c r="I81" s="12"/>
    </row>
    <row r="82" spans="1:9" ht="30.75" customHeight="1">
      <c r="A82" s="26">
        <v>22</v>
      </c>
      <c r="B82" s="106" t="s">
        <v>136</v>
      </c>
      <c r="C82" s="32" t="s">
        <v>137</v>
      </c>
      <c r="D82" s="13"/>
      <c r="E82" s="17"/>
      <c r="F82" s="12"/>
      <c r="G82" s="107">
        <v>2.2799999999999998</v>
      </c>
      <c r="H82" s="12"/>
      <c r="I82" s="12">
        <f>47340/12*G82</f>
        <v>8994.5999999999985</v>
      </c>
    </row>
    <row r="83" spans="1:9" ht="33" customHeight="1">
      <c r="A83" s="26">
        <v>23</v>
      </c>
      <c r="B83" s="110" t="s">
        <v>138</v>
      </c>
      <c r="C83" s="111" t="s">
        <v>80</v>
      </c>
      <c r="D83" s="13"/>
      <c r="E83" s="17"/>
      <c r="F83" s="12"/>
      <c r="G83" s="107">
        <v>50.68</v>
      </c>
      <c r="H83" s="12"/>
      <c r="I83" s="12">
        <f>12/12*G83</f>
        <v>50.68</v>
      </c>
    </row>
    <row r="84" spans="1:9">
      <c r="A84" s="230" t="s">
        <v>123</v>
      </c>
      <c r="B84" s="231"/>
      <c r="C84" s="231"/>
      <c r="D84" s="231"/>
      <c r="E84" s="231"/>
      <c r="F84" s="231"/>
      <c r="G84" s="231"/>
      <c r="H84" s="231"/>
      <c r="I84" s="232"/>
    </row>
    <row r="85" spans="1:9" ht="20.25" customHeight="1">
      <c r="A85" s="77">
        <v>24</v>
      </c>
      <c r="B85" s="128" t="s">
        <v>110</v>
      </c>
      <c r="C85" s="129" t="s">
        <v>52</v>
      </c>
      <c r="D85" s="130"/>
      <c r="E85" s="131">
        <v>3945</v>
      </c>
      <c r="F85" s="131">
        <f>SUM(E85*12)</f>
        <v>47340</v>
      </c>
      <c r="G85" s="107">
        <v>3.1</v>
      </c>
      <c r="H85" s="132">
        <f>SUM(F85*G85/1000)</f>
        <v>146.75399999999999</v>
      </c>
      <c r="I85" s="131">
        <f>F85/12*G85</f>
        <v>12229.5</v>
      </c>
    </row>
    <row r="86" spans="1:9" ht="31.5" customHeight="1">
      <c r="A86" s="26">
        <v>25</v>
      </c>
      <c r="B86" s="13" t="s">
        <v>73</v>
      </c>
      <c r="C86" s="15"/>
      <c r="D86" s="130"/>
      <c r="E86" s="55">
        <f>E85</f>
        <v>3945</v>
      </c>
      <c r="F86" s="12">
        <f>E86*12</f>
        <v>47340</v>
      </c>
      <c r="G86" s="107">
        <v>3.5</v>
      </c>
      <c r="H86" s="68">
        <f>F86*G86/1000</f>
        <v>165.69</v>
      </c>
      <c r="I86" s="12">
        <f>F86/12*G86</f>
        <v>13807.5</v>
      </c>
    </row>
    <row r="87" spans="1:9">
      <c r="A87" s="26"/>
      <c r="B87" s="31" t="s">
        <v>75</v>
      </c>
      <c r="C87" s="32"/>
      <c r="D87" s="14"/>
      <c r="E87" s="14"/>
      <c r="F87" s="17"/>
      <c r="G87" s="30"/>
      <c r="H87" s="71">
        <f>H86</f>
        <v>165.69</v>
      </c>
      <c r="I87" s="29">
        <f>I86+I85+I83+I82+I72+I66+I63+I51+I50+I49+I48+I47+I46+I45+I44+I31+I29+I28+I21+I20+I18+I17+I16+I80+I74</f>
        <v>78951.91628759999</v>
      </c>
    </row>
    <row r="88" spans="1:9">
      <c r="A88" s="227" t="s">
        <v>57</v>
      </c>
      <c r="B88" s="228"/>
      <c r="C88" s="228"/>
      <c r="D88" s="228"/>
      <c r="E88" s="228"/>
      <c r="F88" s="228"/>
      <c r="G88" s="228"/>
      <c r="H88" s="228"/>
      <c r="I88" s="229"/>
    </row>
    <row r="89" spans="1:9">
      <c r="A89" s="26">
        <v>26</v>
      </c>
      <c r="B89" s="110" t="s">
        <v>267</v>
      </c>
      <c r="C89" s="111" t="s">
        <v>181</v>
      </c>
      <c r="D89" s="201" t="s">
        <v>293</v>
      </c>
      <c r="E89" s="107"/>
      <c r="F89" s="107">
        <v>22</v>
      </c>
      <c r="G89" s="107">
        <v>295.36</v>
      </c>
      <c r="H89" s="12"/>
      <c r="I89" s="74">
        <v>0</v>
      </c>
    </row>
    <row r="90" spans="1:9">
      <c r="A90" s="26">
        <v>27</v>
      </c>
      <c r="B90" s="110" t="s">
        <v>292</v>
      </c>
      <c r="C90" s="111" t="s">
        <v>247</v>
      </c>
      <c r="D90" s="201"/>
      <c r="E90" s="107"/>
      <c r="F90" s="107">
        <v>3</v>
      </c>
      <c r="G90" s="107">
        <v>236.08</v>
      </c>
      <c r="H90" s="68"/>
      <c r="I90" s="74">
        <f>G90*3</f>
        <v>708.24</v>
      </c>
    </row>
    <row r="91" spans="1:9" hidden="1">
      <c r="A91" s="26">
        <v>19</v>
      </c>
      <c r="B91" s="110"/>
      <c r="C91" s="111"/>
      <c r="D91" s="39"/>
      <c r="E91" s="12"/>
      <c r="F91" s="12"/>
      <c r="G91" s="107"/>
      <c r="H91" s="68"/>
      <c r="I91" s="74"/>
    </row>
    <row r="92" spans="1:9" hidden="1">
      <c r="A92" s="26">
        <v>20</v>
      </c>
      <c r="B92" s="110"/>
      <c r="C92" s="111"/>
      <c r="D92" s="39"/>
      <c r="E92" s="12"/>
      <c r="F92" s="12"/>
      <c r="G92" s="107"/>
      <c r="H92" s="68"/>
      <c r="I92" s="74"/>
    </row>
    <row r="93" spans="1:9" hidden="1">
      <c r="A93" s="26">
        <v>21</v>
      </c>
      <c r="B93" s="110"/>
      <c r="C93" s="111"/>
      <c r="D93" s="39"/>
      <c r="E93" s="12"/>
      <c r="F93" s="12"/>
      <c r="G93" s="107"/>
      <c r="H93" s="68"/>
      <c r="I93" s="74"/>
    </row>
    <row r="94" spans="1:9" hidden="1">
      <c r="A94" s="26">
        <v>22</v>
      </c>
      <c r="B94" s="110"/>
      <c r="C94" s="111"/>
      <c r="D94" s="39"/>
      <c r="E94" s="12"/>
      <c r="F94" s="12"/>
      <c r="G94" s="107"/>
      <c r="H94" s="68"/>
      <c r="I94" s="74"/>
    </row>
    <row r="95" spans="1:9" hidden="1">
      <c r="A95" s="26">
        <v>23</v>
      </c>
      <c r="B95" s="72"/>
      <c r="C95" s="109"/>
      <c r="D95" s="39"/>
      <c r="E95" s="12"/>
      <c r="F95" s="12"/>
      <c r="G95" s="107"/>
      <c r="H95" s="68"/>
      <c r="I95" s="74"/>
    </row>
    <row r="96" spans="1:9" hidden="1">
      <c r="A96" s="26">
        <v>24</v>
      </c>
      <c r="B96" s="72"/>
      <c r="C96" s="109"/>
      <c r="D96" s="39"/>
      <c r="E96" s="12"/>
      <c r="F96" s="12"/>
      <c r="G96" s="107"/>
      <c r="H96" s="68"/>
      <c r="I96" s="74"/>
    </row>
    <row r="97" spans="1:9" hidden="1">
      <c r="A97" s="26">
        <v>25</v>
      </c>
      <c r="B97" s="72"/>
      <c r="C97" s="109"/>
      <c r="D97" s="39"/>
      <c r="E97" s="12"/>
      <c r="F97" s="12"/>
      <c r="G97" s="107"/>
      <c r="H97" s="68"/>
      <c r="I97" s="74"/>
    </row>
    <row r="98" spans="1:9" hidden="1">
      <c r="A98" s="26">
        <v>26</v>
      </c>
      <c r="B98" s="72"/>
      <c r="C98" s="109"/>
      <c r="D98" s="39"/>
      <c r="E98" s="12"/>
      <c r="F98" s="12"/>
      <c r="G98" s="107"/>
      <c r="H98" s="68"/>
      <c r="I98" s="74"/>
    </row>
    <row r="99" spans="1:9" hidden="1">
      <c r="A99" s="26">
        <v>27</v>
      </c>
      <c r="B99" s="72"/>
      <c r="C99" s="109"/>
      <c r="D99" s="39"/>
      <c r="E99" s="12"/>
      <c r="F99" s="12"/>
      <c r="G99" s="107"/>
      <c r="H99" s="68"/>
      <c r="I99" s="74"/>
    </row>
    <row r="100" spans="1:9" hidden="1">
      <c r="A100" s="26">
        <v>28</v>
      </c>
      <c r="B100" s="72"/>
      <c r="C100" s="109"/>
      <c r="D100" s="39"/>
      <c r="E100" s="12"/>
      <c r="F100" s="12"/>
      <c r="G100" s="107"/>
      <c r="H100" s="68"/>
      <c r="I100" s="74"/>
    </row>
    <row r="101" spans="1:9" hidden="1">
      <c r="A101" s="26">
        <v>29</v>
      </c>
      <c r="B101" s="72"/>
      <c r="C101" s="109"/>
      <c r="D101" s="39"/>
      <c r="E101" s="12"/>
      <c r="F101" s="12"/>
      <c r="G101" s="107"/>
      <c r="H101" s="68"/>
      <c r="I101" s="74"/>
    </row>
    <row r="102" spans="1:9" hidden="1">
      <c r="A102" s="26">
        <v>30</v>
      </c>
      <c r="B102" s="72"/>
      <c r="C102" s="109"/>
      <c r="D102" s="39"/>
      <c r="E102" s="12"/>
      <c r="F102" s="12"/>
      <c r="G102" s="107"/>
      <c r="H102" s="68"/>
      <c r="I102" s="74"/>
    </row>
    <row r="103" spans="1:9" hidden="1">
      <c r="A103" s="26"/>
      <c r="B103" s="72"/>
      <c r="C103" s="109"/>
      <c r="D103" s="39"/>
      <c r="E103" s="12"/>
      <c r="F103" s="12"/>
      <c r="G103" s="107"/>
      <c r="H103" s="68"/>
      <c r="I103" s="74"/>
    </row>
    <row r="104" spans="1:9" hidden="1">
      <c r="A104" s="26">
        <v>16</v>
      </c>
      <c r="B104" s="72"/>
      <c r="C104" s="73"/>
      <c r="D104" s="39"/>
      <c r="E104" s="12"/>
      <c r="F104" s="12"/>
      <c r="G104" s="107"/>
      <c r="H104" s="68"/>
      <c r="I104" s="74"/>
    </row>
    <row r="105" spans="1:9">
      <c r="A105" s="26">
        <v>28</v>
      </c>
      <c r="B105" s="110" t="s">
        <v>199</v>
      </c>
      <c r="C105" s="111" t="s">
        <v>200</v>
      </c>
      <c r="D105" s="106" t="s">
        <v>294</v>
      </c>
      <c r="E105" s="107"/>
      <c r="F105" s="107">
        <v>5</v>
      </c>
      <c r="G105" s="107">
        <v>231.54</v>
      </c>
      <c r="H105" s="68"/>
      <c r="I105" s="74">
        <v>0</v>
      </c>
    </row>
    <row r="106" spans="1:9">
      <c r="A106" s="26">
        <v>29</v>
      </c>
      <c r="B106" s="110" t="s">
        <v>301</v>
      </c>
      <c r="C106" s="111" t="s">
        <v>80</v>
      </c>
      <c r="D106" s="201" t="s">
        <v>302</v>
      </c>
      <c r="E106" s="107"/>
      <c r="F106" s="107">
        <v>1</v>
      </c>
      <c r="G106" s="107">
        <v>725.12</v>
      </c>
      <c r="H106" s="68"/>
      <c r="I106" s="74">
        <f>G106*1</f>
        <v>725.12</v>
      </c>
    </row>
    <row r="107" spans="1:9" ht="30">
      <c r="A107" s="26">
        <v>30</v>
      </c>
      <c r="B107" s="110" t="s">
        <v>196</v>
      </c>
      <c r="C107" s="111" t="s">
        <v>36</v>
      </c>
      <c r="D107" s="201" t="s">
        <v>185</v>
      </c>
      <c r="E107" s="107"/>
      <c r="F107" s="107">
        <v>0.02</v>
      </c>
      <c r="G107" s="107">
        <v>4233.72</v>
      </c>
      <c r="H107" s="68"/>
      <c r="I107" s="74">
        <v>0</v>
      </c>
    </row>
    <row r="108" spans="1:9">
      <c r="A108" s="26">
        <v>31</v>
      </c>
      <c r="B108" s="110" t="s">
        <v>304</v>
      </c>
      <c r="C108" s="111" t="s">
        <v>80</v>
      </c>
      <c r="D108" s="201"/>
      <c r="E108" s="107"/>
      <c r="F108" s="107">
        <v>1</v>
      </c>
      <c r="G108" s="107">
        <v>224.48</v>
      </c>
      <c r="H108" s="68"/>
      <c r="I108" s="74">
        <f>G108*1</f>
        <v>224.48</v>
      </c>
    </row>
    <row r="109" spans="1:9" ht="17.25" customHeight="1">
      <c r="A109" s="26"/>
      <c r="B109" s="37" t="s">
        <v>49</v>
      </c>
      <c r="C109" s="33"/>
      <c r="D109" s="40"/>
      <c r="E109" s="33">
        <v>1</v>
      </c>
      <c r="F109" s="33"/>
      <c r="G109" s="33"/>
      <c r="H109" s="33"/>
      <c r="I109" s="29">
        <f>SUM(I89:I108)</f>
        <v>1657.8400000000001</v>
      </c>
    </row>
    <row r="110" spans="1:9">
      <c r="A110" s="26"/>
      <c r="B110" s="39" t="s">
        <v>74</v>
      </c>
      <c r="C110" s="14"/>
      <c r="D110" s="14"/>
      <c r="E110" s="34"/>
      <c r="F110" s="34"/>
      <c r="G110" s="35"/>
      <c r="H110" s="35"/>
      <c r="I110" s="16">
        <v>0</v>
      </c>
    </row>
    <row r="111" spans="1:9">
      <c r="A111" s="41"/>
      <c r="B111" s="38" t="s">
        <v>168</v>
      </c>
      <c r="C111" s="30"/>
      <c r="D111" s="30"/>
      <c r="E111" s="30"/>
      <c r="F111" s="30"/>
      <c r="G111" s="30"/>
      <c r="H111" s="30"/>
      <c r="I111" s="36">
        <f>I87+I109</f>
        <v>80609.756287599987</v>
      </c>
    </row>
    <row r="112" spans="1:9" ht="15.75">
      <c r="A112" s="226" t="s">
        <v>305</v>
      </c>
      <c r="B112" s="226"/>
      <c r="C112" s="226"/>
      <c r="D112" s="226"/>
      <c r="E112" s="226"/>
      <c r="F112" s="226"/>
      <c r="G112" s="226"/>
      <c r="H112" s="226"/>
      <c r="I112" s="226"/>
    </row>
    <row r="113" spans="1:9" ht="15.75">
      <c r="A113" s="78"/>
      <c r="B113" s="233" t="s">
        <v>306</v>
      </c>
      <c r="C113" s="233"/>
      <c r="D113" s="233"/>
      <c r="E113" s="233"/>
      <c r="F113" s="233"/>
      <c r="G113" s="233"/>
      <c r="H113" s="52"/>
      <c r="I113" s="3"/>
    </row>
    <row r="114" spans="1:9">
      <c r="A114" s="158"/>
      <c r="B114" s="234" t="s">
        <v>6</v>
      </c>
      <c r="C114" s="234"/>
      <c r="D114" s="234"/>
      <c r="E114" s="234"/>
      <c r="F114" s="234"/>
      <c r="G114" s="234"/>
      <c r="H114" s="21"/>
      <c r="I114" s="5"/>
    </row>
    <row r="115" spans="1:9">
      <c r="A115" s="9"/>
      <c r="B115" s="9"/>
      <c r="C115" s="9"/>
      <c r="D115" s="9"/>
      <c r="E115" s="9"/>
      <c r="F115" s="9"/>
      <c r="G115" s="9"/>
      <c r="H115" s="9"/>
      <c r="I115" s="9"/>
    </row>
    <row r="116" spans="1:9" ht="15.75">
      <c r="A116" s="235" t="s">
        <v>7</v>
      </c>
      <c r="B116" s="235"/>
      <c r="C116" s="235"/>
      <c r="D116" s="235"/>
      <c r="E116" s="235"/>
      <c r="F116" s="235"/>
      <c r="G116" s="235"/>
      <c r="H116" s="235"/>
      <c r="I116" s="235"/>
    </row>
    <row r="117" spans="1:9" ht="15.75">
      <c r="A117" s="235" t="s">
        <v>8</v>
      </c>
      <c r="B117" s="235"/>
      <c r="C117" s="235"/>
      <c r="D117" s="235"/>
      <c r="E117" s="235"/>
      <c r="F117" s="235"/>
      <c r="G117" s="235"/>
      <c r="H117" s="235"/>
      <c r="I117" s="235"/>
    </row>
    <row r="118" spans="1:9" ht="15.75">
      <c r="A118" s="236" t="s">
        <v>58</v>
      </c>
      <c r="B118" s="236"/>
      <c r="C118" s="236"/>
      <c r="D118" s="236"/>
      <c r="E118" s="236"/>
      <c r="F118" s="236"/>
      <c r="G118" s="236"/>
      <c r="H118" s="236"/>
      <c r="I118" s="236"/>
    </row>
    <row r="119" spans="1:9" ht="15.75">
      <c r="A119" s="10"/>
    </row>
    <row r="120" spans="1:9" ht="15.75">
      <c r="A120" s="220" t="s">
        <v>9</v>
      </c>
      <c r="B120" s="220"/>
      <c r="C120" s="220"/>
      <c r="D120" s="220"/>
      <c r="E120" s="220"/>
      <c r="F120" s="220"/>
      <c r="G120" s="220"/>
      <c r="H120" s="220"/>
      <c r="I120" s="220"/>
    </row>
    <row r="121" spans="1:9" ht="15.75">
      <c r="A121" s="4"/>
    </row>
    <row r="122" spans="1:9" ht="15.75">
      <c r="B122" s="156" t="s">
        <v>10</v>
      </c>
      <c r="C122" s="238" t="s">
        <v>215</v>
      </c>
      <c r="D122" s="238"/>
      <c r="E122" s="238"/>
      <c r="F122" s="50"/>
      <c r="I122" s="157"/>
    </row>
    <row r="123" spans="1:9">
      <c r="A123" s="158"/>
      <c r="C123" s="234" t="s">
        <v>11</v>
      </c>
      <c r="D123" s="234"/>
      <c r="E123" s="234"/>
      <c r="F123" s="21"/>
      <c r="I123" s="155" t="s">
        <v>12</v>
      </c>
    </row>
    <row r="124" spans="1:9" ht="15.75">
      <c r="A124" s="22"/>
      <c r="C124" s="11"/>
      <c r="D124" s="11"/>
      <c r="G124" s="11"/>
      <c r="H124" s="11"/>
    </row>
    <row r="125" spans="1:9" ht="15.75">
      <c r="B125" s="156" t="s">
        <v>13</v>
      </c>
      <c r="C125" s="239"/>
      <c r="D125" s="239"/>
      <c r="E125" s="239"/>
      <c r="F125" s="51"/>
      <c r="I125" s="157"/>
    </row>
    <row r="126" spans="1:9">
      <c r="A126" s="158"/>
      <c r="C126" s="240" t="s">
        <v>11</v>
      </c>
      <c r="D126" s="240"/>
      <c r="E126" s="240"/>
      <c r="F126" s="158"/>
      <c r="I126" s="155" t="s">
        <v>12</v>
      </c>
    </row>
    <row r="127" spans="1:9" ht="15.75">
      <c r="A127" s="4" t="s">
        <v>14</v>
      </c>
    </row>
    <row r="128" spans="1:9">
      <c r="A128" s="241" t="s">
        <v>15</v>
      </c>
      <c r="B128" s="241"/>
      <c r="C128" s="241"/>
      <c r="D128" s="241"/>
      <c r="E128" s="241"/>
      <c r="F128" s="241"/>
      <c r="G128" s="241"/>
      <c r="H128" s="241"/>
      <c r="I128" s="241"/>
    </row>
    <row r="129" spans="1:9" ht="53.25" customHeight="1">
      <c r="A129" s="237" t="s">
        <v>16</v>
      </c>
      <c r="B129" s="237"/>
      <c r="C129" s="237"/>
      <c r="D129" s="237"/>
      <c r="E129" s="237"/>
      <c r="F129" s="237"/>
      <c r="G129" s="237"/>
      <c r="H129" s="237"/>
      <c r="I129" s="237"/>
    </row>
    <row r="130" spans="1:9" ht="36" customHeight="1">
      <c r="A130" s="237" t="s">
        <v>17</v>
      </c>
      <c r="B130" s="237"/>
      <c r="C130" s="237"/>
      <c r="D130" s="237"/>
      <c r="E130" s="237"/>
      <c r="F130" s="237"/>
      <c r="G130" s="237"/>
      <c r="H130" s="237"/>
      <c r="I130" s="237"/>
    </row>
    <row r="131" spans="1:9" ht="36.75" customHeight="1">
      <c r="A131" s="237" t="s">
        <v>21</v>
      </c>
      <c r="B131" s="237"/>
      <c r="C131" s="237"/>
      <c r="D131" s="237"/>
      <c r="E131" s="237"/>
      <c r="F131" s="237"/>
      <c r="G131" s="237"/>
      <c r="H131" s="237"/>
      <c r="I131" s="237"/>
    </row>
    <row r="132" spans="1:9" ht="15.75">
      <c r="A132" s="237" t="s">
        <v>20</v>
      </c>
      <c r="B132" s="237"/>
      <c r="C132" s="237"/>
      <c r="D132" s="237"/>
      <c r="E132" s="237"/>
      <c r="F132" s="237"/>
      <c r="G132" s="237"/>
      <c r="H132" s="237"/>
      <c r="I132" s="237"/>
    </row>
  </sheetData>
  <mergeCells count="28">
    <mergeCell ref="A14:I14"/>
    <mergeCell ref="A3:I3"/>
    <mergeCell ref="A4:I4"/>
    <mergeCell ref="A5:I5"/>
    <mergeCell ref="A8:I8"/>
    <mergeCell ref="A10:I10"/>
    <mergeCell ref="A118:I118"/>
    <mergeCell ref="A15:I15"/>
    <mergeCell ref="A26:I26"/>
    <mergeCell ref="A43:I43"/>
    <mergeCell ref="A54:I54"/>
    <mergeCell ref="A84:I84"/>
    <mergeCell ref="A88:I88"/>
    <mergeCell ref="A112:I112"/>
    <mergeCell ref="B113:G113"/>
    <mergeCell ref="B114:G114"/>
    <mergeCell ref="A116:I116"/>
    <mergeCell ref="A117:I117"/>
    <mergeCell ref="A129:I129"/>
    <mergeCell ref="A130:I130"/>
    <mergeCell ref="A131:I131"/>
    <mergeCell ref="A132:I132"/>
    <mergeCell ref="A120:I120"/>
    <mergeCell ref="C122:E122"/>
    <mergeCell ref="C123:E123"/>
    <mergeCell ref="C125:E125"/>
    <mergeCell ref="C126:E126"/>
    <mergeCell ref="A128:I128"/>
  </mergeCells>
  <pageMargins left="0.70866141732283472" right="0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2022-01-20T11:48:03Z</cp:lastPrinted>
  <dcterms:created xsi:type="dcterms:W3CDTF">2016-03-25T08:33:47Z</dcterms:created>
  <dcterms:modified xsi:type="dcterms:W3CDTF">2022-01-20T11:48:36Z</dcterms:modified>
</cp:coreProperties>
</file>