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30" windowWidth="15480" windowHeight="8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'01.21'!$I$12:$I$62</definedName>
    <definedName name="_xlnm._FilterDatabase" localSheetId="1" hidden="1">'02.21'!$I$12:$I$62</definedName>
    <definedName name="_xlnm._FilterDatabase" localSheetId="2" hidden="1">'03.21'!$I$12:$I$56</definedName>
    <definedName name="_xlnm.Print_Area" localSheetId="0">'01.21'!$A$1:$I$122</definedName>
    <definedName name="_xlnm.Print_Area" localSheetId="1">'02.21'!$A$1:$I$128</definedName>
    <definedName name="_xlnm.Print_Area" localSheetId="2">'03.21'!$A$1:$I$131</definedName>
  </definedNames>
  <calcPr calcId="125725"/>
</workbook>
</file>

<file path=xl/calcChain.xml><?xml version="1.0" encoding="utf-8"?>
<calcChain xmlns="http://schemas.openxmlformats.org/spreadsheetml/2006/main">
  <c r="I95" i="28"/>
  <c r="I104" s="1"/>
  <c r="I91"/>
  <c r="I100"/>
  <c r="I98"/>
  <c r="I97"/>
  <c r="I96"/>
  <c r="I93"/>
  <c r="I66"/>
  <c r="I38"/>
  <c r="I55" i="26"/>
  <c r="I93" i="27" l="1"/>
  <c r="I111" s="1"/>
  <c r="I91"/>
  <c r="I109"/>
  <c r="I108"/>
  <c r="I107"/>
  <c r="I106"/>
  <c r="I105"/>
  <c r="I104"/>
  <c r="I103"/>
  <c r="I102"/>
  <c r="I101"/>
  <c r="I100"/>
  <c r="I99"/>
  <c r="I97"/>
  <c r="I96"/>
  <c r="I95"/>
  <c r="F97"/>
  <c r="I94"/>
  <c r="F94"/>
  <c r="I66"/>
  <c r="I80" i="26"/>
  <c r="I95" l="1"/>
  <c r="I94"/>
  <c r="I93"/>
  <c r="I91"/>
  <c r="I90"/>
  <c r="I89"/>
  <c r="I88"/>
  <c r="I86"/>
  <c r="I85"/>
  <c r="I84"/>
  <c r="I83"/>
  <c r="I56"/>
  <c r="I90" i="19"/>
  <c r="I89" i="25"/>
  <c r="I85"/>
  <c r="I107" i="23"/>
  <c r="I108" s="1"/>
  <c r="I21" i="25"/>
  <c r="I20"/>
  <c r="I100"/>
  <c r="I97"/>
  <c r="I96"/>
  <c r="I95"/>
  <c r="I94"/>
  <c r="I93"/>
  <c r="I92"/>
  <c r="I91"/>
  <c r="I65"/>
  <c r="I64"/>
  <c r="I89" i="24"/>
  <c r="I94"/>
  <c r="I59"/>
  <c r="I92"/>
  <c r="I91"/>
  <c r="I64"/>
  <c r="I106" i="23" l="1"/>
  <c r="I89" l="1"/>
  <c r="I103"/>
  <c r="I102"/>
  <c r="I101"/>
  <c r="I100"/>
  <c r="I99"/>
  <c r="I97"/>
  <c r="I96"/>
  <c r="I95"/>
  <c r="I94"/>
  <c r="I93"/>
  <c r="I91"/>
  <c r="I85"/>
  <c r="I64"/>
  <c r="F25"/>
  <c r="I25" s="1"/>
  <c r="F24"/>
  <c r="I24" s="1"/>
  <c r="F23"/>
  <c r="I23" s="1"/>
  <c r="F22"/>
  <c r="I22" s="1"/>
  <c r="F21"/>
  <c r="I21" s="1"/>
  <c r="F20"/>
  <c r="I20" s="1"/>
  <c r="I101" i="22"/>
  <c r="I100"/>
  <c r="I97"/>
  <c r="I96"/>
  <c r="I95"/>
  <c r="I94"/>
  <c r="I92"/>
  <c r="F92"/>
  <c r="I91"/>
  <c r="I85"/>
  <c r="F70"/>
  <c r="F69"/>
  <c r="F68"/>
  <c r="F67"/>
  <c r="F66"/>
  <c r="I65" i="20"/>
  <c r="I98" i="21"/>
  <c r="I96"/>
  <c r="I95"/>
  <c r="I93"/>
  <c r="I92"/>
  <c r="I97" i="20" l="1"/>
  <c r="I57"/>
  <c r="I60"/>
  <c r="I95"/>
  <c r="I94"/>
  <c r="I93"/>
  <c r="I92"/>
  <c r="I40"/>
  <c r="I107" i="19" l="1"/>
  <c r="I106"/>
  <c r="I105"/>
  <c r="I104"/>
  <c r="I103"/>
  <c r="I102"/>
  <c r="I101"/>
  <c r="I100"/>
  <c r="I99"/>
  <c r="I98"/>
  <c r="I97"/>
  <c r="I96"/>
  <c r="I95"/>
  <c r="I94"/>
  <c r="I93"/>
  <c r="I65"/>
  <c r="I60"/>
  <c r="I57"/>
  <c r="I37"/>
  <c r="I108" l="1"/>
  <c r="I60" i="18"/>
  <c r="I104"/>
  <c r="I100"/>
  <c r="I99"/>
  <c r="I98"/>
  <c r="I97"/>
  <c r="I96"/>
  <c r="I105" s="1"/>
  <c r="I95"/>
  <c r="I94"/>
  <c r="I93"/>
  <c r="I92"/>
  <c r="I83"/>
  <c r="I66"/>
  <c r="I39"/>
  <c r="I99" i="17" l="1"/>
  <c r="I98"/>
  <c r="I95"/>
  <c r="I94"/>
  <c r="I93"/>
  <c r="I92"/>
  <c r="I39"/>
  <c r="I87" i="28"/>
  <c r="I44" i="27"/>
  <c r="I59" i="25" l="1"/>
  <c r="I64" i="22" l="1"/>
  <c r="I79" i="23" l="1"/>
  <c r="I43" i="19" l="1"/>
  <c r="I59" i="17" l="1"/>
  <c r="I45" i="18" l="1"/>
  <c r="I66" i="17" l="1"/>
  <c r="F45" i="28" l="1"/>
  <c r="H45" s="1"/>
  <c r="I44"/>
  <c r="H44"/>
  <c r="F43"/>
  <c r="I43" s="1"/>
  <c r="F42"/>
  <c r="H42" s="1"/>
  <c r="H41"/>
  <c r="F40"/>
  <c r="H40" s="1"/>
  <c r="F39"/>
  <c r="I39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38" i="27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H39" i="28" l="1"/>
  <c r="H20"/>
  <c r="H43"/>
  <c r="I40"/>
  <c r="I42"/>
  <c r="I45"/>
  <c r="H16"/>
  <c r="H18"/>
  <c r="H21"/>
  <c r="I26"/>
  <c r="H16" i="27"/>
  <c r="H21"/>
  <c r="I18"/>
  <c r="H18"/>
  <c r="I20"/>
  <c r="I26"/>
  <c r="I76" i="26" l="1"/>
  <c r="E90" i="28" l="1"/>
  <c r="H89"/>
  <c r="F89"/>
  <c r="H87"/>
  <c r="H85"/>
  <c r="F83"/>
  <c r="H82"/>
  <c r="F81"/>
  <c r="H80"/>
  <c r="F79"/>
  <c r="F77"/>
  <c r="H77" s="1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F66"/>
  <c r="H66" s="1"/>
  <c r="F64"/>
  <c r="H64" s="1"/>
  <c r="F63"/>
  <c r="I61"/>
  <c r="H61"/>
  <c r="I60"/>
  <c r="F59"/>
  <c r="H59" s="1"/>
  <c r="I58"/>
  <c r="F58"/>
  <c r="F55"/>
  <c r="H55" s="1"/>
  <c r="I54"/>
  <c r="H54"/>
  <c r="F53"/>
  <c r="H53" s="1"/>
  <c r="F52"/>
  <c r="H52" s="1"/>
  <c r="F51"/>
  <c r="H51" s="1"/>
  <c r="F50"/>
  <c r="H50" s="1"/>
  <c r="H49"/>
  <c r="F49"/>
  <c r="H48"/>
  <c r="F48"/>
  <c r="H47"/>
  <c r="F47"/>
  <c r="H58" l="1"/>
  <c r="I47"/>
  <c r="I48"/>
  <c r="I49"/>
  <c r="I50"/>
  <c r="I51"/>
  <c r="I52"/>
  <c r="I53"/>
  <c r="I55"/>
  <c r="I59"/>
  <c r="H63"/>
  <c r="I64"/>
  <c r="H68"/>
  <c r="H79"/>
  <c r="H81"/>
  <c r="H83"/>
  <c r="I89"/>
  <c r="I68"/>
  <c r="I69"/>
  <c r="I70"/>
  <c r="I71"/>
  <c r="I72"/>
  <c r="I73"/>
  <c r="I76"/>
  <c r="I77"/>
  <c r="H38"/>
  <c r="H36"/>
  <c r="H35"/>
  <c r="H34"/>
  <c r="F34"/>
  <c r="E34"/>
  <c r="F33"/>
  <c r="F32"/>
  <c r="H32" s="1"/>
  <c r="F31"/>
  <c r="H31" s="1"/>
  <c r="F30"/>
  <c r="F27"/>
  <c r="H27" s="1"/>
  <c r="I32" l="1"/>
  <c r="H86"/>
  <c r="I27"/>
  <c r="H30"/>
  <c r="H33"/>
  <c r="I34"/>
  <c r="I30"/>
  <c r="I31"/>
  <c r="I33"/>
  <c r="E90" i="27"/>
  <c r="F89"/>
  <c r="H89" s="1"/>
  <c r="H87"/>
  <c r="H85"/>
  <c r="F83"/>
  <c r="H82"/>
  <c r="F81"/>
  <c r="H80"/>
  <c r="F79"/>
  <c r="H77"/>
  <c r="F77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H66"/>
  <c r="F66"/>
  <c r="H64"/>
  <c r="F64"/>
  <c r="F63"/>
  <c r="I61"/>
  <c r="H61"/>
  <c r="I60"/>
  <c r="H59"/>
  <c r="F59"/>
  <c r="I58"/>
  <c r="H58" s="1"/>
  <c r="F58"/>
  <c r="H55"/>
  <c r="F55"/>
  <c r="I54"/>
  <c r="H54"/>
  <c r="H53"/>
  <c r="F53"/>
  <c r="H52"/>
  <c r="F52"/>
  <c r="H51"/>
  <c r="F51"/>
  <c r="H50"/>
  <c r="F50"/>
  <c r="H49"/>
  <c r="F49"/>
  <c r="H48"/>
  <c r="F48"/>
  <c r="H47"/>
  <c r="F47"/>
  <c r="H45"/>
  <c r="F45"/>
  <c r="H44"/>
  <c r="F43"/>
  <c r="I43" s="1"/>
  <c r="F42"/>
  <c r="H42" s="1"/>
  <c r="H41"/>
  <c r="F40"/>
  <c r="H40" s="1"/>
  <c r="F39"/>
  <c r="H39" s="1"/>
  <c r="H38"/>
  <c r="H36"/>
  <c r="H35"/>
  <c r="H34"/>
  <c r="F34"/>
  <c r="E34"/>
  <c r="F33"/>
  <c r="F32"/>
  <c r="H32" s="1"/>
  <c r="F31"/>
  <c r="F30"/>
  <c r="H30" s="1"/>
  <c r="F27"/>
  <c r="H27" s="1"/>
  <c r="H79" l="1"/>
  <c r="H43"/>
  <c r="I30"/>
  <c r="I32"/>
  <c r="H31"/>
  <c r="H33"/>
  <c r="I34"/>
  <c r="I42"/>
  <c r="I45"/>
  <c r="I47"/>
  <c r="I48"/>
  <c r="I49"/>
  <c r="I50"/>
  <c r="I51"/>
  <c r="I52"/>
  <c r="I53"/>
  <c r="I55"/>
  <c r="I59"/>
  <c r="H63"/>
  <c r="I64"/>
  <c r="H68"/>
  <c r="H81"/>
  <c r="H83"/>
  <c r="I89"/>
  <c r="I27"/>
  <c r="I31"/>
  <c r="I33"/>
  <c r="I39"/>
  <c r="I40"/>
  <c r="I68"/>
  <c r="I69"/>
  <c r="I70"/>
  <c r="I71"/>
  <c r="I72"/>
  <c r="I73"/>
  <c r="I76"/>
  <c r="I77"/>
  <c r="H86" l="1"/>
  <c r="E79" i="26"/>
  <c r="F78" l="1"/>
  <c r="I78" s="1"/>
  <c r="H76"/>
  <c r="H74"/>
  <c r="F72"/>
  <c r="H71"/>
  <c r="F70"/>
  <c r="H69"/>
  <c r="F68"/>
  <c r="F66"/>
  <c r="H66" s="1"/>
  <c r="F65"/>
  <c r="I65" s="1"/>
  <c r="H65" s="1"/>
  <c r="I63"/>
  <c r="H63"/>
  <c r="F62"/>
  <c r="H62" s="1"/>
  <c r="F61"/>
  <c r="I61" s="1"/>
  <c r="H61" s="1"/>
  <c r="F60"/>
  <c r="H60" s="1"/>
  <c r="F59"/>
  <c r="I59" s="1"/>
  <c r="H59" s="1"/>
  <c r="F58"/>
  <c r="H58" s="1"/>
  <c r="F57"/>
  <c r="I57" s="1"/>
  <c r="H57" s="1"/>
  <c r="F56"/>
  <c r="F55"/>
  <c r="H55" s="1"/>
  <c r="F53"/>
  <c r="I53" s="1"/>
  <c r="H53" s="1"/>
  <c r="F52"/>
  <c r="I50"/>
  <c r="H50"/>
  <c r="I49"/>
  <c r="F48"/>
  <c r="I48" s="1"/>
  <c r="H48" s="1"/>
  <c r="I47"/>
  <c r="F47"/>
  <c r="F44"/>
  <c r="I44" s="1"/>
  <c r="H44" s="1"/>
  <c r="I43"/>
  <c r="H43"/>
  <c r="F42"/>
  <c r="H42" s="1"/>
  <c r="F41"/>
  <c r="I41" s="1"/>
  <c r="H41" s="1"/>
  <c r="F40"/>
  <c r="H40" s="1"/>
  <c r="F39"/>
  <c r="I39" s="1"/>
  <c r="H39" s="1"/>
  <c r="F38"/>
  <c r="H38" s="1"/>
  <c r="F37"/>
  <c r="I37" s="1"/>
  <c r="H37" s="1"/>
  <c r="F36"/>
  <c r="H36" s="1"/>
  <c r="H34"/>
  <c r="H33"/>
  <c r="F32"/>
  <c r="F31"/>
  <c r="H31" s="1"/>
  <c r="F30"/>
  <c r="F29"/>
  <c r="H29" s="1"/>
  <c r="F26"/>
  <c r="F25"/>
  <c r="F24"/>
  <c r="F23"/>
  <c r="F22"/>
  <c r="F21"/>
  <c r="H21" s="1"/>
  <c r="F20"/>
  <c r="F19"/>
  <c r="E18"/>
  <c r="F17"/>
  <c r="I17" l="1"/>
  <c r="H19"/>
  <c r="H23"/>
  <c r="H25"/>
  <c r="I31"/>
  <c r="H47"/>
  <c r="H68"/>
  <c r="H70"/>
  <c r="H72"/>
  <c r="H78"/>
  <c r="I21"/>
  <c r="I29"/>
  <c r="I20"/>
  <c r="H20" s="1"/>
  <c r="H22"/>
  <c r="H24"/>
  <c r="I26"/>
  <c r="H26" s="1"/>
  <c r="I30"/>
  <c r="H30" s="1"/>
  <c r="I32"/>
  <c r="I36"/>
  <c r="I38"/>
  <c r="I40"/>
  <c r="I42"/>
  <c r="H52"/>
  <c r="H56"/>
  <c r="I58"/>
  <c r="I60"/>
  <c r="I62"/>
  <c r="I66"/>
  <c r="F16"/>
  <c r="I16" s="1"/>
  <c r="E88" i="25"/>
  <c r="F87"/>
  <c r="I87" s="1"/>
  <c r="H87" s="1"/>
  <c r="H85"/>
  <c r="H83"/>
  <c r="F81"/>
  <c r="H80"/>
  <c r="F79"/>
  <c r="H78"/>
  <c r="H77" s="1"/>
  <c r="F77"/>
  <c r="F75"/>
  <c r="I75" s="1"/>
  <c r="F74"/>
  <c r="H74" s="1"/>
  <c r="I72"/>
  <c r="H72"/>
  <c r="I71"/>
  <c r="H71" s="1"/>
  <c r="F71"/>
  <c r="F70"/>
  <c r="H70" s="1"/>
  <c r="F69"/>
  <c r="I69" s="1"/>
  <c r="H69" s="1"/>
  <c r="F68"/>
  <c r="H68" s="1"/>
  <c r="F67"/>
  <c r="I67" s="1"/>
  <c r="H67" s="1"/>
  <c r="F66"/>
  <c r="H66" s="1"/>
  <c r="F65"/>
  <c r="F64"/>
  <c r="H64" s="1"/>
  <c r="F62"/>
  <c r="H61" s="1"/>
  <c r="F61"/>
  <c r="H59"/>
  <c r="I58"/>
  <c r="F57"/>
  <c r="I57" s="1"/>
  <c r="H57" s="1"/>
  <c r="I56"/>
  <c r="F56"/>
  <c r="F53"/>
  <c r="I53" s="1"/>
  <c r="H53" s="1"/>
  <c r="I52"/>
  <c r="H52"/>
  <c r="F51"/>
  <c r="H51" s="1"/>
  <c r="F50"/>
  <c r="I50" s="1"/>
  <c r="H50" s="1"/>
  <c r="F49"/>
  <c r="H49" s="1"/>
  <c r="F48"/>
  <c r="I48" s="1"/>
  <c r="H48" s="1"/>
  <c r="F47"/>
  <c r="H47" s="1"/>
  <c r="F46"/>
  <c r="I46" s="1"/>
  <c r="H46" s="1"/>
  <c r="F45"/>
  <c r="H45" s="1"/>
  <c r="F43"/>
  <c r="I43" s="1"/>
  <c r="H43" s="1"/>
  <c r="I42"/>
  <c r="H42"/>
  <c r="F41"/>
  <c r="H41" s="1"/>
  <c r="F40"/>
  <c r="I40" s="1"/>
  <c r="H40" s="1"/>
  <c r="H39"/>
  <c r="I38"/>
  <c r="H38" s="1"/>
  <c r="F38"/>
  <c r="F37"/>
  <c r="H37" s="1"/>
  <c r="I36"/>
  <c r="H36"/>
  <c r="H34"/>
  <c r="H33"/>
  <c r="F32"/>
  <c r="I32" s="1"/>
  <c r="H32" s="1"/>
  <c r="F31"/>
  <c r="H31" s="1"/>
  <c r="F30"/>
  <c r="I30" s="1"/>
  <c r="H30" s="1"/>
  <c r="H29"/>
  <c r="F29"/>
  <c r="F26"/>
  <c r="I26" s="1"/>
  <c r="H26" s="1"/>
  <c r="F25"/>
  <c r="I25" s="1"/>
  <c r="H25" s="1"/>
  <c r="F24"/>
  <c r="H24" s="1"/>
  <c r="I23"/>
  <c r="H23" s="1"/>
  <c r="F23"/>
  <c r="F22"/>
  <c r="H22" s="1"/>
  <c r="F21"/>
  <c r="H21" s="1"/>
  <c r="F20"/>
  <c r="H20" s="1"/>
  <c r="I19"/>
  <c r="H19" s="1"/>
  <c r="F19"/>
  <c r="E18"/>
  <c r="I17" s="1"/>
  <c r="F17"/>
  <c r="F16"/>
  <c r="H16" s="1"/>
  <c r="H75" l="1"/>
  <c r="H79"/>
  <c r="H81"/>
  <c r="H75" i="26"/>
  <c r="I16" i="25"/>
  <c r="I22"/>
  <c r="I24"/>
  <c r="I29"/>
  <c r="I31"/>
  <c r="I37"/>
  <c r="H56"/>
  <c r="H62"/>
  <c r="H65"/>
  <c r="I66"/>
  <c r="I68"/>
  <c r="I70"/>
  <c r="I74"/>
  <c r="I41"/>
  <c r="I45"/>
  <c r="I47"/>
  <c r="I49"/>
  <c r="I51"/>
  <c r="I62"/>
  <c r="H32" i="26"/>
  <c r="H16"/>
  <c r="E88" i="24"/>
  <c r="F87"/>
  <c r="I87" s="1"/>
  <c r="H87" s="1"/>
  <c r="H85"/>
  <c r="H83"/>
  <c r="H81" s="1"/>
  <c r="F81"/>
  <c r="H80"/>
  <c r="H79" s="1"/>
  <c r="F79"/>
  <c r="H78"/>
  <c r="F77"/>
  <c r="I75"/>
  <c r="H75" s="1"/>
  <c r="F75"/>
  <c r="H74"/>
  <c r="F74"/>
  <c r="I72"/>
  <c r="H72"/>
  <c r="F71"/>
  <c r="I71" s="1"/>
  <c r="H71" s="1"/>
  <c r="F70"/>
  <c r="H70" s="1"/>
  <c r="F69"/>
  <c r="I69" s="1"/>
  <c r="H69" s="1"/>
  <c r="F68"/>
  <c r="H68" s="1"/>
  <c r="F67"/>
  <c r="I67" s="1"/>
  <c r="H67" s="1"/>
  <c r="F66"/>
  <c r="H66" s="1"/>
  <c r="F65"/>
  <c r="F64"/>
  <c r="H77" l="1"/>
  <c r="H84" i="25"/>
  <c r="H64" i="24"/>
  <c r="H65"/>
  <c r="I66"/>
  <c r="I68"/>
  <c r="I70"/>
  <c r="I74"/>
  <c r="F62"/>
  <c r="F61"/>
  <c r="H59"/>
  <c r="I58"/>
  <c r="F57"/>
  <c r="I57" s="1"/>
  <c r="H57" s="1"/>
  <c r="I56"/>
  <c r="F56"/>
  <c r="F53"/>
  <c r="I53" s="1"/>
  <c r="H53" s="1"/>
  <c r="I52"/>
  <c r="H52"/>
  <c r="H51"/>
  <c r="F51"/>
  <c r="I50"/>
  <c r="H50" s="1"/>
  <c r="F50"/>
  <c r="F49"/>
  <c r="H49" s="1"/>
  <c r="F48"/>
  <c r="I48" s="1"/>
  <c r="H48" s="1"/>
  <c r="H47"/>
  <c r="F47"/>
  <c r="F46"/>
  <c r="I46" s="1"/>
  <c r="H46" s="1"/>
  <c r="F45"/>
  <c r="H45" s="1"/>
  <c r="I43"/>
  <c r="H43" s="1"/>
  <c r="F43"/>
  <c r="I42"/>
  <c r="H42"/>
  <c r="H41"/>
  <c r="F41"/>
  <c r="F40"/>
  <c r="I40" s="1"/>
  <c r="H40" s="1"/>
  <c r="H39"/>
  <c r="F38"/>
  <c r="F37"/>
  <c r="H37" s="1"/>
  <c r="I36"/>
  <c r="H36"/>
  <c r="H34"/>
  <c r="H33"/>
  <c r="F32"/>
  <c r="F31"/>
  <c r="H31" s="1"/>
  <c r="F30"/>
  <c r="F29"/>
  <c r="H29" s="1"/>
  <c r="F26"/>
  <c r="F25"/>
  <c r="F24"/>
  <c r="F23"/>
  <c r="F22"/>
  <c r="F21"/>
  <c r="H21" s="1"/>
  <c r="F20"/>
  <c r="F19"/>
  <c r="E18"/>
  <c r="F17"/>
  <c r="F16"/>
  <c r="H16" s="1"/>
  <c r="H61" l="1"/>
  <c r="I17"/>
  <c r="H19"/>
  <c r="H23"/>
  <c r="H25"/>
  <c r="I29"/>
  <c r="I31"/>
  <c r="I37"/>
  <c r="I62"/>
  <c r="I21"/>
  <c r="I16"/>
  <c r="I20"/>
  <c r="H20" s="1"/>
  <c r="H22"/>
  <c r="H24"/>
  <c r="I26"/>
  <c r="H26" s="1"/>
  <c r="I30"/>
  <c r="H30" s="1"/>
  <c r="I32"/>
  <c r="H32" s="1"/>
  <c r="I38"/>
  <c r="H38" s="1"/>
  <c r="I41"/>
  <c r="I45"/>
  <c r="I47"/>
  <c r="I49"/>
  <c r="I51"/>
  <c r="H62"/>
  <c r="H56"/>
  <c r="H84" l="1"/>
  <c r="E88" i="23"/>
  <c r="F87"/>
  <c r="H87" s="1"/>
  <c r="H85"/>
  <c r="H83"/>
  <c r="F81"/>
  <c r="H80"/>
  <c r="F79"/>
  <c r="H79" s="1"/>
  <c r="H78"/>
  <c r="H77" s="1"/>
  <c r="F77"/>
  <c r="H75"/>
  <c r="F75"/>
  <c r="F74"/>
  <c r="I74" s="1"/>
  <c r="H74" s="1"/>
  <c r="I72"/>
  <c r="H72"/>
  <c r="F71"/>
  <c r="H71" s="1"/>
  <c r="I70"/>
  <c r="H70" s="1"/>
  <c r="F70"/>
  <c r="F69"/>
  <c r="H69" s="1"/>
  <c r="F68"/>
  <c r="I68" s="1"/>
  <c r="H68" s="1"/>
  <c r="F67"/>
  <c r="H67" s="1"/>
  <c r="F66"/>
  <c r="I66" s="1"/>
  <c r="F65"/>
  <c r="F64"/>
  <c r="F62"/>
  <c r="H61" s="1"/>
  <c r="F61"/>
  <c r="H59"/>
  <c r="I58"/>
  <c r="F57"/>
  <c r="H57" s="1"/>
  <c r="I56"/>
  <c r="H56" s="1"/>
  <c r="F56"/>
  <c r="H53"/>
  <c r="F53"/>
  <c r="I52"/>
  <c r="H52"/>
  <c r="F51"/>
  <c r="I51" s="1"/>
  <c r="H51" s="1"/>
  <c r="F50"/>
  <c r="H50" s="1"/>
  <c r="F49"/>
  <c r="I49" s="1"/>
  <c r="H49" s="1"/>
  <c r="F48"/>
  <c r="H48" s="1"/>
  <c r="F47"/>
  <c r="I47" s="1"/>
  <c r="H47" s="1"/>
  <c r="F46"/>
  <c r="H46" s="1"/>
  <c r="F45"/>
  <c r="I45" s="1"/>
  <c r="H45" s="1"/>
  <c r="H43"/>
  <c r="F43"/>
  <c r="I42"/>
  <c r="H42"/>
  <c r="F41"/>
  <c r="I41" s="1"/>
  <c r="H41" s="1"/>
  <c r="F40"/>
  <c r="H40" s="1"/>
  <c r="H39"/>
  <c r="F38"/>
  <c r="H38" s="1"/>
  <c r="F37"/>
  <c r="I37" s="1"/>
  <c r="H37" s="1"/>
  <c r="I36"/>
  <c r="H36"/>
  <c r="H34"/>
  <c r="H33"/>
  <c r="H66" l="1"/>
  <c r="I38"/>
  <c r="I40"/>
  <c r="I43"/>
  <c r="I46"/>
  <c r="I48"/>
  <c r="I50"/>
  <c r="I53"/>
  <c r="I57"/>
  <c r="I62"/>
  <c r="H62" s="1"/>
  <c r="H64"/>
  <c r="H65"/>
  <c r="I67"/>
  <c r="I69"/>
  <c r="I71"/>
  <c r="I75"/>
  <c r="H81"/>
  <c r="I32"/>
  <c r="I87"/>
  <c r="H32"/>
  <c r="F32"/>
  <c r="I31"/>
  <c r="H31" s="1"/>
  <c r="F31"/>
  <c r="F30"/>
  <c r="H30" s="1"/>
  <c r="I29"/>
  <c r="H29" s="1"/>
  <c r="F29"/>
  <c r="F26"/>
  <c r="I26" s="1"/>
  <c r="H26" s="1"/>
  <c r="H24"/>
  <c r="H21"/>
  <c r="H20"/>
  <c r="F19"/>
  <c r="E18"/>
  <c r="F17"/>
  <c r="H22" l="1"/>
  <c r="H84"/>
  <c r="I17"/>
  <c r="H19"/>
  <c r="H23"/>
  <c r="H25"/>
  <c r="I30"/>
  <c r="F16"/>
  <c r="I16" s="1"/>
  <c r="H16" l="1"/>
  <c r="E88" i="22"/>
  <c r="F87"/>
  <c r="H87" s="1"/>
  <c r="H85"/>
  <c r="H83"/>
  <c r="F81"/>
  <c r="H80"/>
  <c r="F79"/>
  <c r="H78"/>
  <c r="F77"/>
  <c r="H75"/>
  <c r="F75"/>
  <c r="F74"/>
  <c r="I74" s="1"/>
  <c r="H74" s="1"/>
  <c r="I72"/>
  <c r="H72"/>
  <c r="F71"/>
  <c r="H71" s="1"/>
  <c r="I70"/>
  <c r="H70" s="1"/>
  <c r="H69"/>
  <c r="I68"/>
  <c r="H68" s="1"/>
  <c r="H67"/>
  <c r="F65"/>
  <c r="F64"/>
  <c r="H64" s="1"/>
  <c r="F62"/>
  <c r="F61"/>
  <c r="H59"/>
  <c r="I58"/>
  <c r="F57"/>
  <c r="H57" s="1"/>
  <c r="I56"/>
  <c r="F56"/>
  <c r="F53"/>
  <c r="H53" s="1"/>
  <c r="I52"/>
  <c r="H52"/>
  <c r="F51"/>
  <c r="I51" s="1"/>
  <c r="H51" s="1"/>
  <c r="F50"/>
  <c r="H50" s="1"/>
  <c r="F49"/>
  <c r="I49" s="1"/>
  <c r="H49" s="1"/>
  <c r="F48"/>
  <c r="H48" s="1"/>
  <c r="F47"/>
  <c r="I47" s="1"/>
  <c r="H47" s="1"/>
  <c r="F46"/>
  <c r="H46" s="1"/>
  <c r="F45"/>
  <c r="I45" s="1"/>
  <c r="H45" s="1"/>
  <c r="F43"/>
  <c r="H43" s="1"/>
  <c r="I42"/>
  <c r="H42"/>
  <c r="F41"/>
  <c r="I41" s="1"/>
  <c r="H41" s="1"/>
  <c r="F40"/>
  <c r="H40" s="1"/>
  <c r="H39"/>
  <c r="F38"/>
  <c r="H38" s="1"/>
  <c r="F37"/>
  <c r="I37" s="1"/>
  <c r="H37" s="1"/>
  <c r="I36"/>
  <c r="H36"/>
  <c r="H34"/>
  <c r="H33"/>
  <c r="F32"/>
  <c r="H32" s="1"/>
  <c r="F31"/>
  <c r="F30"/>
  <c r="H30" s="1"/>
  <c r="F29"/>
  <c r="I29" s="1"/>
  <c r="H29" s="1"/>
  <c r="F26"/>
  <c r="I26" s="1"/>
  <c r="F25"/>
  <c r="H25" s="1"/>
  <c r="F24"/>
  <c r="I24" s="1"/>
  <c r="H24" s="1"/>
  <c r="F23"/>
  <c r="H23" s="1"/>
  <c r="F22"/>
  <c r="F21"/>
  <c r="F20"/>
  <c r="I20" s="1"/>
  <c r="F19"/>
  <c r="H19" s="1"/>
  <c r="E18"/>
  <c r="F17"/>
  <c r="F16"/>
  <c r="I16" s="1"/>
  <c r="H16" s="1"/>
  <c r="E88" i="21"/>
  <c r="F87"/>
  <c r="H87" s="1"/>
  <c r="H85"/>
  <c r="H83"/>
  <c r="H81" s="1"/>
  <c r="F81"/>
  <c r="H80"/>
  <c r="H79" s="1"/>
  <c r="F79"/>
  <c r="H78"/>
  <c r="H77" s="1"/>
  <c r="F77"/>
  <c r="F75"/>
  <c r="H75" s="1"/>
  <c r="H74"/>
  <c r="F74"/>
  <c r="I72"/>
  <c r="H72"/>
  <c r="H71"/>
  <c r="F71"/>
  <c r="F70"/>
  <c r="H70" s="1"/>
  <c r="H69"/>
  <c r="F69"/>
  <c r="H68"/>
  <c r="F68"/>
  <c r="H67"/>
  <c r="F67"/>
  <c r="H77" i="22" l="1"/>
  <c r="I32"/>
  <c r="H56"/>
  <c r="H61"/>
  <c r="I30"/>
  <c r="I38"/>
  <c r="H79"/>
  <c r="H81"/>
  <c r="I87"/>
  <c r="H21"/>
  <c r="I21"/>
  <c r="I17"/>
  <c r="I31"/>
  <c r="H31" s="1"/>
  <c r="I40"/>
  <c r="I43"/>
  <c r="I46"/>
  <c r="I48"/>
  <c r="I50"/>
  <c r="I53"/>
  <c r="I57"/>
  <c r="I62"/>
  <c r="H62" s="1"/>
  <c r="I75"/>
  <c r="H65"/>
  <c r="I66"/>
  <c r="H66" s="1"/>
  <c r="I67"/>
  <c r="I69"/>
  <c r="I71"/>
  <c r="H26"/>
  <c r="I19"/>
  <c r="H20"/>
  <c r="I22"/>
  <c r="H22" s="1"/>
  <c r="I23"/>
  <c r="I25"/>
  <c r="I87" i="21"/>
  <c r="I67"/>
  <c r="I68"/>
  <c r="I69"/>
  <c r="I70"/>
  <c r="I71"/>
  <c r="I74"/>
  <c r="I75"/>
  <c r="H66"/>
  <c r="F66"/>
  <c r="I66" s="1"/>
  <c r="F65"/>
  <c r="I64"/>
  <c r="F64"/>
  <c r="F62"/>
  <c r="F61"/>
  <c r="H59"/>
  <c r="I58"/>
  <c r="F57"/>
  <c r="H57" s="1"/>
  <c r="I56"/>
  <c r="F56"/>
  <c r="F53"/>
  <c r="H53" s="1"/>
  <c r="I52"/>
  <c r="H52"/>
  <c r="I51"/>
  <c r="H51" s="1"/>
  <c r="F51"/>
  <c r="H50"/>
  <c r="F50"/>
  <c r="I49"/>
  <c r="H49" s="1"/>
  <c r="F49"/>
  <c r="H48"/>
  <c r="F48"/>
  <c r="I47"/>
  <c r="H47" s="1"/>
  <c r="F47"/>
  <c r="H46"/>
  <c r="F46"/>
  <c r="I45"/>
  <c r="H45" s="1"/>
  <c r="F45"/>
  <c r="H43"/>
  <c r="F43"/>
  <c r="I42"/>
  <c r="H42"/>
  <c r="H41"/>
  <c r="F41"/>
  <c r="H40"/>
  <c r="F40"/>
  <c r="H39"/>
  <c r="F38"/>
  <c r="H38" s="1"/>
  <c r="F37"/>
  <c r="H37" s="1"/>
  <c r="I36"/>
  <c r="H36"/>
  <c r="H34"/>
  <c r="H33"/>
  <c r="F32"/>
  <c r="H32" s="1"/>
  <c r="F31"/>
  <c r="H31" s="1"/>
  <c r="F30"/>
  <c r="H30" s="1"/>
  <c r="F29"/>
  <c r="H29" s="1"/>
  <c r="F26"/>
  <c r="I26" s="1"/>
  <c r="F25"/>
  <c r="H25" s="1"/>
  <c r="F24"/>
  <c r="F23"/>
  <c r="H23" s="1"/>
  <c r="F22"/>
  <c r="F21"/>
  <c r="F20"/>
  <c r="F19"/>
  <c r="H19" s="1"/>
  <c r="E18"/>
  <c r="F17"/>
  <c r="F16"/>
  <c r="I16" s="1"/>
  <c r="H16" s="1"/>
  <c r="I17" l="1"/>
  <c r="I19"/>
  <c r="H56"/>
  <c r="H61"/>
  <c r="H26"/>
  <c r="H84" i="22"/>
  <c r="I40" i="21"/>
  <c r="I41"/>
  <c r="I43"/>
  <c r="I46"/>
  <c r="I48"/>
  <c r="I50"/>
  <c r="I53"/>
  <c r="I57"/>
  <c r="H62"/>
  <c r="H65"/>
  <c r="I29"/>
  <c r="I30"/>
  <c r="I31"/>
  <c r="I32"/>
  <c r="I37"/>
  <c r="I38"/>
  <c r="I62"/>
  <c r="H64"/>
  <c r="I20"/>
  <c r="I21"/>
  <c r="I23"/>
  <c r="I25"/>
  <c r="H20"/>
  <c r="H21"/>
  <c r="I22"/>
  <c r="H22" s="1"/>
  <c r="I24"/>
  <c r="H24" s="1"/>
  <c r="E89" i="20"/>
  <c r="F88"/>
  <c r="H88" s="1"/>
  <c r="H86"/>
  <c r="H84"/>
  <c r="F82"/>
  <c r="H81"/>
  <c r="F80"/>
  <c r="H79"/>
  <c r="I78"/>
  <c r="F78"/>
  <c r="F76"/>
  <c r="H76" s="1"/>
  <c r="F75"/>
  <c r="I75" s="1"/>
  <c r="H75" s="1"/>
  <c r="I73"/>
  <c r="H73"/>
  <c r="F72"/>
  <c r="H72" s="1"/>
  <c r="F71"/>
  <c r="I71" s="1"/>
  <c r="H71" s="1"/>
  <c r="F70"/>
  <c r="H70" s="1"/>
  <c r="F69"/>
  <c r="I69" s="1"/>
  <c r="H69" s="1"/>
  <c r="F68"/>
  <c r="H68" s="1"/>
  <c r="F67"/>
  <c r="F66"/>
  <c r="F65"/>
  <c r="H65" s="1"/>
  <c r="F63"/>
  <c r="I63" s="1"/>
  <c r="H63" s="1"/>
  <c r="F62"/>
  <c r="H60"/>
  <c r="I59"/>
  <c r="F58"/>
  <c r="H58" s="1"/>
  <c r="F57"/>
  <c r="F54"/>
  <c r="H54" s="1"/>
  <c r="I53"/>
  <c r="H53"/>
  <c r="F52"/>
  <c r="I52" s="1"/>
  <c r="H52" s="1"/>
  <c r="F51"/>
  <c r="H51" s="1"/>
  <c r="F50"/>
  <c r="I50" s="1"/>
  <c r="H50" s="1"/>
  <c r="F49"/>
  <c r="H49" s="1"/>
  <c r="F48"/>
  <c r="I48" s="1"/>
  <c r="H48" s="1"/>
  <c r="F47"/>
  <c r="H47" s="1"/>
  <c r="F46"/>
  <c r="F44"/>
  <c r="H44" s="1"/>
  <c r="I43"/>
  <c r="H43"/>
  <c r="F42"/>
  <c r="F41"/>
  <c r="H41" s="1"/>
  <c r="H40"/>
  <c r="I44" l="1"/>
  <c r="H84" i="21"/>
  <c r="H80" i="20"/>
  <c r="H82"/>
  <c r="H66"/>
  <c r="I41"/>
  <c r="I46"/>
  <c r="H46" s="1"/>
  <c r="H57"/>
  <c r="H62"/>
  <c r="I67"/>
  <c r="H67" s="1"/>
  <c r="H78"/>
  <c r="I47"/>
  <c r="I49"/>
  <c r="I51"/>
  <c r="I54"/>
  <c r="I58"/>
  <c r="I68"/>
  <c r="I70"/>
  <c r="I72"/>
  <c r="I76"/>
  <c r="I88"/>
  <c r="I42"/>
  <c r="H42" s="1"/>
  <c r="H39"/>
  <c r="F39"/>
  <c r="I39" s="1"/>
  <c r="I38"/>
  <c r="H38" s="1"/>
  <c r="F38"/>
  <c r="I37"/>
  <c r="H37"/>
  <c r="H35"/>
  <c r="H34"/>
  <c r="H33"/>
  <c r="F33"/>
  <c r="E33"/>
  <c r="F32"/>
  <c r="H32" s="1"/>
  <c r="F31"/>
  <c r="F30"/>
  <c r="H30" s="1"/>
  <c r="F29"/>
  <c r="I29" s="1"/>
  <c r="H29" s="1"/>
  <c r="F26"/>
  <c r="F25"/>
  <c r="F24"/>
  <c r="F23"/>
  <c r="F22"/>
  <c r="F21"/>
  <c r="H21" s="1"/>
  <c r="F20"/>
  <c r="F19"/>
  <c r="E18"/>
  <c r="F17"/>
  <c r="F16"/>
  <c r="H16" s="1"/>
  <c r="H85" l="1"/>
  <c r="I17"/>
  <c r="H19"/>
  <c r="H23"/>
  <c r="H25"/>
  <c r="I30"/>
  <c r="I32"/>
  <c r="I21"/>
  <c r="I16"/>
  <c r="I20"/>
  <c r="H20" s="1"/>
  <c r="H22"/>
  <c r="H24"/>
  <c r="I26"/>
  <c r="I31"/>
  <c r="H31" s="1"/>
  <c r="I33"/>
  <c r="H26" l="1"/>
  <c r="I89" i="19"/>
  <c r="H89" l="1"/>
  <c r="E89"/>
  <c r="F88"/>
  <c r="H88" s="1"/>
  <c r="H86"/>
  <c r="H84"/>
  <c r="F82"/>
  <c r="H81"/>
  <c r="H80" s="1"/>
  <c r="F80"/>
  <c r="H79"/>
  <c r="I78"/>
  <c r="F78"/>
  <c r="F76"/>
  <c r="I76" s="1"/>
  <c r="F75"/>
  <c r="H75" s="1"/>
  <c r="I73"/>
  <c r="H73"/>
  <c r="F72"/>
  <c r="I72" s="1"/>
  <c r="F71"/>
  <c r="H71" s="1"/>
  <c r="F70"/>
  <c r="I70" s="1"/>
  <c r="F69"/>
  <c r="H69" s="1"/>
  <c r="F68"/>
  <c r="I68" s="1"/>
  <c r="F67"/>
  <c r="F66"/>
  <c r="F65"/>
  <c r="H65" s="1"/>
  <c r="F63"/>
  <c r="F62"/>
  <c r="I62" s="1"/>
  <c r="H60"/>
  <c r="I59"/>
  <c r="F58"/>
  <c r="H58" s="1"/>
  <c r="F57"/>
  <c r="F54"/>
  <c r="I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H44" s="1"/>
  <c r="H49" l="1"/>
  <c r="H54"/>
  <c r="H47"/>
  <c r="H51"/>
  <c r="H76"/>
  <c r="H82"/>
  <c r="H66"/>
  <c r="H68"/>
  <c r="H72"/>
  <c r="H70"/>
  <c r="H62"/>
  <c r="I46"/>
  <c r="I50"/>
  <c r="I52"/>
  <c r="I63"/>
  <c r="I67"/>
  <c r="I69"/>
  <c r="I71"/>
  <c r="I75"/>
  <c r="I88"/>
  <c r="I48"/>
  <c r="H57"/>
  <c r="H63"/>
  <c r="H67"/>
  <c r="H78"/>
  <c r="I58"/>
  <c r="H43"/>
  <c r="H85" l="1"/>
  <c r="F42"/>
  <c r="I42" s="1"/>
  <c r="F41"/>
  <c r="I41" s="1"/>
  <c r="H40"/>
  <c r="H39"/>
  <c r="F39"/>
  <c r="I39" s="1"/>
  <c r="F38"/>
  <c r="H38" s="1"/>
  <c r="H37"/>
  <c r="H35"/>
  <c r="H34"/>
  <c r="H33"/>
  <c r="F33"/>
  <c r="E33"/>
  <c r="F32"/>
  <c r="I32" s="1"/>
  <c r="H32" s="1"/>
  <c r="F31"/>
  <c r="I31" s="1"/>
  <c r="H31" s="1"/>
  <c r="F30"/>
  <c r="I30" s="1"/>
  <c r="H30" s="1"/>
  <c r="F29"/>
  <c r="I29" s="1"/>
  <c r="H29" s="1"/>
  <c r="F26"/>
  <c r="F25"/>
  <c r="F24"/>
  <c r="F23"/>
  <c r="F22"/>
  <c r="F21"/>
  <c r="I21" s="1"/>
  <c r="H21" s="1"/>
  <c r="H23" l="1"/>
  <c r="H25"/>
  <c r="H41"/>
  <c r="I38"/>
  <c r="H22"/>
  <c r="H24"/>
  <c r="I26"/>
  <c r="I33"/>
  <c r="H42"/>
  <c r="F20"/>
  <c r="H19" s="1"/>
  <c r="F19"/>
  <c r="E18"/>
  <c r="I17" s="1"/>
  <c r="F17"/>
  <c r="H16"/>
  <c r="F16"/>
  <c r="H26" l="1"/>
  <c r="I16"/>
  <c r="I20"/>
  <c r="H20" s="1"/>
  <c r="I88" i="18" l="1"/>
  <c r="H88"/>
  <c r="E88"/>
  <c r="H87"/>
  <c r="F87"/>
  <c r="I87" s="1"/>
  <c r="H85"/>
  <c r="H83"/>
  <c r="I81"/>
  <c r="F81"/>
  <c r="H80"/>
  <c r="H79" s="1"/>
  <c r="F79"/>
  <c r="I78"/>
  <c r="F78"/>
  <c r="F76"/>
  <c r="I74"/>
  <c r="F73"/>
  <c r="H73" s="1"/>
  <c r="F72"/>
  <c r="I72" s="1"/>
  <c r="H72" s="1"/>
  <c r="F71"/>
  <c r="H71" s="1"/>
  <c r="F70"/>
  <c r="I70" s="1"/>
  <c r="H70" s="1"/>
  <c r="F69"/>
  <c r="H69" s="1"/>
  <c r="F68"/>
  <c r="I68" s="1"/>
  <c r="H68" s="1"/>
  <c r="H67"/>
  <c r="F66"/>
  <c r="H66" s="1"/>
  <c r="F64"/>
  <c r="F63"/>
  <c r="F60"/>
  <c r="H60" s="1"/>
  <c r="F59"/>
  <c r="H59" s="1"/>
  <c r="I56"/>
  <c r="F56"/>
  <c r="H55"/>
  <c r="F54"/>
  <c r="F53"/>
  <c r="I53" s="1"/>
  <c r="F52"/>
  <c r="H52" s="1"/>
  <c r="F51"/>
  <c r="H50" s="1"/>
  <c r="F50"/>
  <c r="F49"/>
  <c r="H48" s="1"/>
  <c r="F48"/>
  <c r="I46"/>
  <c r="F46"/>
  <c r="H45"/>
  <c r="H63" l="1"/>
  <c r="H54"/>
  <c r="H56"/>
  <c r="H49"/>
  <c r="H51"/>
  <c r="I52"/>
  <c r="H53"/>
  <c r="H64"/>
  <c r="I64"/>
  <c r="I69"/>
  <c r="I71"/>
  <c r="I73"/>
  <c r="I76"/>
  <c r="I59"/>
  <c r="F44"/>
  <c r="I44" s="1"/>
  <c r="F43"/>
  <c r="I43" s="1"/>
  <c r="F42"/>
  <c r="H42" s="1"/>
  <c r="F41"/>
  <c r="H41" s="1"/>
  <c r="F40"/>
  <c r="I40" s="1"/>
  <c r="H39"/>
  <c r="F37"/>
  <c r="H36"/>
  <c r="H35"/>
  <c r="H34"/>
  <c r="F34"/>
  <c r="F33"/>
  <c r="I33" s="1"/>
  <c r="H33" s="1"/>
  <c r="F32"/>
  <c r="H32" s="1"/>
  <c r="F31"/>
  <c r="I31" s="1"/>
  <c r="H31" s="1"/>
  <c r="F30"/>
  <c r="H30" s="1"/>
  <c r="F27"/>
  <c r="I27" s="1"/>
  <c r="H27" s="1"/>
  <c r="F26"/>
  <c r="F25"/>
  <c r="F24"/>
  <c r="F23"/>
  <c r="F22"/>
  <c r="F21"/>
  <c r="H21" s="1"/>
  <c r="F20"/>
  <c r="F19"/>
  <c r="E18"/>
  <c r="F17"/>
  <c r="F16"/>
  <c r="H16" s="1"/>
  <c r="I17" l="1"/>
  <c r="H19"/>
  <c r="H23"/>
  <c r="H25"/>
  <c r="H37"/>
  <c r="H40"/>
  <c r="H43"/>
  <c r="I42"/>
  <c r="I21"/>
  <c r="I16"/>
  <c r="I20"/>
  <c r="H20" s="1"/>
  <c r="H22"/>
  <c r="H24"/>
  <c r="H26"/>
  <c r="I30"/>
  <c r="I32"/>
  <c r="I34"/>
  <c r="H44"/>
  <c r="H97" i="17"/>
  <c r="H96"/>
  <c r="I89"/>
  <c r="H89"/>
  <c r="E89"/>
  <c r="F88"/>
  <c r="H88" s="1"/>
  <c r="I86"/>
  <c r="F86"/>
  <c r="F84"/>
  <c r="I84" s="1"/>
  <c r="H82"/>
  <c r="H80"/>
  <c r="H78"/>
  <c r="I88" l="1"/>
  <c r="I77"/>
  <c r="F77"/>
  <c r="I74"/>
  <c r="F73"/>
  <c r="I73" s="1"/>
  <c r="H73" s="1"/>
  <c r="F72"/>
  <c r="I72" s="1"/>
  <c r="H72" s="1"/>
  <c r="F71"/>
  <c r="I71" s="1"/>
  <c r="H71" s="1"/>
  <c r="F70"/>
  <c r="I70" s="1"/>
  <c r="H70" s="1"/>
  <c r="F69"/>
  <c r="I69" s="1"/>
  <c r="H69" s="1"/>
  <c r="F68"/>
  <c r="I68" s="1"/>
  <c r="H68" s="1"/>
  <c r="H67"/>
  <c r="H66"/>
  <c r="I64"/>
  <c r="H64" s="1"/>
  <c r="F64"/>
  <c r="F63"/>
  <c r="F60"/>
  <c r="I60" s="1"/>
  <c r="F59"/>
  <c r="I56"/>
  <c r="F56"/>
  <c r="H56" s="1"/>
  <c r="H55"/>
  <c r="F54"/>
  <c r="H53" s="1"/>
  <c r="F53"/>
  <c r="F52"/>
  <c r="H51" s="1"/>
  <c r="F51"/>
  <c r="F50"/>
  <c r="H49" s="1"/>
  <c r="F49"/>
  <c r="F48"/>
  <c r="F46"/>
  <c r="I46" s="1"/>
  <c r="H60" l="1"/>
  <c r="H48"/>
  <c r="H50"/>
  <c r="H52"/>
  <c r="H54"/>
  <c r="H59"/>
  <c r="H63"/>
  <c r="H77"/>
  <c r="I52"/>
  <c r="I45"/>
  <c r="H45"/>
  <c r="F44"/>
  <c r="I44" s="1"/>
  <c r="F43"/>
  <c r="I43" s="1"/>
  <c r="I42"/>
  <c r="H42"/>
  <c r="F41"/>
  <c r="I41" s="1"/>
  <c r="H40"/>
  <c r="F40"/>
  <c r="I40" s="1"/>
  <c r="H39"/>
  <c r="H37" s="1"/>
  <c r="F37"/>
  <c r="H36"/>
  <c r="H35"/>
  <c r="H34"/>
  <c r="F34"/>
  <c r="I33"/>
  <c r="H33" s="1"/>
  <c r="F33"/>
  <c r="I32"/>
  <c r="H32" s="1"/>
  <c r="F32"/>
  <c r="I31"/>
  <c r="H31" s="1"/>
  <c r="F31"/>
  <c r="I30"/>
  <c r="H30" s="1"/>
  <c r="F30"/>
  <c r="F27"/>
  <c r="H26" s="1"/>
  <c r="F26"/>
  <c r="F25"/>
  <c r="H24" s="1"/>
  <c r="F24"/>
  <c r="F23"/>
  <c r="H22" s="1"/>
  <c r="F22"/>
  <c r="F21"/>
  <c r="H21" s="1"/>
  <c r="F20"/>
  <c r="H20" s="1"/>
  <c r="F19"/>
  <c r="E18"/>
  <c r="F17"/>
  <c r="I17" s="1"/>
  <c r="F16"/>
  <c r="H16" s="1"/>
  <c r="H43" l="1"/>
  <c r="I16"/>
  <c r="I21"/>
  <c r="H19"/>
  <c r="I20"/>
  <c r="H23"/>
  <c r="H25"/>
  <c r="H27"/>
  <c r="I34"/>
  <c r="H41"/>
  <c r="H44"/>
  <c r="I27"/>
  <c r="F18" i="26"/>
  <c r="I18" s="1"/>
  <c r="F79"/>
  <c r="H79" s="1"/>
  <c r="I79" l="1"/>
  <c r="I97" s="1"/>
  <c r="H18"/>
  <c r="F90" i="27"/>
  <c r="H90" s="1"/>
  <c r="I90" l="1"/>
  <c r="F90" i="28"/>
  <c r="H90" s="1"/>
  <c r="I113" i="27" l="1"/>
  <c r="I90" i="28"/>
  <c r="I106" s="1"/>
  <c r="F18" i="17"/>
  <c r="H18" s="1"/>
  <c r="I18" l="1"/>
  <c r="F18" i="18"/>
  <c r="I18" s="1"/>
  <c r="I90" i="17" l="1"/>
  <c r="I101" s="1"/>
  <c r="I107" i="18"/>
  <c r="I89"/>
  <c r="H18"/>
  <c r="F18" i="19"/>
  <c r="H18" s="1"/>
  <c r="I18" l="1"/>
  <c r="I110" s="1"/>
  <c r="F89" i="20"/>
  <c r="H89" s="1"/>
  <c r="F18"/>
  <c r="H18" s="1"/>
  <c r="I89" l="1"/>
  <c r="I90" s="1"/>
  <c r="I99" s="1"/>
  <c r="I18"/>
  <c r="F88" i="21"/>
  <c r="I88" s="1"/>
  <c r="F18"/>
  <c r="I18" s="1"/>
  <c r="I89" l="1"/>
  <c r="I100" s="1"/>
  <c r="H88"/>
  <c r="H18"/>
  <c r="F18" i="22"/>
  <c r="I18" s="1"/>
  <c r="F88"/>
  <c r="I88" s="1"/>
  <c r="I89" l="1"/>
  <c r="I103" s="1"/>
  <c r="H18"/>
  <c r="H88"/>
  <c r="F18" i="23" l="1"/>
  <c r="I18" s="1"/>
  <c r="F88"/>
  <c r="H88" s="1"/>
  <c r="H18" l="1"/>
  <c r="I88"/>
  <c r="I110" s="1"/>
  <c r="F88" i="24"/>
  <c r="I88" s="1"/>
  <c r="F18"/>
  <c r="I18" s="1"/>
  <c r="I96" l="1"/>
  <c r="H18"/>
  <c r="H88"/>
  <c r="F18" i="25"/>
  <c r="I18" s="1"/>
  <c r="F88"/>
  <c r="H88" s="1"/>
  <c r="I88" l="1"/>
  <c r="I102" s="1"/>
  <c r="H18"/>
</calcChain>
</file>

<file path=xl/sharedStrings.xml><?xml version="1.0" encoding="utf-8"?>
<sst xmlns="http://schemas.openxmlformats.org/spreadsheetml/2006/main" count="3027" uniqueCount="388">
  <si>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</si>
  <si>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</si>
  <si>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</si>
  <si>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</si>
  <si>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</si>
  <si>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</si>
  <si>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</si>
  <si>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</si>
  <si>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</si>
  <si>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</si>
  <si>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</si>
  <si>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</si>
  <si>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</si>
  <si>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</si>
  <si>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</si>
  <si>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</si>
  <si>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</si>
  <si>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</si>
  <si>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</si>
  <si>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</si>
  <si>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</si>
  <si>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</si>
  <si>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</si>
  <si>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</si>
  <si>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</si>
  <si>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</si>
  <si>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</si>
  <si>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</si>
  <si>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</si>
  <si>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</si>
  <si>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</si>
  <si>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</si>
  <si>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</si>
  <si>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</si>
  <si>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</si>
  <si>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</si>
  <si>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</si>
  <si>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</si>
  <si>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</si>
  <si>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</si>
  <si>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</si>
  <si>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</si>
  <si>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</si>
  <si>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</si>
  <si>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</si>
  <si>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</si>
  <si>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</si>
  <si>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</si>
  <si>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</si>
  <si>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</si>
  <si>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</si>
  <si>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</si>
  <si>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</si>
  <si>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</si>
  <si>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</si>
  <si>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</si>
  <si>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</si>
  <si>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</si>
  <si>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</si>
  <si>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</si>
  <si>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</si>
  <si>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</si>
  <si>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</si>
  <si>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</si>
  <si>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</si>
  <si>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</si>
  <si>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</si>
  <si>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</si>
  <si>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</si>
  <si>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</si>
  <si>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</si>
  <si>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</si>
  <si>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</si>
  <si>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</si>
  <si>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</si>
  <si>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</si>
  <si>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</si>
  <si>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</si>
  <si>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</si>
  <si>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</si>
  <si>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</si>
  <si>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</si>
  <si>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</si>
  <si>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</si>
  <si>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</si>
  <si>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</si>
  <si>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</si>
  <si>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</si>
  <si>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</si>
  <si>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</si>
  <si>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</si>
  <si>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</si>
  <si>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</si>
  <si>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</si>
  <si>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</si>
  <si>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</si>
  <si>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</si>
  <si>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</si>
  <si>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</si>
  <si>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</si>
  <si>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</si>
  <si>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</si>
  <si>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</si>
  <si>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</si>
  <si>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</si>
  <si>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</si>
  <si>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</si>
  <si>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</si>
  <si>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</si>
  <si>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</si>
  <si>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</si>
  <si>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</si>
  <si>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</si>
  <si>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</si>
  <si>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</si>
  <si>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</si>
  <si>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</si>
  <si>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</si>
  <si>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</si>
  <si>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</si>
  <si>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</si>
  <si>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</si>
  <si>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</si>
  <si>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</si>
  <si>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</si>
  <si>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</si>
  <si>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</si>
  <si>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</si>
  <si>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</si>
  <si>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</si>
  <si>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Спуск воды после промывки СО в канализацию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</si>
  <si>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</si>
  <si>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</si>
  <si>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</si>
  <si>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</si>
  <si>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</si>
  <si>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155 раз в год</t>
  </si>
  <si>
    <t>Дополнительная подборка мусора</t>
  </si>
  <si>
    <t>Установка хомута диаметром до 50 мм</t>
  </si>
  <si>
    <t xml:space="preserve">Уплотнение сгонов с применением льняной пряди или асбестового шнура (без разборки сгонов)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</si>
  <si>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</si>
  <si>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</si>
  <si>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</si>
  <si>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</si>
  <si>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</si>
  <si>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</si>
  <si>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</si>
  <si>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t>Итого затраты за месяц</t>
  </si>
  <si>
    <t>Очистка канализационной сети внутренней</t>
  </si>
  <si>
    <t xml:space="preserve">155 раз </t>
  </si>
  <si>
    <t>по мере необходимости</t>
  </si>
  <si>
    <t>Очистка вручную от снега и наледи люков каналиационных и водопроводных колодцев</t>
  </si>
  <si>
    <t>2 раза в месяц</t>
  </si>
  <si>
    <t>Очистка водостоков от наледи</t>
  </si>
  <si>
    <t>Работа автовышки</t>
  </si>
  <si>
    <t>Обслуживание общедомового прибора учета тепловой энергии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</si>
  <si>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</si>
  <si>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</si>
  <si>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</si>
  <si>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</si>
  <si>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 (со стоимостью светильника)</t>
  </si>
  <si>
    <t>Смена выключателей</t>
  </si>
  <si>
    <t>10 шт</t>
  </si>
  <si>
    <t>Смена светильника РКУ</t>
  </si>
  <si>
    <t>III. Плановые осмотры</t>
  </si>
  <si>
    <t>Внеплановая проверка вентканалов</t>
  </si>
  <si>
    <t>м</t>
  </si>
  <si>
    <t>АКТ №4</t>
  </si>
  <si>
    <t>АКТ №5</t>
  </si>
  <si>
    <t>АКТ №6</t>
  </si>
  <si>
    <t>ООО «Движение»</t>
  </si>
  <si>
    <t>АКТ №7</t>
  </si>
  <si>
    <t>АКТ №8</t>
  </si>
  <si>
    <t>АКТ №9</t>
  </si>
  <si>
    <t>Смена арматуры - вентилей и клапанов обратных муфтовых диаметром до 20 мм</t>
  </si>
  <si>
    <t>АКТ №10</t>
  </si>
  <si>
    <t>АКТ №11</t>
  </si>
  <si>
    <t>АКТ №12</t>
  </si>
  <si>
    <t>Смена внутренних трубопроводов на полипропиленовые трубы PN 25 Dу 25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</si>
  <si>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</si>
  <si>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</si>
  <si>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</si>
  <si>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</si>
  <si>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</si>
  <si>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</si>
  <si>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</si>
  <si>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</si>
  <si>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</si>
  <si>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7 раз</t>
  </si>
  <si>
    <t xml:space="preserve">2 раза </t>
  </si>
  <si>
    <t>1 раз</t>
  </si>
  <si>
    <t xml:space="preserve">1 раз </t>
  </si>
  <si>
    <t>2 раза</t>
  </si>
  <si>
    <t>подвал</t>
  </si>
  <si>
    <t>19 февраля</t>
  </si>
  <si>
    <t>Осмотр водопроводов, канализации, отопления</t>
  </si>
  <si>
    <t>10, 25 марта</t>
  </si>
  <si>
    <t xml:space="preserve">1 раз  </t>
  </si>
  <si>
    <t xml:space="preserve">1 раз     </t>
  </si>
  <si>
    <t xml:space="preserve">1 раз   </t>
  </si>
  <si>
    <t xml:space="preserve">1 раз    </t>
  </si>
  <si>
    <t>Патрубок компенсационный 110</t>
  </si>
  <si>
    <t>3 шт., р/у</t>
  </si>
  <si>
    <t>2 м/часа</t>
  </si>
  <si>
    <t>4 раза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</si>
  <si>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07.08.2018г.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</si>
  <si>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Смена внутренних трубопроводов на полипропиленовые трубы PN 20 Dу 25</t>
  </si>
  <si>
    <t>час</t>
  </si>
  <si>
    <t>1 час</t>
  </si>
  <si>
    <t>генеральный директор Кочанова И.Л.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</si>
  <si>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07.08.2018г.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</si>
  <si>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1 шт. п/с кв.34</t>
  </si>
  <si>
    <t>генеральный директор Кочановав И.Л.</t>
  </si>
  <si>
    <t>3 раза</t>
  </si>
  <si>
    <t>10 м</t>
  </si>
  <si>
    <t>5 м</t>
  </si>
  <si>
    <t>за период с 01.01.2021 г. по 31.01.2021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</si>
  <si>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27.02.2018г.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</si>
  <si>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2,5 ч ( 21,25,26,28 янв.)</t>
  </si>
  <si>
    <t>Смена дверных приборов - петли</t>
  </si>
  <si>
    <t>Очистка снега с чердака под венткоробом</t>
  </si>
  <si>
    <t>Ремонт и регулировка доводчика (со стоимостью доводчика)</t>
  </si>
  <si>
    <t>1шт.</t>
  </si>
  <si>
    <t>Осмотр ливневки</t>
  </si>
  <si>
    <t>под.№2</t>
  </si>
  <si>
    <t>тамбур под.№2, 1 шт.</t>
  </si>
  <si>
    <t>ВДГО</t>
  </si>
  <si>
    <t>руб</t>
  </si>
  <si>
    <t>2. Всего за период с 01.01.2021 по 31.01.2021 выполнено работ (оказано услуг) на общую сумму: 149774,48 руб.</t>
  </si>
  <si>
    <t>(сто сорок девять тысяч семьсот семьдесят четыре рубля 48 копеек)</t>
  </si>
  <si>
    <t>за период с 01.02.2021 г. по 28.02.2021 г.</t>
  </si>
  <si>
    <t>1 ч ( 1 февр)</t>
  </si>
  <si>
    <t>Смена полипропиленовых канализационных труб ПП 100*2000</t>
  </si>
  <si>
    <t>Отвод 100-90</t>
  </si>
  <si>
    <t>Переход чугун-пластик 110</t>
  </si>
  <si>
    <t>Отогрев ХВС</t>
  </si>
  <si>
    <t>Утепление трубопроводов минеральной ватой УРСА</t>
  </si>
  <si>
    <t>I МЗ</t>
  </si>
  <si>
    <t>Укрепление выхода на чердак</t>
  </si>
  <si>
    <t>Внеплановая проверка дымоходов</t>
  </si>
  <si>
    <t>Очистка огоовков от наледи и снега</t>
  </si>
  <si>
    <t>4м</t>
  </si>
  <si>
    <t>кв.17</t>
  </si>
  <si>
    <t>кв.37.25,17</t>
  </si>
  <si>
    <t>под.№1</t>
  </si>
  <si>
    <t>подвал ХВС</t>
  </si>
  <si>
    <t>кв.31 ХВС</t>
  </si>
  <si>
    <t>подвал 4 м</t>
  </si>
  <si>
    <t>2. Всего за период с 01.02.2021 по 29.02.2021 выполнено работ (оказано услуг) на общую сумму: 125701,04 руб.</t>
  </si>
  <si>
    <t>(сто двадцать пять тысяч семьсот один рубль 04 копейки)</t>
  </si>
  <si>
    <t>за период с 01.03.2021 г. по 31.03.2021 г.</t>
  </si>
  <si>
    <t>2,5,19,22</t>
  </si>
  <si>
    <t>22 марта</t>
  </si>
  <si>
    <t>Смена полипропиленовых канализационных труб ПП 100*1000</t>
  </si>
  <si>
    <t>Смена полипропиленовых канализационных труб ПП 50*1000</t>
  </si>
  <si>
    <t>Манжета 110</t>
  </si>
  <si>
    <t>Тройник 110</t>
  </si>
  <si>
    <t>Крестовина 110</t>
  </si>
  <si>
    <t>Заглушка 110</t>
  </si>
  <si>
    <t>Заглушка 50</t>
  </si>
  <si>
    <t>Смена внутренних трубопроводов на полипропиленовые трубы PN 20 Dу 20</t>
  </si>
  <si>
    <t>Ремонт внутренних трубопроводов и стояков д=до 50 мм</t>
  </si>
  <si>
    <t>Смена ламп ДРЛ</t>
  </si>
  <si>
    <t>3 м кв.83</t>
  </si>
  <si>
    <t>1 м кв.83</t>
  </si>
  <si>
    <t>ГВС кв.38 -1 шт.</t>
  </si>
  <si>
    <t>под.№3</t>
  </si>
  <si>
    <t>под.№ 1 и 3</t>
  </si>
  <si>
    <t>каморка уборщ.</t>
  </si>
  <si>
    <t>ГВС с кв.45 до подвала - 10 м</t>
  </si>
  <si>
    <t>ГВС -2 м с кв.45 до подвала</t>
  </si>
  <si>
    <t>15 м</t>
  </si>
  <si>
    <t>2 м под под.№3</t>
  </si>
  <si>
    <t>за период с 01.04.2021 г. по 30.04.2021 г.</t>
  </si>
  <si>
    <t>91 м3-8 апреля</t>
  </si>
  <si>
    <t xml:space="preserve">Демонтаж осветительных приборов. </t>
  </si>
  <si>
    <t>10шт</t>
  </si>
  <si>
    <t>Смена светодиодного прожектора типа " Кобра"</t>
  </si>
  <si>
    <t>1 шт. ГВС кв.91</t>
  </si>
  <si>
    <t>1шт, под.№ 5 тамбур</t>
  </si>
  <si>
    <t>3 м</t>
  </si>
  <si>
    <t>под.№3 над под.</t>
  </si>
  <si>
    <t>за период с 01.05.2021 г. по 31.05.2021 г.</t>
  </si>
  <si>
    <t>Подборка мусора, налетевшего с контейнерной площадки</t>
  </si>
  <si>
    <t>Установка урн</t>
  </si>
  <si>
    <t>Работа ротенбергера</t>
  </si>
  <si>
    <t>2 шт. у под.№ 2 и 3</t>
  </si>
  <si>
    <t>2 шт. ХВС кв.28</t>
  </si>
  <si>
    <t>2. Всего за период с 01.05.2021 по 31.05.2021 выполнено работ (оказано услуг) на общую сумму: 124592,06 руб.</t>
  </si>
  <si>
    <t>(сто двадцать четыре тысячи пятьсот девяносто два рубля 06 копеек)</t>
  </si>
  <si>
    <t>2. Всего за период с 01.04.2021 по 30.04.2021 выполнено работ (оказано услуг) на общую сумму: 139307,56 руб.</t>
  </si>
  <si>
    <t>(сто трицать девять тысяч триста семь рублей 56 копеек)</t>
  </si>
  <si>
    <t>за период с 01.06.2021 г. по 30.06.2021 г.</t>
  </si>
  <si>
    <t>Очистка канализационного лежака</t>
  </si>
  <si>
    <t>Укепление канализационной трубы</t>
  </si>
  <si>
    <t>Смена арматуры - вентилей и клапанов обратных муфтовых диаметром до 20 мм ( без материалов)</t>
  </si>
  <si>
    <t>Демонтаж кабеля</t>
  </si>
  <si>
    <t>с прибора учета тепл. Энерг</t>
  </si>
  <si>
    <t>1 шт. ГВС кв.50</t>
  </si>
  <si>
    <t>2 м</t>
  </si>
  <si>
    <t>1 шт. ГВС подвал; 1 шт. ХВС кв.16; 1 шт. ХВС подвал</t>
  </si>
  <si>
    <t>16 м</t>
  </si>
  <si>
    <t>Смена арматуры - вентилей и клапанов обратных муфтовых диаметром до 32 мм</t>
  </si>
  <si>
    <t>1 шт. ХВС подвал</t>
  </si>
  <si>
    <t>2. Всего за период с 01.06.2021 по 30.06.2021 выполнено работ (оказано услуг) на общую сумму: 298187,19 руб.</t>
  </si>
  <si>
    <t>( двести девяносто восемь тысяч сто восемьдесят семь рублей 19 копеек)</t>
  </si>
  <si>
    <t>за период с 01.07.2021 г. по 31.07.2021 г.</t>
  </si>
  <si>
    <t>Установка заглушек диаметром трубопроводов до 100 мм</t>
  </si>
  <si>
    <t>заглушка</t>
  </si>
  <si>
    <t>Смена внутренних трубопроводов на полипропиленовые трубы PN 25 Dу 20</t>
  </si>
  <si>
    <t>Перекрытие вентиля</t>
  </si>
  <si>
    <t>кв.20-1 шт.</t>
  </si>
  <si>
    <t>4 м ХВС с кв.28 до 32 ; с/о 0,5 м кв.20</t>
  </si>
  <si>
    <t>ХВС 5 м с 5эт. до 3 эт.</t>
  </si>
  <si>
    <t>ХВС 1 м кв.16</t>
  </si>
  <si>
    <t>1 шт. ХВС кв.29</t>
  </si>
  <si>
    <t>1 шт. ХВС  подвал</t>
  </si>
  <si>
    <t>кв.29</t>
  </si>
  <si>
    <t>1 шт. п/с кв.31</t>
  </si>
  <si>
    <t>подвал под. 5 подъездом-2м</t>
  </si>
  <si>
    <t>4 м</t>
  </si>
  <si>
    <t>10м</t>
  </si>
  <si>
    <t>2 шт. с/о кв.83</t>
  </si>
  <si>
    <t>Подключение и отключение сварочного аппарата/ электрооборудования</t>
  </si>
  <si>
    <t>за период с 01.08.2021 г. по 31.08.2021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</si>
  <si>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07.02.2018г.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</si>
  <si>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Подключение наружного освещения</t>
  </si>
  <si>
    <t>Герметизация межпанельных швов ( с автовышки)</t>
  </si>
  <si>
    <t>14 м/час</t>
  </si>
  <si>
    <t>м.п.</t>
  </si>
  <si>
    <t>10 м.п. кв 29, 10 м.п.-кв. 37</t>
  </si>
  <si>
    <t>2. Всего за период с 01.08.2021 по 31.08.2021 выполнено работ (оказано услуг) на общую сумму: 143169,53 руб.</t>
  </si>
  <si>
    <t>(сто сорок три тысячи сто шестьдесят девять рублей 53 копейки)</t>
  </si>
  <si>
    <t>за период с 01.09.2021 г. по 30.09.2021 г.</t>
  </si>
  <si>
    <t>Нумерация подъездов и квартир</t>
  </si>
  <si>
    <t xml:space="preserve">Герметизация межпанельных швов </t>
  </si>
  <si>
    <t>3 шт. ГВС подвал</t>
  </si>
  <si>
    <t>0,2 м ГВС кв.89</t>
  </si>
  <si>
    <t>1 шт. ГВС кв.70</t>
  </si>
  <si>
    <t>12,5 м.п. кв.24</t>
  </si>
  <si>
    <t>кв.20</t>
  </si>
  <si>
    <t>23 м</t>
  </si>
  <si>
    <t>2. Всего за период с 01.07.2021 по 31.07.2021 выполнено работ (оказано услуг) на общую сумму: 118105,85 руб.</t>
  </si>
  <si>
    <t>(сто восемнадцать тысяч сто пять рублей 85 копеек)</t>
  </si>
  <si>
    <t>2. Всего за период с 01.09.2021 по 30.09.2021 выполнено работ (оказано услуг) на общую сумму: 130461,24 руб.</t>
  </si>
  <si>
    <t>(сто тридцать тысяч четыреста шестьдесят один рубль 24 копейки)</t>
  </si>
  <si>
    <t>2. Всего за период с 01.03.2021 по 31.03.2021 выполнено работ (оказано услуг) на общую сумму: 165177,89 руб.</t>
  </si>
  <si>
    <t>(сто шестьдесят пять тысяч сто семьдесят семь рублей 89 копеек)</t>
  </si>
  <si>
    <t>за период с 01.10.2021 г. по 31.10.2021 г.</t>
  </si>
  <si>
    <t>Смена стекол в деревянных переплетах при площади стекла до 1,0 м2</t>
  </si>
  <si>
    <t>Замена муфты</t>
  </si>
  <si>
    <t>Герметизация стыков трубопроводов</t>
  </si>
  <si>
    <t>1 место</t>
  </si>
  <si>
    <t>Герметик</t>
  </si>
  <si>
    <t>1 шт. ХВС кв.20</t>
  </si>
  <si>
    <t>6 м</t>
  </si>
  <si>
    <t>1 шт. с/о кв.20</t>
  </si>
  <si>
    <t>1 шт. ХВС кв.79; 1 шт. ХВС подвал</t>
  </si>
  <si>
    <t>0,5 м ХВС подвал</t>
  </si>
  <si>
    <t>4 м подвал</t>
  </si>
  <si>
    <t>за период с 01.11.2021 г. по 30.11.2021 г.</t>
  </si>
  <si>
    <t>22,29 ноября</t>
  </si>
  <si>
    <t>10 раз</t>
  </si>
  <si>
    <t>Установка циркуляционного насоса VODOTOK XR S25/6/180</t>
  </si>
  <si>
    <t>Подключение циркуляционного насоса ГВС</t>
  </si>
  <si>
    <t>Муфта 110</t>
  </si>
  <si>
    <t>10 м ГВС с подвала до 3 эт</t>
  </si>
  <si>
    <t>1 м ГВС с подвала до 3 эт.</t>
  </si>
  <si>
    <t>1 м ХВС с подвала до 3 эт.</t>
  </si>
  <si>
    <t>8 м ХВС с подвала до 3 эт.</t>
  </si>
  <si>
    <t xml:space="preserve">1 шт. ГВС кв.58; 1 шт. ГВС кв.23, 1 шт. ХВС кв.23 </t>
  </si>
  <si>
    <t>2 м подвал</t>
  </si>
  <si>
    <t>1 шт. ГВС кв.45; 1 шт. ГВС подвал</t>
  </si>
  <si>
    <t>2. Всего за период с 01.11.2021 по 30.11.2021 выполнено работ (оказано услуг) на общую сумму: 155949,49 руб.</t>
  </si>
  <si>
    <t>(сто пятьдесят пять тысяч девятьсот сорок девять рублей 49 копеек)</t>
  </si>
  <si>
    <t>2. Всего за период с 01.10.2021 по 31.10.2021 выполнено работ (оказано услуг) на общую сумму: 105820,31 руб.</t>
  </si>
  <si>
    <t>(сто пять тысяч восемьсот двадцать рублей 31 копейка)</t>
  </si>
  <si>
    <t>за период с 01.12.2021 г. по 31.12.2021 г.</t>
  </si>
  <si>
    <t>16,30 декабря</t>
  </si>
  <si>
    <t>9 раз</t>
  </si>
  <si>
    <t>Смена дверных приборов - пружины</t>
  </si>
  <si>
    <t>Ремонт двери под.№4</t>
  </si>
  <si>
    <t>1 шт. под.№2</t>
  </si>
  <si>
    <t>кв.9</t>
  </si>
  <si>
    <t>8 м</t>
  </si>
  <si>
    <t>8 м с кв.6 до подвала</t>
  </si>
  <si>
    <t>2. Всего за период с 01.12.2021 по 31.12.2021 выполнено работ (оказано услуг) на общую сумму: 134461,22 руб.</t>
  </si>
  <si>
    <t>(сто тридцать четыре тысячи четыреста шестьдесят один рубль 22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</si>
</sst>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5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4" fontId="19" fillId="3" borderId="3" xfId="0" applyNumberFormat="1" applyFont="1" applyFill="1" applyBorder="1" applyAlignment="1">
      <alignment horizontal="center" vertical="center"/>
    </xf>
    <xf numFmtId="4" fontId="19" fillId="2" borderId="12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4" fontId="11" fillId="2" borderId="3" xfId="0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2"/>
  <sheetViews>
    <sheetView topLeftCell="A101" workbookViewId="0">
      <selection activeCell="D93" sqref="D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33" t="s">
        <v>134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216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52"/>
      <c r="C6" s="52"/>
      <c r="D6" s="52"/>
      <c r="E6" s="52"/>
      <c r="F6" s="52"/>
      <c r="G6" s="52"/>
      <c r="H6" s="52"/>
      <c r="I6" s="30">
        <v>44227</v>
      </c>
      <c r="J6" s="2"/>
      <c r="K6" s="2"/>
      <c r="L6" s="2"/>
      <c r="M6" s="2"/>
    </row>
    <row r="7" spans="1:13" ht="15.75" customHeight="1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181.91</v>
      </c>
      <c r="H19" s="66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07" t="s">
        <v>92</v>
      </c>
      <c r="C20" s="108" t="s">
        <v>99</v>
      </c>
      <c r="D20" s="107" t="s">
        <v>41</v>
      </c>
      <c r="E20" s="185">
        <v>17.5</v>
      </c>
      <c r="F20" s="109">
        <f>SUM(E20*2/100)</f>
        <v>0.35</v>
      </c>
      <c r="G20" s="109">
        <v>297.19</v>
      </c>
      <c r="H20" s="66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07" t="s">
        <v>93</v>
      </c>
      <c r="C21" s="108" t="s">
        <v>99</v>
      </c>
      <c r="D21" s="91" t="s">
        <v>41</v>
      </c>
      <c r="E21" s="93">
        <v>5.94</v>
      </c>
      <c r="F21" s="109">
        <f>SUM(E21*2/100)</f>
        <v>0.1188</v>
      </c>
      <c r="G21" s="94">
        <v>294.77999999999997</v>
      </c>
      <c r="H21" s="66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287.83999999999997</v>
      </c>
      <c r="H22" s="66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2" t="s">
        <v>104</v>
      </c>
      <c r="C23" s="63" t="s">
        <v>52</v>
      </c>
      <c r="D23" s="62" t="s">
        <v>102</v>
      </c>
      <c r="E23" s="67">
        <v>60.4</v>
      </c>
      <c r="F23" s="65">
        <f>SUM(E23/100)</f>
        <v>0.60399999999999998</v>
      </c>
      <c r="G23" s="65">
        <v>47.34</v>
      </c>
      <c r="H23" s="66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2" t="s">
        <v>96</v>
      </c>
      <c r="C24" s="63" t="s">
        <v>52</v>
      </c>
      <c r="D24" s="62" t="s">
        <v>53</v>
      </c>
      <c r="E24" s="18">
        <v>25</v>
      </c>
      <c r="F24" s="68">
        <f>E24/100</f>
        <v>0.25</v>
      </c>
      <c r="G24" s="65">
        <v>416.62</v>
      </c>
      <c r="H24" s="66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2" t="s">
        <v>105</v>
      </c>
      <c r="C25" s="63" t="s">
        <v>52</v>
      </c>
      <c r="D25" s="62" t="s">
        <v>102</v>
      </c>
      <c r="E25" s="67">
        <v>23.75</v>
      </c>
      <c r="F25" s="65">
        <f>E25/100</f>
        <v>0.23749999999999999</v>
      </c>
      <c r="G25" s="65">
        <v>231.03</v>
      </c>
      <c r="H25" s="66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2" t="s">
        <v>97</v>
      </c>
      <c r="C26" s="63" t="s">
        <v>52</v>
      </c>
      <c r="D26" s="62" t="s">
        <v>102</v>
      </c>
      <c r="E26" s="64">
        <v>10.63</v>
      </c>
      <c r="F26" s="65">
        <f>SUM(E26/100)</f>
        <v>0.10630000000000001</v>
      </c>
      <c r="G26" s="65">
        <v>556.74</v>
      </c>
      <c r="H26" s="66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4</v>
      </c>
      <c r="B27" s="107" t="s">
        <v>180</v>
      </c>
      <c r="C27" s="108" t="s">
        <v>25</v>
      </c>
      <c r="D27" s="107" t="s">
        <v>184</v>
      </c>
      <c r="E27" s="210">
        <v>5.72</v>
      </c>
      <c r="F27" s="109">
        <f>E27*258</f>
        <v>1475.76</v>
      </c>
      <c r="G27" s="109">
        <v>10.39</v>
      </c>
      <c r="H27" s="66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40" t="s">
        <v>83</v>
      </c>
      <c r="B28" s="240"/>
      <c r="C28" s="240"/>
      <c r="D28" s="240"/>
      <c r="E28" s="240"/>
      <c r="F28" s="240"/>
      <c r="G28" s="240"/>
      <c r="H28" s="240"/>
      <c r="I28" s="240"/>
      <c r="J28" s="22"/>
      <c r="K28" s="8"/>
      <c r="L28" s="8"/>
      <c r="M28" s="8"/>
    </row>
    <row r="29" spans="1:13" ht="15.75" hidden="1" customHeight="1">
      <c r="A29" s="29"/>
      <c r="B29" s="82" t="s">
        <v>28</v>
      </c>
      <c r="C29" s="63"/>
      <c r="D29" s="62"/>
      <c r="E29" s="64"/>
      <c r="F29" s="65"/>
      <c r="G29" s="65"/>
      <c r="H29" s="6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106</v>
      </c>
      <c r="C30" s="63" t="s">
        <v>107</v>
      </c>
      <c r="D30" s="62" t="s">
        <v>108</v>
      </c>
      <c r="E30" s="65">
        <v>357.22</v>
      </c>
      <c r="F30" s="65">
        <f>SUM(E30*52/1000)</f>
        <v>18.575440000000004</v>
      </c>
      <c r="G30" s="65">
        <v>166.65</v>
      </c>
      <c r="H30" s="66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140</v>
      </c>
      <c r="C31" s="63" t="s">
        <v>107</v>
      </c>
      <c r="D31" s="62" t="s">
        <v>109</v>
      </c>
      <c r="E31" s="65">
        <v>475.06</v>
      </c>
      <c r="F31" s="65">
        <f>SUM(E31*78/1000)</f>
        <v>37.054679999999998</v>
      </c>
      <c r="G31" s="65">
        <v>276.48</v>
      </c>
      <c r="H31" s="66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2" t="s">
        <v>27</v>
      </c>
      <c r="C32" s="63" t="s">
        <v>107</v>
      </c>
      <c r="D32" s="62" t="s">
        <v>53</v>
      </c>
      <c r="E32" s="65">
        <v>357.22</v>
      </c>
      <c r="F32" s="65">
        <f>SUM(E32/1000)</f>
        <v>0.35722000000000004</v>
      </c>
      <c r="G32" s="65">
        <v>3228.73</v>
      </c>
      <c r="H32" s="66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135</v>
      </c>
      <c r="C33" s="63" t="s">
        <v>39</v>
      </c>
      <c r="D33" s="62" t="s">
        <v>136</v>
      </c>
      <c r="E33" s="65">
        <v>5</v>
      </c>
      <c r="F33" s="65">
        <f>E33*155/100</f>
        <v>7.75</v>
      </c>
      <c r="G33" s="65">
        <v>1391.86</v>
      </c>
      <c r="H33" s="66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110</v>
      </c>
      <c r="C34" s="63" t="s">
        <v>30</v>
      </c>
      <c r="D34" s="62" t="s">
        <v>62</v>
      </c>
      <c r="E34" s="69">
        <v>0.33333333333333331</v>
      </c>
      <c r="F34" s="65">
        <f>155/3</f>
        <v>51.666666666666664</v>
      </c>
      <c r="G34" s="65">
        <v>60.6</v>
      </c>
      <c r="H34" s="66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2" t="s">
        <v>63</v>
      </c>
      <c r="C35" s="63" t="s">
        <v>33</v>
      </c>
      <c r="D35" s="62" t="s">
        <v>65</v>
      </c>
      <c r="E35" s="64"/>
      <c r="F35" s="65">
        <v>3</v>
      </c>
      <c r="G35" s="65">
        <v>204.52</v>
      </c>
      <c r="H35" s="66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2" t="s">
        <v>64</v>
      </c>
      <c r="C36" s="63" t="s">
        <v>32</v>
      </c>
      <c r="D36" s="62" t="s">
        <v>65</v>
      </c>
      <c r="E36" s="64"/>
      <c r="F36" s="65">
        <v>2</v>
      </c>
      <c r="G36" s="65">
        <v>1214.74</v>
      </c>
      <c r="H36" s="66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137</v>
      </c>
      <c r="C37" s="60" t="s">
        <v>29</v>
      </c>
      <c r="D37" s="62"/>
      <c r="E37" s="64">
        <v>360.36</v>
      </c>
      <c r="F37" s="65">
        <f>E37*36/1000</f>
        <v>12.97296</v>
      </c>
      <c r="G37" s="65">
        <v>3228.73</v>
      </c>
      <c r="H37" s="66">
        <f t="shared" si="1"/>
        <v>41.886185140800002</v>
      </c>
      <c r="I37" s="13">
        <v>0</v>
      </c>
      <c r="J37" s="23"/>
    </row>
    <row r="38" spans="1:14" ht="15.75" customHeight="1">
      <c r="A38" s="29"/>
      <c r="B38" s="82" t="s">
        <v>5</v>
      </c>
      <c r="C38" s="63"/>
      <c r="D38" s="62"/>
      <c r="E38" s="64"/>
      <c r="F38" s="65"/>
      <c r="G38" s="65"/>
      <c r="H38" s="66" t="s">
        <v>124</v>
      </c>
      <c r="I38" s="13"/>
      <c r="J38" s="23"/>
    </row>
    <row r="39" spans="1:14" ht="32.25" customHeight="1">
      <c r="A39" s="29">
        <v>5</v>
      </c>
      <c r="B39" s="187" t="s">
        <v>26</v>
      </c>
      <c r="C39" s="108" t="s">
        <v>32</v>
      </c>
      <c r="D39" s="107" t="s">
        <v>218</v>
      </c>
      <c r="E39" s="185"/>
      <c r="F39" s="109">
        <v>5</v>
      </c>
      <c r="G39" s="109">
        <v>2083</v>
      </c>
      <c r="H39" s="66">
        <f t="shared" ref="H39:H45" si="2">SUM(F39*G39/1000)</f>
        <v>10.414999999999999</v>
      </c>
      <c r="I39" s="13">
        <f>G39*2.5</f>
        <v>5207.5</v>
      </c>
      <c r="J39" s="23"/>
      <c r="L39" s="19"/>
      <c r="M39" s="20"/>
      <c r="N39" s="21"/>
    </row>
    <row r="40" spans="1:14" ht="15.75" customHeight="1">
      <c r="A40" s="29">
        <v>6</v>
      </c>
      <c r="B40" s="187" t="s">
        <v>66</v>
      </c>
      <c r="C40" s="188" t="s">
        <v>29</v>
      </c>
      <c r="D40" s="187" t="s">
        <v>185</v>
      </c>
      <c r="E40" s="189">
        <v>469.73</v>
      </c>
      <c r="F40" s="189">
        <f>SUM(E40*30/1000)</f>
        <v>14.091900000000001</v>
      </c>
      <c r="G40" s="189">
        <v>2868.09</v>
      </c>
      <c r="H40" s="66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8" customHeight="1">
      <c r="A41" s="29">
        <v>7</v>
      </c>
      <c r="B41" s="107" t="s">
        <v>67</v>
      </c>
      <c r="C41" s="108" t="s">
        <v>29</v>
      </c>
      <c r="D41" s="107" t="s">
        <v>186</v>
      </c>
      <c r="E41" s="109">
        <v>475.06</v>
      </c>
      <c r="F41" s="189">
        <f>SUM(E41*155/1000)</f>
        <v>73.634299999999996</v>
      </c>
      <c r="G41" s="109">
        <v>478.42</v>
      </c>
      <c r="H41" s="66">
        <f t="shared" si="2"/>
        <v>35.228121806000004</v>
      </c>
      <c r="I41" s="13">
        <f>G41*F41/6</f>
        <v>5871.3536343333335</v>
      </c>
      <c r="J41" s="23"/>
      <c r="L41" s="19"/>
      <c r="M41" s="20"/>
      <c r="N41" s="21"/>
    </row>
    <row r="42" spans="1:14" ht="15.75" hidden="1" customHeight="1">
      <c r="A42" s="29">
        <v>10</v>
      </c>
      <c r="B42" s="107" t="s">
        <v>89</v>
      </c>
      <c r="C42" s="108" t="s">
        <v>128</v>
      </c>
      <c r="D42" s="107" t="s">
        <v>150</v>
      </c>
      <c r="E42" s="185"/>
      <c r="F42" s="189">
        <v>39</v>
      </c>
      <c r="G42" s="109">
        <v>314</v>
      </c>
      <c r="H42" s="66">
        <f t="shared" si="2"/>
        <v>12.246</v>
      </c>
      <c r="I42" s="13">
        <f>F42/6*G42</f>
        <v>2041</v>
      </c>
      <c r="J42" s="23"/>
      <c r="L42" s="19"/>
      <c r="M42" s="20"/>
      <c r="N42" s="21"/>
    </row>
    <row r="43" spans="1:14" ht="47.25" customHeight="1">
      <c r="A43" s="29">
        <v>8</v>
      </c>
      <c r="B43" s="107" t="s">
        <v>81</v>
      </c>
      <c r="C43" s="108" t="s">
        <v>107</v>
      </c>
      <c r="D43" s="107" t="s">
        <v>187</v>
      </c>
      <c r="E43" s="109">
        <v>40.6</v>
      </c>
      <c r="F43" s="189">
        <f>SUM(E43*35/1000)</f>
        <v>1.421</v>
      </c>
      <c r="G43" s="109">
        <v>7915.6</v>
      </c>
      <c r="H43" s="66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hidden="1" customHeight="1">
      <c r="A44" s="29">
        <v>9</v>
      </c>
      <c r="B44" s="107" t="s">
        <v>113</v>
      </c>
      <c r="C44" s="108" t="s">
        <v>107</v>
      </c>
      <c r="D44" s="107" t="s">
        <v>188</v>
      </c>
      <c r="E44" s="109">
        <v>167.03</v>
      </c>
      <c r="F44" s="189">
        <f>SUM(E44*45/1000)</f>
        <v>7.5163500000000001</v>
      </c>
      <c r="G44" s="109">
        <v>584.74</v>
      </c>
      <c r="H44" s="66">
        <f t="shared" si="2"/>
        <v>4.3951104990000003</v>
      </c>
      <c r="I44" s="13">
        <f>F44/7.5*G44</f>
        <v>586.01473320000002</v>
      </c>
      <c r="J44" s="23"/>
      <c r="L44" s="19"/>
      <c r="M44" s="20"/>
      <c r="N44" s="21"/>
    </row>
    <row r="45" spans="1:14" ht="15.75" hidden="1" customHeight="1">
      <c r="A45" s="181">
        <v>10</v>
      </c>
      <c r="B45" s="190" t="s">
        <v>69</v>
      </c>
      <c r="C45" s="191" t="s">
        <v>33</v>
      </c>
      <c r="D45" s="190"/>
      <c r="E45" s="192"/>
      <c r="F45" s="193">
        <v>1.2</v>
      </c>
      <c r="G45" s="193">
        <v>800</v>
      </c>
      <c r="H45" s="76">
        <f t="shared" si="2"/>
        <v>0.96</v>
      </c>
      <c r="I45" s="96">
        <f>F45/7.5*G45</f>
        <v>128</v>
      </c>
      <c r="J45" s="23"/>
      <c r="L45" s="19"/>
      <c r="M45" s="20"/>
      <c r="N45" s="21"/>
    </row>
    <row r="46" spans="1:14" ht="33.75" customHeight="1">
      <c r="A46" s="29">
        <v>9</v>
      </c>
      <c r="B46" s="48" t="s">
        <v>151</v>
      </c>
      <c r="C46" s="86" t="s">
        <v>29</v>
      </c>
      <c r="D46" s="187" t="s">
        <v>189</v>
      </c>
      <c r="E46" s="186">
        <v>4.2</v>
      </c>
      <c r="F46" s="189">
        <f>SUM(E46*12/1000)</f>
        <v>5.0400000000000007E-2</v>
      </c>
      <c r="G46" s="189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41" t="s">
        <v>131</v>
      </c>
      <c r="B47" s="242"/>
      <c r="C47" s="242"/>
      <c r="D47" s="242"/>
      <c r="E47" s="242"/>
      <c r="F47" s="242"/>
      <c r="G47" s="242"/>
      <c r="H47" s="242"/>
      <c r="I47" s="243"/>
      <c r="J47" s="23"/>
      <c r="L47" s="19"/>
      <c r="M47" s="20"/>
      <c r="N47" s="21"/>
    </row>
    <row r="48" spans="1:14" ht="15.75" hidden="1" customHeight="1">
      <c r="A48" s="29"/>
      <c r="B48" s="62" t="s">
        <v>114</v>
      </c>
      <c r="C48" s="63" t="s">
        <v>107</v>
      </c>
      <c r="D48" s="62" t="s">
        <v>41</v>
      </c>
      <c r="E48" s="64">
        <v>1603.6</v>
      </c>
      <c r="F48" s="65">
        <f>SUM(E48*2/1000)</f>
        <v>3.2071999999999998</v>
      </c>
      <c r="G48" s="13">
        <v>908.11</v>
      </c>
      <c r="H48" s="66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107</v>
      </c>
      <c r="D49" s="62" t="s">
        <v>41</v>
      </c>
      <c r="E49" s="64">
        <v>65</v>
      </c>
      <c r="F49" s="65">
        <f>SUM(E49*2/1000)</f>
        <v>0.13</v>
      </c>
      <c r="G49" s="13">
        <v>619.46</v>
      </c>
      <c r="H49" s="66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35</v>
      </c>
      <c r="C50" s="63" t="s">
        <v>107</v>
      </c>
      <c r="D50" s="62" t="s">
        <v>41</v>
      </c>
      <c r="E50" s="64">
        <v>1825.8</v>
      </c>
      <c r="F50" s="65">
        <f>SUM(E50*2/1000)</f>
        <v>3.6515999999999997</v>
      </c>
      <c r="G50" s="13">
        <v>619.46</v>
      </c>
      <c r="H50" s="66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2" t="s">
        <v>36</v>
      </c>
      <c r="C51" s="63" t="s">
        <v>107</v>
      </c>
      <c r="D51" s="62" t="s">
        <v>41</v>
      </c>
      <c r="E51" s="64">
        <v>3163.96</v>
      </c>
      <c r="F51" s="65">
        <f>SUM(E51*2/1000)</f>
        <v>6.3279199999999998</v>
      </c>
      <c r="G51" s="13">
        <v>648.64</v>
      </c>
      <c r="H51" s="66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10</v>
      </c>
      <c r="B52" s="107" t="s">
        <v>55</v>
      </c>
      <c r="C52" s="108" t="s">
        <v>107</v>
      </c>
      <c r="D52" s="107" t="s">
        <v>190</v>
      </c>
      <c r="E52" s="185">
        <v>5816.5</v>
      </c>
      <c r="F52" s="109">
        <f>SUM(E52*5/1000)</f>
        <v>29.0825</v>
      </c>
      <c r="G52" s="33">
        <v>1655.27</v>
      </c>
      <c r="H52" s="66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/>
      <c r="B53" s="62" t="s">
        <v>115</v>
      </c>
      <c r="C53" s="63" t="s">
        <v>107</v>
      </c>
      <c r="D53" s="62" t="s">
        <v>41</v>
      </c>
      <c r="E53" s="64">
        <v>1583</v>
      </c>
      <c r="F53" s="65">
        <f>SUM(E53*2/1000)</f>
        <v>3.1659999999999999</v>
      </c>
      <c r="G53" s="13">
        <v>1297.28</v>
      </c>
      <c r="H53" s="66">
        <f t="shared" si="3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2" t="s">
        <v>116</v>
      </c>
      <c r="C54" s="63" t="s">
        <v>37</v>
      </c>
      <c r="D54" s="62" t="s">
        <v>41</v>
      </c>
      <c r="E54" s="64">
        <v>25</v>
      </c>
      <c r="F54" s="65">
        <f>SUM(E54*2/100)</f>
        <v>0.5</v>
      </c>
      <c r="G54" s="13">
        <v>2918.89</v>
      </c>
      <c r="H54" s="66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2" t="s">
        <v>38</v>
      </c>
      <c r="C55" s="63" t="s">
        <v>39</v>
      </c>
      <c r="D55" s="62" t="s">
        <v>41</v>
      </c>
      <c r="E55" s="64">
        <v>1</v>
      </c>
      <c r="F55" s="65">
        <v>0.02</v>
      </c>
      <c r="G55" s="13">
        <v>6042.12</v>
      </c>
      <c r="H55" s="66">
        <f t="shared" si="3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107" t="s">
        <v>40</v>
      </c>
      <c r="C56" s="108" t="s">
        <v>30</v>
      </c>
      <c r="D56" s="211">
        <v>43494</v>
      </c>
      <c r="E56" s="185">
        <v>198</v>
      </c>
      <c r="F56" s="109">
        <f>SUM(E56)*3</f>
        <v>594</v>
      </c>
      <c r="G56" s="110">
        <v>89.59</v>
      </c>
      <c r="H56" s="66">
        <f t="shared" si="3"/>
        <v>53.216459999999998</v>
      </c>
      <c r="I56" s="13">
        <f>E56*G56</f>
        <v>17738.82</v>
      </c>
      <c r="J56" s="23"/>
      <c r="L56" s="19"/>
      <c r="M56" s="20"/>
      <c r="N56" s="21"/>
    </row>
    <row r="57" spans="1:22" ht="15.75" customHeight="1">
      <c r="A57" s="241" t="s">
        <v>132</v>
      </c>
      <c r="B57" s="242"/>
      <c r="C57" s="242"/>
      <c r="D57" s="242"/>
      <c r="E57" s="242"/>
      <c r="F57" s="242"/>
      <c r="G57" s="242"/>
      <c r="H57" s="242"/>
      <c r="I57" s="243"/>
      <c r="J57" s="23"/>
      <c r="L57" s="19"/>
      <c r="M57" s="20"/>
      <c r="N57" s="21"/>
    </row>
    <row r="58" spans="1:22" ht="15.75" hidden="1" customHeight="1">
      <c r="A58" s="29"/>
      <c r="B58" s="82" t="s">
        <v>42</v>
      </c>
      <c r="C58" s="63"/>
      <c r="D58" s="62"/>
      <c r="E58" s="64"/>
      <c r="F58" s="65"/>
      <c r="G58" s="65"/>
      <c r="H58" s="66"/>
      <c r="I58" s="13"/>
      <c r="J58" s="23"/>
      <c r="L58" s="19"/>
      <c r="M58" s="20"/>
      <c r="N58" s="21"/>
    </row>
    <row r="59" spans="1:22" ht="31.5" hidden="1" customHeight="1">
      <c r="A59" s="29">
        <v>11</v>
      </c>
      <c r="B59" s="107" t="s">
        <v>118</v>
      </c>
      <c r="C59" s="108" t="s">
        <v>99</v>
      </c>
      <c r="D59" s="107"/>
      <c r="E59" s="185">
        <v>118.3</v>
      </c>
      <c r="F59" s="109">
        <f>E59*6/100</f>
        <v>7.0979999999999999</v>
      </c>
      <c r="G59" s="194">
        <v>2110.4699999999998</v>
      </c>
      <c r="H59" s="66">
        <f>SUM(F59*G59/1000)</f>
        <v>14.980116059999999</v>
      </c>
      <c r="I59" s="13">
        <f>G59*0.1</f>
        <v>211.047</v>
      </c>
      <c r="J59" s="23"/>
      <c r="L59" s="19"/>
      <c r="M59" s="20"/>
      <c r="N59" s="21"/>
    </row>
    <row r="60" spans="1:22" ht="17.25" hidden="1" customHeight="1">
      <c r="A60" s="29">
        <v>16</v>
      </c>
      <c r="B60" s="107" t="s">
        <v>153</v>
      </c>
      <c r="C60" s="108" t="s">
        <v>99</v>
      </c>
      <c r="D60" s="107" t="s">
        <v>190</v>
      </c>
      <c r="E60" s="195">
        <v>3.78</v>
      </c>
      <c r="F60" s="33">
        <f>E60*6/100</f>
        <v>0.2268</v>
      </c>
      <c r="G60" s="189">
        <v>2110.4699999999998</v>
      </c>
      <c r="H60" s="66">
        <f>F60*G60/1000</f>
        <v>0.47865459599999999</v>
      </c>
      <c r="I60" s="13">
        <f>F60/6*G60</f>
        <v>79.77576599999999</v>
      </c>
      <c r="J60" s="23"/>
      <c r="L60" s="19"/>
    </row>
    <row r="61" spans="1:22" ht="18.75" hidden="1" customHeight="1">
      <c r="A61" s="29"/>
      <c r="B61" s="91" t="s">
        <v>94</v>
      </c>
      <c r="C61" s="108" t="s">
        <v>95</v>
      </c>
      <c r="D61" s="91" t="s">
        <v>41</v>
      </c>
      <c r="E61" s="93">
        <v>5</v>
      </c>
      <c r="F61" s="94">
        <v>10</v>
      </c>
      <c r="G61" s="194">
        <v>246.58</v>
      </c>
      <c r="H61" s="76">
        <v>0.99099999999999999</v>
      </c>
      <c r="I61" s="13">
        <v>0</v>
      </c>
      <c r="J61" s="23"/>
      <c r="L61" s="19"/>
    </row>
    <row r="62" spans="1:22" ht="15.75" customHeight="1">
      <c r="A62" s="29"/>
      <c r="B62" s="83" t="s">
        <v>43</v>
      </c>
      <c r="C62" s="77"/>
      <c r="D62" s="73"/>
      <c r="E62" s="74"/>
      <c r="F62" s="75"/>
      <c r="G62" s="78"/>
      <c r="H62" s="76"/>
      <c r="I62" s="13"/>
    </row>
    <row r="63" spans="1:22" ht="15.75" hidden="1" customHeight="1">
      <c r="A63" s="29"/>
      <c r="B63" s="73" t="s">
        <v>44</v>
      </c>
      <c r="C63" s="77" t="s">
        <v>52</v>
      </c>
      <c r="D63" s="73" t="s">
        <v>53</v>
      </c>
      <c r="E63" s="74">
        <v>1752</v>
      </c>
      <c r="F63" s="75">
        <f>E63/100</f>
        <v>17.52</v>
      </c>
      <c r="G63" s="65">
        <v>848.37</v>
      </c>
      <c r="H63" s="76">
        <f>G63*F63/1000</f>
        <v>14.8634424</v>
      </c>
      <c r="I63" s="13">
        <v>0</v>
      </c>
    </row>
    <row r="64" spans="1:22" ht="15.75" customHeight="1">
      <c r="A64" s="29">
        <v>11</v>
      </c>
      <c r="B64" s="91" t="s">
        <v>90</v>
      </c>
      <c r="C64" s="92" t="s">
        <v>25</v>
      </c>
      <c r="D64" s="91" t="s">
        <v>190</v>
      </c>
      <c r="E64" s="93">
        <v>200</v>
      </c>
      <c r="F64" s="94">
        <f>E64*12</f>
        <v>2400</v>
      </c>
      <c r="G64" s="95">
        <v>1.4</v>
      </c>
      <c r="H64" s="196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3" t="s">
        <v>45</v>
      </c>
      <c r="C65" s="77"/>
      <c r="D65" s="73"/>
      <c r="E65" s="74"/>
      <c r="F65" s="75"/>
      <c r="G65" s="84"/>
      <c r="H65" s="76" t="s">
        <v>124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>
        <v>13</v>
      </c>
      <c r="B66" s="14" t="s">
        <v>46</v>
      </c>
      <c r="C66" s="16" t="s">
        <v>117</v>
      </c>
      <c r="D66" s="14" t="s">
        <v>190</v>
      </c>
      <c r="E66" s="18">
        <v>10</v>
      </c>
      <c r="F66" s="65">
        <v>10</v>
      </c>
      <c r="G66" s="213">
        <v>303.35000000000002</v>
      </c>
      <c r="H66" s="61">
        <f t="shared" ref="H66:H80" si="4">SUM(F66*G66/1000)</f>
        <v>3.0335000000000001</v>
      </c>
      <c r="I66" s="13">
        <f>G66*1</f>
        <v>303.35000000000002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117</v>
      </c>
      <c r="D67" s="14" t="s">
        <v>65</v>
      </c>
      <c r="E67" s="18">
        <v>5</v>
      </c>
      <c r="F67" s="65">
        <v>5</v>
      </c>
      <c r="G67" s="13">
        <v>81.510000000000005</v>
      </c>
      <c r="H67" s="61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29"/>
      <c r="S67" s="229"/>
      <c r="T67" s="229"/>
      <c r="U67" s="229"/>
    </row>
    <row r="68" spans="1:21" ht="15.75" hidden="1" customHeight="1">
      <c r="A68" s="29"/>
      <c r="B68" s="14" t="s">
        <v>48</v>
      </c>
      <c r="C68" s="16" t="s">
        <v>119</v>
      </c>
      <c r="D68" s="14" t="s">
        <v>53</v>
      </c>
      <c r="E68" s="64">
        <v>23808</v>
      </c>
      <c r="F68" s="13">
        <f>SUM(E68/100)</f>
        <v>238.08</v>
      </c>
      <c r="G68" s="13">
        <v>226.79</v>
      </c>
      <c r="H68" s="61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120</v>
      </c>
      <c r="D69" s="14"/>
      <c r="E69" s="64">
        <v>23808</v>
      </c>
      <c r="F69" s="13">
        <f>SUM(E69/1000)</f>
        <v>23.808</v>
      </c>
      <c r="G69" s="13">
        <v>176.61</v>
      </c>
      <c r="H69" s="61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4">
        <v>3810</v>
      </c>
      <c r="F70" s="13">
        <f>SUM(E70/100)</f>
        <v>38.1</v>
      </c>
      <c r="G70" s="13">
        <v>2217.7800000000002</v>
      </c>
      <c r="H70" s="61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79" t="s">
        <v>121</v>
      </c>
      <c r="C71" s="16" t="s">
        <v>33</v>
      </c>
      <c r="D71" s="14"/>
      <c r="E71" s="64">
        <v>23.4</v>
      </c>
      <c r="F71" s="13">
        <f>SUM(E71)</f>
        <v>23.4</v>
      </c>
      <c r="G71" s="13">
        <v>42.67</v>
      </c>
      <c r="H71" s="61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79" t="s">
        <v>130</v>
      </c>
      <c r="C72" s="16" t="s">
        <v>33</v>
      </c>
      <c r="D72" s="14"/>
      <c r="E72" s="64">
        <v>23.4</v>
      </c>
      <c r="F72" s="13">
        <f>SUM(E72)</f>
        <v>23.4</v>
      </c>
      <c r="G72" s="13">
        <v>39.81</v>
      </c>
      <c r="H72" s="61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75">
        <f>SUM(E73)</f>
        <v>5</v>
      </c>
      <c r="G73" s="13">
        <v>53.32</v>
      </c>
      <c r="H73" s="61">
        <f t="shared" si="4"/>
        <v>0.2666</v>
      </c>
      <c r="I73" s="13">
        <f t="shared" si="5"/>
        <v>266.60000000000002</v>
      </c>
    </row>
    <row r="74" spans="1:21" ht="15.75" customHeight="1">
      <c r="A74" s="29">
        <v>12</v>
      </c>
      <c r="B74" s="79" t="s">
        <v>155</v>
      </c>
      <c r="C74" s="97"/>
      <c r="D74" s="88" t="s">
        <v>191</v>
      </c>
      <c r="E74" s="17">
        <v>1</v>
      </c>
      <c r="F74" s="33">
        <v>12</v>
      </c>
      <c r="G74" s="33">
        <v>1194</v>
      </c>
      <c r="H74" s="61">
        <v>8.5310000000000006</v>
      </c>
      <c r="I74" s="13">
        <f>F74/12*G74</f>
        <v>1194</v>
      </c>
    </row>
    <row r="75" spans="1:21" ht="15.75" hidden="1" customHeight="1">
      <c r="A75" s="29"/>
      <c r="B75" s="179" t="s">
        <v>72</v>
      </c>
      <c r="C75" s="16"/>
      <c r="D75" s="14"/>
      <c r="E75" s="18"/>
      <c r="F75" s="13"/>
      <c r="G75" s="13"/>
      <c r="H75" s="61" t="s">
        <v>124</v>
      </c>
      <c r="I75" s="13"/>
    </row>
    <row r="76" spans="1:21" ht="15.75" hidden="1" customHeight="1">
      <c r="A76" s="29"/>
      <c r="B76" s="14" t="s">
        <v>73</v>
      </c>
      <c r="C76" s="16" t="s">
        <v>31</v>
      </c>
      <c r="D76" s="14" t="s">
        <v>65</v>
      </c>
      <c r="E76" s="18">
        <v>2</v>
      </c>
      <c r="F76" s="55">
        <v>0.2</v>
      </c>
      <c r="G76" s="13">
        <v>536.23</v>
      </c>
      <c r="H76" s="61">
        <v>0.107</v>
      </c>
      <c r="I76" s="13">
        <v>0</v>
      </c>
    </row>
    <row r="77" spans="1:21" ht="15.75" hidden="1" customHeight="1">
      <c r="A77" s="29">
        <v>21</v>
      </c>
      <c r="B77" s="14" t="s">
        <v>85</v>
      </c>
      <c r="C77" s="16" t="s">
        <v>30</v>
      </c>
      <c r="D77" s="14"/>
      <c r="E77" s="18">
        <v>1</v>
      </c>
      <c r="F77" s="65">
        <f>SUM(E77)</f>
        <v>1</v>
      </c>
      <c r="G77" s="13">
        <v>383.25</v>
      </c>
      <c r="H77" s="61">
        <f t="shared" si="4"/>
        <v>0.38324999999999998</v>
      </c>
      <c r="I77" s="13">
        <f>G77</f>
        <v>383.25</v>
      </c>
    </row>
    <row r="78" spans="1:21" ht="15.75" hidden="1" customHeight="1">
      <c r="A78" s="29"/>
      <c r="B78" s="14" t="s">
        <v>74</v>
      </c>
      <c r="C78" s="16" t="s">
        <v>30</v>
      </c>
      <c r="D78" s="14"/>
      <c r="E78" s="18">
        <v>1</v>
      </c>
      <c r="F78" s="13">
        <v>1</v>
      </c>
      <c r="G78" s="13">
        <v>911.85</v>
      </c>
      <c r="H78" s="61">
        <f>F78*G78/1000</f>
        <v>0.91185000000000005</v>
      </c>
      <c r="I78" s="13">
        <v>0</v>
      </c>
    </row>
    <row r="79" spans="1:21" ht="15.75" hidden="1" customHeight="1">
      <c r="A79" s="29"/>
      <c r="B79" s="80" t="s">
        <v>75</v>
      </c>
      <c r="C79" s="16"/>
      <c r="D79" s="14"/>
      <c r="E79" s="18"/>
      <c r="F79" s="13"/>
      <c r="G79" s="13" t="s">
        <v>124</v>
      </c>
      <c r="H79" s="61" t="s">
        <v>124</v>
      </c>
      <c r="I79" s="13"/>
    </row>
    <row r="80" spans="1:21" ht="15.75" hidden="1" customHeight="1">
      <c r="A80" s="29"/>
      <c r="B80" s="42" t="s">
        <v>125</v>
      </c>
      <c r="C80" s="16" t="s">
        <v>76</v>
      </c>
      <c r="D80" s="14"/>
      <c r="E80" s="18"/>
      <c r="F80" s="13">
        <v>0.6</v>
      </c>
      <c r="G80" s="13">
        <v>2949.85</v>
      </c>
      <c r="H80" s="61">
        <f t="shared" si="4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1"/>
      <c r="S80" s="51"/>
      <c r="T80" s="51"/>
      <c r="U80" s="51"/>
    </row>
    <row r="81" spans="1:21" ht="15.75" hidden="1" customHeight="1">
      <c r="A81" s="180"/>
      <c r="B81" s="179" t="s">
        <v>122</v>
      </c>
      <c r="C81" s="179"/>
      <c r="D81" s="179"/>
      <c r="E81" s="179"/>
      <c r="F81" s="179"/>
      <c r="G81" s="179"/>
      <c r="H81" s="179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181"/>
      <c r="B82" s="73" t="s">
        <v>123</v>
      </c>
      <c r="C82" s="182"/>
      <c r="D82" s="183"/>
      <c r="E82" s="56"/>
      <c r="F82" s="96">
        <v>1</v>
      </c>
      <c r="G82" s="96">
        <v>21062.799999999999</v>
      </c>
      <c r="H82" s="184">
        <f>G82*F82/1000</f>
        <v>21.062799999999999</v>
      </c>
      <c r="I82" s="96">
        <v>0</v>
      </c>
      <c r="J82" s="5"/>
      <c r="K82" s="5"/>
      <c r="L82" s="5"/>
      <c r="M82" s="5"/>
      <c r="N82" s="5"/>
      <c r="O82" s="5"/>
      <c r="P82" s="5"/>
      <c r="Q82" s="5"/>
      <c r="R82" s="51"/>
      <c r="S82" s="51"/>
      <c r="T82" s="51"/>
      <c r="U82" s="51"/>
    </row>
    <row r="83" spans="1:21" ht="15.75" customHeight="1">
      <c r="A83" s="29"/>
      <c r="B83" s="197" t="s">
        <v>156</v>
      </c>
      <c r="C83" s="97"/>
      <c r="D83" s="88"/>
      <c r="E83" s="17"/>
      <c r="F83" s="198"/>
      <c r="G83" s="33"/>
      <c r="H83" s="13"/>
      <c r="I83" s="13"/>
      <c r="J83" s="5"/>
      <c r="K83" s="5"/>
      <c r="L83" s="5"/>
      <c r="M83" s="5"/>
      <c r="N83" s="5"/>
      <c r="O83" s="5"/>
      <c r="P83" s="5"/>
      <c r="Q83" s="5"/>
      <c r="R83" s="178"/>
      <c r="S83" s="178"/>
      <c r="T83" s="178"/>
      <c r="U83" s="178"/>
    </row>
    <row r="84" spans="1:21" ht="34.5" customHeight="1">
      <c r="A84" s="181">
        <v>13</v>
      </c>
      <c r="B84" s="199" t="s">
        <v>157</v>
      </c>
      <c r="C84" s="200" t="s">
        <v>158</v>
      </c>
      <c r="D84" s="199"/>
      <c r="E84" s="201">
        <v>5816.5</v>
      </c>
      <c r="F84" s="94">
        <f>SUM(E84)*12</f>
        <v>69798</v>
      </c>
      <c r="G84" s="202">
        <v>2.37</v>
      </c>
      <c r="H84" s="96"/>
      <c r="I84" s="96">
        <f>G84*F84/12</f>
        <v>13785.105000000001</v>
      </c>
      <c r="J84" s="5"/>
      <c r="K84" s="5"/>
      <c r="L84" s="5"/>
      <c r="M84" s="5"/>
      <c r="N84" s="5"/>
      <c r="O84" s="5"/>
      <c r="P84" s="5"/>
      <c r="Q84" s="5"/>
      <c r="R84" s="178"/>
      <c r="S84" s="178"/>
      <c r="T84" s="178"/>
      <c r="U84" s="178"/>
    </row>
    <row r="85" spans="1:21" ht="16.5" customHeight="1">
      <c r="A85" s="181"/>
      <c r="B85" s="206" t="s">
        <v>72</v>
      </c>
      <c r="C85" s="200"/>
      <c r="D85" s="199"/>
      <c r="E85" s="201"/>
      <c r="F85" s="94"/>
      <c r="G85" s="202"/>
      <c r="H85" s="96"/>
      <c r="I85" s="96"/>
      <c r="J85" s="5"/>
      <c r="K85" s="5"/>
      <c r="L85" s="5"/>
      <c r="M85" s="5"/>
      <c r="N85" s="5"/>
      <c r="O85" s="5"/>
      <c r="P85" s="5"/>
      <c r="Q85" s="5"/>
      <c r="R85" s="204"/>
      <c r="S85" s="204"/>
      <c r="T85" s="204"/>
      <c r="U85" s="204"/>
    </row>
    <row r="86" spans="1:21" ht="29.25" customHeight="1">
      <c r="A86" s="29">
        <v>14</v>
      </c>
      <c r="B86" s="48" t="s">
        <v>159</v>
      </c>
      <c r="C86" s="86" t="s">
        <v>117</v>
      </c>
      <c r="D86" s="88" t="s">
        <v>191</v>
      </c>
      <c r="E86" s="201">
        <v>1</v>
      </c>
      <c r="F86" s="94">
        <f>E86*12</f>
        <v>12</v>
      </c>
      <c r="G86" s="202">
        <v>55.55</v>
      </c>
      <c r="H86" s="13"/>
      <c r="I86" s="13">
        <f>G86*1</f>
        <v>55.55</v>
      </c>
      <c r="J86" s="5"/>
      <c r="K86" s="5"/>
      <c r="L86" s="5"/>
      <c r="M86" s="5"/>
      <c r="N86" s="5"/>
      <c r="O86" s="5"/>
      <c r="P86" s="5"/>
      <c r="Q86" s="5"/>
      <c r="R86" s="178"/>
      <c r="S86" s="178"/>
      <c r="T86" s="178"/>
      <c r="U86" s="178"/>
    </row>
    <row r="87" spans="1:21" ht="15.75" customHeight="1">
      <c r="A87" s="230" t="s">
        <v>133</v>
      </c>
      <c r="B87" s="231"/>
      <c r="C87" s="231"/>
      <c r="D87" s="231"/>
      <c r="E87" s="231"/>
      <c r="F87" s="231"/>
      <c r="G87" s="231"/>
      <c r="H87" s="231"/>
      <c r="I87" s="232"/>
    </row>
    <row r="88" spans="1:21" ht="15.75" customHeight="1">
      <c r="A88" s="29">
        <v>15</v>
      </c>
      <c r="B88" s="107" t="s">
        <v>126</v>
      </c>
      <c r="C88" s="97" t="s">
        <v>54</v>
      </c>
      <c r="D88" s="203"/>
      <c r="E88" s="33">
        <v>5816.5</v>
      </c>
      <c r="F88" s="33">
        <f>SUM(E88*12)</f>
        <v>69798</v>
      </c>
      <c r="G88" s="33">
        <v>3.22</v>
      </c>
      <c r="H88" s="61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1"/>
      <c r="S88" s="51"/>
      <c r="T88" s="51"/>
      <c r="U88" s="51"/>
    </row>
    <row r="89" spans="1:21" ht="31.5" customHeight="1">
      <c r="A89" s="29">
        <v>16</v>
      </c>
      <c r="B89" s="88" t="s">
        <v>77</v>
      </c>
      <c r="C89" s="97"/>
      <c r="D89" s="87"/>
      <c r="E89" s="185">
        <f>E87</f>
        <v>0</v>
      </c>
      <c r="F89" s="33">
        <v>69798</v>
      </c>
      <c r="G89" s="33">
        <v>3.64</v>
      </c>
      <c r="H89" s="61">
        <f>F89*G89/1000</f>
        <v>254.06471999999999</v>
      </c>
      <c r="I89" s="13">
        <f>F89/12*G89</f>
        <v>21172.06</v>
      </c>
      <c r="J89" s="5"/>
      <c r="K89" s="5"/>
      <c r="L89" s="5"/>
      <c r="M89" s="5"/>
      <c r="N89" s="5"/>
      <c r="O89" s="5"/>
      <c r="P89" s="5"/>
      <c r="Q89" s="5"/>
      <c r="R89" s="51"/>
      <c r="S89" s="51"/>
      <c r="T89" s="51"/>
      <c r="U89" s="51"/>
    </row>
    <row r="90" spans="1:21" ht="15.75" customHeight="1">
      <c r="A90" s="180"/>
      <c r="B90" s="34" t="s">
        <v>79</v>
      </c>
      <c r="C90" s="35"/>
      <c r="D90" s="15"/>
      <c r="E90" s="15"/>
      <c r="F90" s="15"/>
      <c r="G90" s="18"/>
      <c r="H90" s="18"/>
      <c r="I90" s="31">
        <f>I89+I88+I86+I84+I74+I64+I52+I46+I43+I41+I40+I39+I27+I18+I17+I16</f>
        <v>118035.85859850001</v>
      </c>
    </row>
    <row r="91" spans="1:21" ht="15.75" customHeight="1">
      <c r="A91" s="244" t="s">
        <v>59</v>
      </c>
      <c r="B91" s="245"/>
      <c r="C91" s="245"/>
      <c r="D91" s="245"/>
      <c r="E91" s="245"/>
      <c r="F91" s="245"/>
      <c r="G91" s="245"/>
      <c r="H91" s="245"/>
      <c r="I91" s="246"/>
    </row>
    <row r="92" spans="1:21" ht="12.75" customHeight="1">
      <c r="A92" s="29">
        <v>17</v>
      </c>
      <c r="B92" s="48" t="s">
        <v>138</v>
      </c>
      <c r="C92" s="86" t="s">
        <v>82</v>
      </c>
      <c r="D92" s="87"/>
      <c r="E92" s="33"/>
      <c r="F92" s="33">
        <v>1</v>
      </c>
      <c r="G92" s="33">
        <v>231.54</v>
      </c>
      <c r="H92" s="61"/>
      <c r="I92" s="96">
        <f>G92*1</f>
        <v>231.54</v>
      </c>
      <c r="J92" s="5"/>
      <c r="K92" s="5"/>
      <c r="L92" s="5"/>
      <c r="M92" s="5"/>
      <c r="N92" s="5"/>
      <c r="O92" s="5"/>
      <c r="P92" s="5"/>
      <c r="Q92" s="5"/>
      <c r="R92" s="51"/>
      <c r="S92" s="51"/>
      <c r="T92" s="51"/>
      <c r="U92" s="51"/>
    </row>
    <row r="93" spans="1:21" ht="30" customHeight="1">
      <c r="A93" s="29">
        <v>18</v>
      </c>
      <c r="B93" s="218" t="s">
        <v>219</v>
      </c>
      <c r="C93" s="219" t="s">
        <v>162</v>
      </c>
      <c r="D93" s="88" t="s">
        <v>225</v>
      </c>
      <c r="E93" s="33"/>
      <c r="F93" s="33">
        <v>0.1</v>
      </c>
      <c r="G93" s="33">
        <v>4735.07</v>
      </c>
      <c r="H93" s="61"/>
      <c r="I93" s="96">
        <f>G93*0.1</f>
        <v>473.50700000000001</v>
      </c>
      <c r="J93" s="5"/>
      <c r="K93" s="5"/>
      <c r="L93" s="5"/>
      <c r="M93" s="5"/>
      <c r="N93" s="5"/>
      <c r="O93" s="5"/>
      <c r="P93" s="5"/>
      <c r="Q93" s="5"/>
      <c r="R93" s="51"/>
      <c r="S93" s="51"/>
      <c r="T93" s="51"/>
      <c r="U93" s="51"/>
    </row>
    <row r="94" spans="1:21" ht="16.5" customHeight="1">
      <c r="A94" s="29">
        <v>19</v>
      </c>
      <c r="B94" s="48" t="s">
        <v>220</v>
      </c>
      <c r="C94" s="86" t="s">
        <v>107</v>
      </c>
      <c r="D94" s="87"/>
      <c r="E94" s="33"/>
      <c r="F94" s="33">
        <v>0.1</v>
      </c>
      <c r="G94" s="33">
        <v>3260.33</v>
      </c>
      <c r="H94" s="61"/>
      <c r="I94" s="96">
        <f>G94*0.1</f>
        <v>326.03300000000002</v>
      </c>
      <c r="J94" s="5"/>
      <c r="K94" s="5"/>
      <c r="L94" s="5"/>
      <c r="M94" s="5"/>
      <c r="N94" s="5"/>
      <c r="O94" s="5"/>
      <c r="P94" s="5"/>
      <c r="Q94" s="5"/>
      <c r="R94" s="51"/>
      <c r="S94" s="51"/>
      <c r="T94" s="51"/>
      <c r="U94" s="51"/>
    </row>
    <row r="95" spans="1:21" ht="30.75" customHeight="1">
      <c r="A95" s="29">
        <v>20</v>
      </c>
      <c r="B95" s="177" t="s">
        <v>221</v>
      </c>
      <c r="C95" s="35" t="s">
        <v>222</v>
      </c>
      <c r="D95" s="87" t="s">
        <v>224</v>
      </c>
      <c r="E95" s="33"/>
      <c r="F95" s="33">
        <v>1</v>
      </c>
      <c r="G95" s="33">
        <v>2287.54</v>
      </c>
      <c r="H95" s="61"/>
      <c r="I95" s="13">
        <f>G95*1</f>
        <v>2287.54</v>
      </c>
      <c r="J95" s="5"/>
      <c r="K95" s="5"/>
      <c r="L95" s="5"/>
      <c r="M95" s="5"/>
      <c r="N95" s="5"/>
      <c r="O95" s="5"/>
      <c r="P95" s="5"/>
      <c r="Q95" s="5"/>
      <c r="R95" s="51"/>
      <c r="S95" s="51"/>
      <c r="T95" s="51"/>
      <c r="U95" s="51"/>
    </row>
    <row r="96" spans="1:21" ht="15.75" customHeight="1">
      <c r="A96" s="29">
        <v>21</v>
      </c>
      <c r="B96" s="48" t="s">
        <v>223</v>
      </c>
      <c r="C96" s="86" t="s">
        <v>39</v>
      </c>
      <c r="D96" s="87" t="s">
        <v>190</v>
      </c>
      <c r="E96" s="33"/>
      <c r="F96" s="33">
        <v>0.01</v>
      </c>
      <c r="G96" s="33">
        <v>28224.75</v>
      </c>
      <c r="H96" s="61">
        <f t="shared" ref="H96:H97" si="6">G96*F96/1000</f>
        <v>0.28224749999999998</v>
      </c>
      <c r="I96" s="13">
        <v>0</v>
      </c>
      <c r="J96" s="5"/>
      <c r="K96" s="5"/>
      <c r="L96" s="5"/>
      <c r="M96" s="5"/>
      <c r="N96" s="5"/>
      <c r="O96" s="5"/>
      <c r="P96" s="5"/>
      <c r="Q96" s="5"/>
      <c r="R96" s="51"/>
      <c r="S96" s="51"/>
      <c r="T96" s="51"/>
      <c r="U96" s="51"/>
    </row>
    <row r="97" spans="1:21" ht="32.25" customHeight="1">
      <c r="A97" s="29">
        <v>22</v>
      </c>
      <c r="B97" s="48" t="s">
        <v>179</v>
      </c>
      <c r="C97" s="86" t="s">
        <v>37</v>
      </c>
      <c r="D97" s="87" t="s">
        <v>190</v>
      </c>
      <c r="E97" s="33"/>
      <c r="F97" s="33">
        <v>0.01</v>
      </c>
      <c r="G97" s="33">
        <v>4233.72</v>
      </c>
      <c r="H97" s="61">
        <f t="shared" si="6"/>
        <v>4.2337200000000005E-2</v>
      </c>
      <c r="I97" s="13">
        <v>0</v>
      </c>
      <c r="J97" s="5"/>
      <c r="K97" s="5"/>
      <c r="L97" s="5"/>
      <c r="M97" s="5"/>
      <c r="N97" s="5"/>
      <c r="O97" s="5"/>
      <c r="P97" s="5"/>
      <c r="Q97" s="5"/>
      <c r="R97" s="51"/>
      <c r="S97" s="51"/>
      <c r="T97" s="51"/>
      <c r="U97" s="51"/>
    </row>
    <row r="98" spans="1:21" ht="18" customHeight="1">
      <c r="A98" s="29">
        <v>23</v>
      </c>
      <c r="B98" s="48" t="s">
        <v>226</v>
      </c>
      <c r="C98" s="86" t="s">
        <v>227</v>
      </c>
      <c r="D98" s="87"/>
      <c r="E98" s="33"/>
      <c r="F98" s="33">
        <v>1</v>
      </c>
      <c r="G98" s="33">
        <v>28420</v>
      </c>
      <c r="H98" s="61"/>
      <c r="I98" s="13">
        <f>G98*1</f>
        <v>28420</v>
      </c>
      <c r="J98" s="5"/>
      <c r="K98" s="5"/>
      <c r="L98" s="5"/>
      <c r="M98" s="5"/>
      <c r="N98" s="5"/>
      <c r="O98" s="5"/>
      <c r="P98" s="5"/>
      <c r="Q98" s="5"/>
      <c r="R98" s="217"/>
      <c r="S98" s="217"/>
      <c r="T98" s="217"/>
      <c r="U98" s="217"/>
    </row>
    <row r="99" spans="1:21" ht="15.75" customHeight="1">
      <c r="A99" s="29"/>
      <c r="B99" s="40" t="s">
        <v>51</v>
      </c>
      <c r="C99" s="36"/>
      <c r="D99" s="44"/>
      <c r="E99" s="36">
        <v>1</v>
      </c>
      <c r="F99" s="36"/>
      <c r="G99" s="36"/>
      <c r="H99" s="36"/>
      <c r="I99" s="31">
        <f>SUM(I92:I98)</f>
        <v>31738.62</v>
      </c>
    </row>
    <row r="100" spans="1:21" ht="15.75" customHeight="1">
      <c r="A100" s="29"/>
      <c r="B100" s="42" t="s">
        <v>78</v>
      </c>
      <c r="C100" s="15"/>
      <c r="D100" s="15"/>
      <c r="E100" s="37"/>
      <c r="F100" s="37"/>
      <c r="G100" s="38"/>
      <c r="H100" s="38"/>
      <c r="I100" s="17">
        <v>0</v>
      </c>
    </row>
    <row r="101" spans="1:21" ht="15.75" customHeight="1">
      <c r="A101" s="45"/>
      <c r="B101" s="41" t="s">
        <v>147</v>
      </c>
      <c r="C101" s="32"/>
      <c r="D101" s="32"/>
      <c r="E101" s="32"/>
      <c r="F101" s="32"/>
      <c r="G101" s="32"/>
      <c r="H101" s="32"/>
      <c r="I101" s="39">
        <f>I90+I99</f>
        <v>149774.47859850002</v>
      </c>
    </row>
    <row r="102" spans="1:21" ht="15.75" customHeight="1">
      <c r="A102" s="247" t="s">
        <v>228</v>
      </c>
      <c r="B102" s="247"/>
      <c r="C102" s="247"/>
      <c r="D102" s="247"/>
      <c r="E102" s="247"/>
      <c r="F102" s="247"/>
      <c r="G102" s="247"/>
      <c r="H102" s="247"/>
      <c r="I102" s="247"/>
    </row>
    <row r="103" spans="1:21" ht="15.75" customHeight="1">
      <c r="A103" s="54"/>
      <c r="B103" s="248" t="s">
        <v>229</v>
      </c>
      <c r="C103" s="248"/>
      <c r="D103" s="248"/>
      <c r="E103" s="248"/>
      <c r="F103" s="248"/>
      <c r="G103" s="248"/>
      <c r="H103" s="59"/>
      <c r="I103" s="3"/>
    </row>
    <row r="104" spans="1:21" ht="15.75" customHeight="1">
      <c r="A104" s="51"/>
      <c r="B104" s="249" t="s">
        <v>6</v>
      </c>
      <c r="C104" s="249"/>
      <c r="D104" s="249"/>
      <c r="E104" s="249"/>
      <c r="F104" s="249"/>
      <c r="G104" s="249"/>
      <c r="H104" s="24"/>
      <c r="I104" s="5"/>
    </row>
    <row r="105" spans="1:21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21" ht="15.75" customHeight="1">
      <c r="A106" s="250" t="s">
        <v>7</v>
      </c>
      <c r="B106" s="250"/>
      <c r="C106" s="250"/>
      <c r="D106" s="250"/>
      <c r="E106" s="250"/>
      <c r="F106" s="250"/>
      <c r="G106" s="250"/>
      <c r="H106" s="250"/>
      <c r="I106" s="250"/>
    </row>
    <row r="107" spans="1:21" ht="15.75" customHeight="1">
      <c r="A107" s="250" t="s">
        <v>8</v>
      </c>
      <c r="B107" s="250"/>
      <c r="C107" s="250"/>
      <c r="D107" s="250"/>
      <c r="E107" s="250"/>
      <c r="F107" s="250"/>
      <c r="G107" s="250"/>
      <c r="H107" s="250"/>
      <c r="I107" s="250"/>
    </row>
    <row r="108" spans="1:21" ht="15.75" customHeight="1">
      <c r="A108" s="239" t="s">
        <v>60</v>
      </c>
      <c r="B108" s="239"/>
      <c r="C108" s="239"/>
      <c r="D108" s="239"/>
      <c r="E108" s="239"/>
      <c r="F108" s="239"/>
      <c r="G108" s="239"/>
      <c r="H108" s="239"/>
      <c r="I108" s="239"/>
    </row>
    <row r="109" spans="1:21" ht="15.75" customHeight="1">
      <c r="A109" s="11"/>
    </row>
    <row r="110" spans="1:21" ht="15.75" customHeight="1">
      <c r="A110" s="252" t="s">
        <v>9</v>
      </c>
      <c r="B110" s="252"/>
      <c r="C110" s="252"/>
      <c r="D110" s="252"/>
      <c r="E110" s="252"/>
      <c r="F110" s="252"/>
      <c r="G110" s="252"/>
      <c r="H110" s="252"/>
      <c r="I110" s="252"/>
    </row>
    <row r="111" spans="1:21" ht="15.75" customHeight="1">
      <c r="A111" s="4"/>
    </row>
    <row r="112" spans="1:21" ht="15.75" customHeight="1">
      <c r="B112" s="53" t="s">
        <v>10</v>
      </c>
      <c r="C112" s="253" t="s">
        <v>209</v>
      </c>
      <c r="D112" s="253"/>
      <c r="E112" s="253"/>
      <c r="F112" s="57"/>
      <c r="I112" s="50"/>
    </row>
    <row r="113" spans="1:9" ht="15.75" customHeight="1">
      <c r="A113" s="51"/>
      <c r="C113" s="249" t="s">
        <v>11</v>
      </c>
      <c r="D113" s="249"/>
      <c r="E113" s="249"/>
      <c r="F113" s="24"/>
      <c r="I113" s="49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53" t="s">
        <v>13</v>
      </c>
      <c r="C115" s="254"/>
      <c r="D115" s="254"/>
      <c r="E115" s="254"/>
      <c r="F115" s="58"/>
      <c r="I115" s="50"/>
    </row>
    <row r="116" spans="1:9" ht="15.75" customHeight="1">
      <c r="A116" s="51"/>
      <c r="C116" s="229" t="s">
        <v>11</v>
      </c>
      <c r="D116" s="229"/>
      <c r="E116" s="229"/>
      <c r="F116" s="51"/>
      <c r="I116" s="49" t="s">
        <v>12</v>
      </c>
    </row>
    <row r="117" spans="1:9" ht="15.75" customHeight="1">
      <c r="A117" s="4" t="s">
        <v>14</v>
      </c>
    </row>
    <row r="118" spans="1:9" ht="15.75" customHeight="1">
      <c r="A118" s="255" t="s">
        <v>15</v>
      </c>
      <c r="B118" s="255"/>
      <c r="C118" s="255"/>
      <c r="D118" s="255"/>
      <c r="E118" s="255"/>
      <c r="F118" s="255"/>
      <c r="G118" s="255"/>
      <c r="H118" s="255"/>
      <c r="I118" s="255"/>
    </row>
    <row r="119" spans="1:9" ht="45" customHeight="1">
      <c r="A119" s="251" t="s">
        <v>16</v>
      </c>
      <c r="B119" s="251"/>
      <c r="C119" s="251"/>
      <c r="D119" s="251"/>
      <c r="E119" s="251"/>
      <c r="F119" s="251"/>
      <c r="G119" s="251"/>
      <c r="H119" s="251"/>
      <c r="I119" s="251"/>
    </row>
    <row r="120" spans="1:9" ht="30" customHeight="1">
      <c r="A120" s="251" t="s">
        <v>17</v>
      </c>
      <c r="B120" s="251"/>
      <c r="C120" s="251"/>
      <c r="D120" s="251"/>
      <c r="E120" s="251"/>
      <c r="F120" s="251"/>
      <c r="G120" s="251"/>
      <c r="H120" s="251"/>
      <c r="I120" s="251"/>
    </row>
    <row r="121" spans="1:9" ht="30" customHeight="1">
      <c r="A121" s="251" t="s">
        <v>21</v>
      </c>
      <c r="B121" s="251"/>
      <c r="C121" s="251"/>
      <c r="D121" s="251"/>
      <c r="E121" s="251"/>
      <c r="F121" s="251"/>
      <c r="G121" s="251"/>
      <c r="H121" s="251"/>
      <c r="I121" s="251"/>
    </row>
    <row r="122" spans="1:9" ht="15" customHeight="1">
      <c r="A122" s="251" t="s">
        <v>20</v>
      </c>
      <c r="B122" s="251"/>
      <c r="C122" s="251"/>
      <c r="D122" s="251"/>
      <c r="E122" s="251"/>
      <c r="F122" s="251"/>
      <c r="G122" s="251"/>
      <c r="H122" s="251"/>
      <c r="I122" s="251"/>
    </row>
  </sheetData>
  <autoFilter ref="I12:I62"/>
  <mergeCells count="29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8:I28"/>
    <mergeCell ref="A47:I47"/>
    <mergeCell ref="A57:I57"/>
    <mergeCell ref="A91:I91"/>
    <mergeCell ref="A102:I102"/>
    <mergeCell ref="B103:G103"/>
    <mergeCell ref="B104:G104"/>
    <mergeCell ref="A106:I106"/>
    <mergeCell ref="A107:I107"/>
    <mergeCell ref="R67:U67"/>
    <mergeCell ref="A87:I87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8"/>
  <sheetViews>
    <sheetView topLeftCell="A87" zoomScaleNormal="100" workbookViewId="0">
      <selection activeCell="A102" sqref="A102:I102"/>
    </sheetView>
  </sheetViews>
  <sheetFormatPr defaultRowHeight="15"/>
  <cols>
    <col min="1" max="1" width="11.42578125" customWidth="1"/>
    <col min="2" max="2" width="54.7109375" customWidth="1"/>
    <col min="3" max="3" width="18.140625" customWidth="1"/>
    <col min="4" max="4" width="18" customWidth="1"/>
    <col min="5" max="6" width="0" hidden="1" customWidth="1"/>
    <col min="7" max="7" width="15.85546875" customWidth="1"/>
    <col min="8" max="8" width="0" hidden="1" customWidth="1"/>
    <col min="9" max="9" width="18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175</v>
      </c>
      <c r="B3" s="233"/>
      <c r="C3" s="233"/>
      <c r="D3" s="233"/>
      <c r="E3" s="233"/>
      <c r="F3" s="233"/>
      <c r="G3" s="233"/>
      <c r="H3" s="233"/>
      <c r="I3" s="233"/>
    </row>
    <row r="4" spans="1:9" ht="30.7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348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57"/>
      <c r="C6" s="157"/>
      <c r="D6" s="157"/>
      <c r="E6" s="157"/>
      <c r="F6" s="157"/>
      <c r="G6" s="157"/>
      <c r="H6" s="157"/>
      <c r="I6" s="134">
        <v>44500</v>
      </c>
    </row>
    <row r="7" spans="1:9" ht="15.75">
      <c r="B7" s="159"/>
      <c r="C7" s="159"/>
      <c r="D7" s="159"/>
      <c r="E7" s="3"/>
      <c r="F7" s="3"/>
      <c r="G7" s="3"/>
      <c r="H7" s="3"/>
    </row>
    <row r="8" spans="1:9" ht="79.5" customHeight="1">
      <c r="A8" s="236" t="s">
        <v>205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72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3.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</row>
    <row r="26" spans="1:9" ht="18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t="18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8" customHeight="1">
      <c r="A29" s="29">
        <v>4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>SUM(F29*G29/1000)</f>
        <v>3.9495100528000009</v>
      </c>
      <c r="I29" s="13">
        <f>F29/6*G29</f>
        <v>658.25167546666682</v>
      </c>
    </row>
    <row r="30" spans="1:9" ht="31.5" customHeight="1">
      <c r="A30" s="29">
        <v>5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>SUM(F31*G31/1000)</f>
        <v>1.4716320896000001</v>
      </c>
      <c r="I31" s="13">
        <f>F31*G31</f>
        <v>1471.6320896000002</v>
      </c>
    </row>
    <row r="32" spans="1:9" ht="17.25" customHeight="1">
      <c r="A32" s="29">
        <v>6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>SUM(F33*G33/1000)</f>
        <v>0.52190000000000003</v>
      </c>
      <c r="I33" s="13">
        <v>0</v>
      </c>
    </row>
    <row r="34" spans="1:9" hidden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>SUM(F34*G34/1000)</f>
        <v>1.54992</v>
      </c>
      <c r="I34" s="13">
        <v>0</v>
      </c>
    </row>
    <row r="35" spans="1:9" hidden="1">
      <c r="A35" s="256" t="s">
        <v>164</v>
      </c>
      <c r="B35" s="257"/>
      <c r="C35" s="257"/>
      <c r="D35" s="257"/>
      <c r="E35" s="257"/>
      <c r="F35" s="257"/>
      <c r="G35" s="257"/>
      <c r="H35" s="257"/>
      <c r="I35" s="258"/>
    </row>
    <row r="36" spans="1:9" hidden="1">
      <c r="A36" s="29">
        <v>12</v>
      </c>
      <c r="B36" s="62" t="s">
        <v>114</v>
      </c>
      <c r="C36" s="63" t="s">
        <v>107</v>
      </c>
      <c r="D36" s="62" t="s">
        <v>41</v>
      </c>
      <c r="E36" s="64">
        <v>1603.6</v>
      </c>
      <c r="F36" s="65">
        <f>SUM(E36*2/1000)</f>
        <v>3.2071999999999998</v>
      </c>
      <c r="G36" s="13">
        <v>1158.7</v>
      </c>
      <c r="H36" s="66">
        <f t="shared" ref="H36:H44" si="1">SUM(F36*G36/1000)</f>
        <v>3.71618264</v>
      </c>
      <c r="I36" s="13">
        <f>F36/2*G36</f>
        <v>1858.09132</v>
      </c>
    </row>
    <row r="37" spans="1:9" hidden="1">
      <c r="A37" s="29">
        <v>13</v>
      </c>
      <c r="B37" s="62" t="s">
        <v>34</v>
      </c>
      <c r="C37" s="63" t="s">
        <v>107</v>
      </c>
      <c r="D37" s="62" t="s">
        <v>41</v>
      </c>
      <c r="E37" s="64">
        <v>65</v>
      </c>
      <c r="F37" s="65">
        <f>SUM(E37*2/1000)</f>
        <v>0.13</v>
      </c>
      <c r="G37" s="13">
        <v>790.38</v>
      </c>
      <c r="H37" s="66">
        <f t="shared" si="1"/>
        <v>0.1027494</v>
      </c>
      <c r="I37" s="13">
        <f>F37/2*G37</f>
        <v>51.374700000000004</v>
      </c>
    </row>
    <row r="38" spans="1:9" hidden="1">
      <c r="A38" s="29">
        <v>14</v>
      </c>
      <c r="B38" s="62" t="s">
        <v>35</v>
      </c>
      <c r="C38" s="63" t="s">
        <v>107</v>
      </c>
      <c r="D38" s="62" t="s">
        <v>41</v>
      </c>
      <c r="E38" s="64">
        <v>1825.8</v>
      </c>
      <c r="F38" s="65">
        <f>SUM(E38*2/1000)</f>
        <v>3.6515999999999997</v>
      </c>
      <c r="G38" s="13">
        <v>790.38</v>
      </c>
      <c r="H38" s="66">
        <f t="shared" si="1"/>
        <v>2.8861516079999996</v>
      </c>
      <c r="I38" s="13">
        <f t="shared" ref="I38:I43" si="2">F38/2*G38</f>
        <v>1443.0758039999998</v>
      </c>
    </row>
    <row r="39" spans="1:9" hidden="1">
      <c r="A39" s="29">
        <v>15</v>
      </c>
      <c r="B39" s="62" t="s">
        <v>36</v>
      </c>
      <c r="C39" s="63" t="s">
        <v>107</v>
      </c>
      <c r="D39" s="62" t="s">
        <v>41</v>
      </c>
      <c r="E39" s="64">
        <v>3163.96</v>
      </c>
      <c r="F39" s="65">
        <f>SUM(E39*2/1000)</f>
        <v>6.3279199999999998</v>
      </c>
      <c r="G39" s="13">
        <v>827.65</v>
      </c>
      <c r="H39" s="66">
        <f t="shared" si="1"/>
        <v>5.2373029879999997</v>
      </c>
      <c r="I39" s="13">
        <f t="shared" si="2"/>
        <v>2618.6514939999997</v>
      </c>
    </row>
    <row r="40" spans="1:9" hidden="1">
      <c r="A40" s="29">
        <v>16</v>
      </c>
      <c r="B40" s="62" t="s">
        <v>55</v>
      </c>
      <c r="C40" s="63" t="s">
        <v>107</v>
      </c>
      <c r="D40" s="62" t="s">
        <v>141</v>
      </c>
      <c r="E40" s="64">
        <v>5816.5</v>
      </c>
      <c r="F40" s="65">
        <f>SUM(E40*5/1000)</f>
        <v>29.0825</v>
      </c>
      <c r="G40" s="13">
        <v>1655.27</v>
      </c>
      <c r="H40" s="66">
        <f t="shared" si="1"/>
        <v>48.139389774999998</v>
      </c>
      <c r="I40" s="13">
        <f>F40/5*G40</f>
        <v>9627.8779549999999</v>
      </c>
    </row>
    <row r="41" spans="1:9" ht="33.75" hidden="1" customHeight="1">
      <c r="A41" s="29">
        <v>10</v>
      </c>
      <c r="B41" s="62" t="s">
        <v>115</v>
      </c>
      <c r="C41" s="63" t="s">
        <v>107</v>
      </c>
      <c r="D41" s="62" t="s">
        <v>41</v>
      </c>
      <c r="E41" s="64">
        <v>5816.5</v>
      </c>
      <c r="F41" s="65">
        <f>SUM(E41*2/1000)</f>
        <v>11.632999999999999</v>
      </c>
      <c r="G41" s="13">
        <v>1655.27</v>
      </c>
      <c r="H41" s="66">
        <f t="shared" si="1"/>
        <v>19.255755910000001</v>
      </c>
      <c r="I41" s="13">
        <f t="shared" si="2"/>
        <v>9627.8779549999999</v>
      </c>
    </row>
    <row r="42" spans="1:9" ht="29.25" hidden="1" customHeight="1">
      <c r="A42" s="29">
        <v>11</v>
      </c>
      <c r="B42" s="62" t="s">
        <v>116</v>
      </c>
      <c r="C42" s="63" t="s">
        <v>37</v>
      </c>
      <c r="D42" s="62" t="s">
        <v>41</v>
      </c>
      <c r="E42" s="64">
        <v>25</v>
      </c>
      <c r="F42" s="65">
        <f>SUM(E42*2/100)</f>
        <v>0.5</v>
      </c>
      <c r="G42" s="13">
        <v>3724.37</v>
      </c>
      <c r="H42" s="66">
        <f t="shared" si="1"/>
        <v>1.862185</v>
      </c>
      <c r="I42" s="13">
        <f t="shared" si="2"/>
        <v>931.09249999999997</v>
      </c>
    </row>
    <row r="43" spans="1:9" ht="16.5" hidden="1" customHeight="1">
      <c r="A43" s="29">
        <v>12</v>
      </c>
      <c r="B43" s="62" t="s">
        <v>38</v>
      </c>
      <c r="C43" s="63" t="s">
        <v>39</v>
      </c>
      <c r="D43" s="62" t="s">
        <v>41</v>
      </c>
      <c r="E43" s="64">
        <v>1</v>
      </c>
      <c r="F43" s="65">
        <v>0.02</v>
      </c>
      <c r="G43" s="13">
        <v>7709.44</v>
      </c>
      <c r="H43" s="66">
        <f t="shared" si="1"/>
        <v>0.15418879999999999</v>
      </c>
      <c r="I43" s="13">
        <f t="shared" si="2"/>
        <v>77.094399999999993</v>
      </c>
    </row>
    <row r="44" spans="1:9" ht="18" hidden="1" customHeight="1">
      <c r="A44" s="29">
        <v>13</v>
      </c>
      <c r="B44" s="62" t="s">
        <v>40</v>
      </c>
      <c r="C44" s="63" t="s">
        <v>30</v>
      </c>
      <c r="D44" s="62" t="s">
        <v>70</v>
      </c>
      <c r="E44" s="64">
        <v>198</v>
      </c>
      <c r="F44" s="65">
        <f>SUM(E44)*3</f>
        <v>594</v>
      </c>
      <c r="G44" s="13">
        <v>89.59</v>
      </c>
      <c r="H44" s="66">
        <f t="shared" si="1"/>
        <v>53.216459999999998</v>
      </c>
      <c r="I44" s="13">
        <f>F44/3*G44</f>
        <v>17738.82</v>
      </c>
    </row>
    <row r="45" spans="1:9">
      <c r="A45" s="241" t="s">
        <v>144</v>
      </c>
      <c r="B45" s="242"/>
      <c r="C45" s="242"/>
      <c r="D45" s="242"/>
      <c r="E45" s="242"/>
      <c r="F45" s="242"/>
      <c r="G45" s="242"/>
      <c r="H45" s="242"/>
      <c r="I45" s="243"/>
    </row>
    <row r="46" spans="1:9" hidden="1">
      <c r="A46" s="29"/>
      <c r="B46" s="82" t="s">
        <v>42</v>
      </c>
      <c r="C46" s="63"/>
      <c r="D46" s="62"/>
      <c r="E46" s="64"/>
      <c r="F46" s="65"/>
      <c r="G46" s="65"/>
      <c r="H46" s="66"/>
      <c r="I46" s="13"/>
    </row>
    <row r="47" spans="1:9" ht="30" hidden="1">
      <c r="A47" s="29">
        <v>16</v>
      </c>
      <c r="B47" s="62" t="s">
        <v>118</v>
      </c>
      <c r="C47" s="63" t="s">
        <v>99</v>
      </c>
      <c r="D47" s="62" t="s">
        <v>71</v>
      </c>
      <c r="E47" s="64">
        <v>118.3</v>
      </c>
      <c r="F47" s="65">
        <f>E47*6/100</f>
        <v>7.0979999999999999</v>
      </c>
      <c r="G47" s="72">
        <v>2110.4699999999998</v>
      </c>
      <c r="H47" s="66">
        <f>F47*G47/1000</f>
        <v>14.980116059999999</v>
      </c>
      <c r="I47" s="13">
        <f>G47*1.028</f>
        <v>2169.5631599999997</v>
      </c>
    </row>
    <row r="48" spans="1:9" hidden="1">
      <c r="A48" s="29">
        <v>17</v>
      </c>
      <c r="B48" s="62" t="s">
        <v>153</v>
      </c>
      <c r="C48" s="63" t="s">
        <v>99</v>
      </c>
      <c r="D48" s="62" t="s">
        <v>71</v>
      </c>
      <c r="E48" s="71">
        <v>3.78</v>
      </c>
      <c r="F48" s="13">
        <f>E48*6/100</f>
        <v>0.2268</v>
      </c>
      <c r="G48" s="65">
        <v>2110.4699999999998</v>
      </c>
      <c r="H48" s="66">
        <f>SUM(F48*G48/1000)</f>
        <v>0.47865459599999999</v>
      </c>
      <c r="I48" s="13">
        <f>F48/6*G48</f>
        <v>79.77576599999999</v>
      </c>
    </row>
    <row r="49" spans="1:9" hidden="1">
      <c r="A49" s="29">
        <v>15</v>
      </c>
      <c r="B49" s="73" t="s">
        <v>94</v>
      </c>
      <c r="C49" s="63" t="s">
        <v>95</v>
      </c>
      <c r="D49" s="73" t="s">
        <v>41</v>
      </c>
      <c r="E49" s="74">
        <v>5</v>
      </c>
      <c r="F49" s="75">
        <v>10</v>
      </c>
      <c r="G49" s="72">
        <v>246.58</v>
      </c>
      <c r="H49" s="76">
        <v>0.99099999999999999</v>
      </c>
      <c r="I49" s="13">
        <f>F49/2*G49</f>
        <v>1232.9000000000001</v>
      </c>
    </row>
    <row r="50" spans="1:9" ht="17.25" hidden="1" customHeight="1">
      <c r="A50" s="29">
        <v>14</v>
      </c>
      <c r="B50" s="73" t="s">
        <v>154</v>
      </c>
      <c r="C50" s="77" t="s">
        <v>32</v>
      </c>
      <c r="D50" s="73" t="s">
        <v>65</v>
      </c>
      <c r="E50" s="74"/>
      <c r="F50" s="76">
        <v>5</v>
      </c>
      <c r="G50" s="96">
        <v>1645</v>
      </c>
      <c r="H50" s="76">
        <f>SUM(F50*G50/1000)</f>
        <v>8.2249999999999996</v>
      </c>
      <c r="I50" s="96">
        <f>G50*1</f>
        <v>1645</v>
      </c>
    </row>
    <row r="51" spans="1:9" ht="18" customHeight="1">
      <c r="A51" s="29"/>
      <c r="B51" s="83" t="s">
        <v>43</v>
      </c>
      <c r="C51" s="77"/>
      <c r="D51" s="62"/>
      <c r="E51" s="64"/>
      <c r="F51" s="65"/>
      <c r="G51" s="65"/>
      <c r="H51" s="65"/>
      <c r="I51" s="119"/>
    </row>
    <row r="52" spans="1:9" hidden="1">
      <c r="A52" s="29"/>
      <c r="B52" s="73" t="s">
        <v>44</v>
      </c>
      <c r="C52" s="77" t="s">
        <v>52</v>
      </c>
      <c r="D52" s="62" t="s">
        <v>53</v>
      </c>
      <c r="E52" s="64">
        <v>352</v>
      </c>
      <c r="F52" s="65">
        <f>E52/100</f>
        <v>3.52</v>
      </c>
      <c r="G52" s="65">
        <v>1082.47</v>
      </c>
      <c r="H52" s="65">
        <f>G52*F52/1000</f>
        <v>3.8102944000000001</v>
      </c>
      <c r="I52" s="119">
        <v>0</v>
      </c>
    </row>
    <row r="53" spans="1:9" ht="18.75" customHeight="1">
      <c r="A53" s="29">
        <v>7</v>
      </c>
      <c r="B53" s="73" t="s">
        <v>90</v>
      </c>
      <c r="C53" s="77" t="s">
        <v>25</v>
      </c>
      <c r="D53" s="62" t="s">
        <v>190</v>
      </c>
      <c r="E53" s="64">
        <v>200</v>
      </c>
      <c r="F53" s="65">
        <f>E53*12</f>
        <v>2400</v>
      </c>
      <c r="G53" s="65">
        <v>1.4</v>
      </c>
      <c r="H53" s="65">
        <f>G53*F53/1000</f>
        <v>3.36</v>
      </c>
      <c r="I53" s="13">
        <f>F53/12*G53</f>
        <v>280</v>
      </c>
    </row>
    <row r="54" spans="1:9" ht="14.25" customHeight="1">
      <c r="A54" s="29"/>
      <c r="B54" s="83" t="s">
        <v>45</v>
      </c>
      <c r="C54" s="77"/>
      <c r="D54" s="116"/>
      <c r="E54" s="67"/>
      <c r="F54" s="111"/>
      <c r="G54" s="111"/>
      <c r="H54" s="117" t="s">
        <v>124</v>
      </c>
      <c r="I54" s="118"/>
    </row>
    <row r="55" spans="1:9" ht="15.75" customHeight="1">
      <c r="A55" s="29">
        <v>8</v>
      </c>
      <c r="B55" s="209" t="s">
        <v>46</v>
      </c>
      <c r="C55" s="97" t="s">
        <v>117</v>
      </c>
      <c r="D55" s="88" t="s">
        <v>182</v>
      </c>
      <c r="E55" s="17">
        <v>14</v>
      </c>
      <c r="F55" s="110">
        <f>SUM(E55)</f>
        <v>14</v>
      </c>
      <c r="G55" s="33">
        <v>303.35000000000002</v>
      </c>
      <c r="H55" s="61">
        <f t="shared" ref="H55:H74" si="3">SUM(F55*G55/1000)</f>
        <v>4.2469000000000001</v>
      </c>
      <c r="I55" s="13">
        <f>G55*8</f>
        <v>2426.8000000000002</v>
      </c>
    </row>
    <row r="56" spans="1:9">
      <c r="A56" s="29"/>
      <c r="B56" s="14" t="s">
        <v>47</v>
      </c>
      <c r="C56" s="16" t="s">
        <v>117</v>
      </c>
      <c r="D56" s="14" t="s">
        <v>189</v>
      </c>
      <c r="E56" s="18">
        <v>7</v>
      </c>
      <c r="F56" s="13">
        <f>SUM(E56)</f>
        <v>7</v>
      </c>
      <c r="G56" s="13">
        <v>104.01</v>
      </c>
      <c r="H56" s="61">
        <f t="shared" si="3"/>
        <v>0.72806999999999999</v>
      </c>
      <c r="I56" s="13">
        <f>G56*2</f>
        <v>208.02</v>
      </c>
    </row>
    <row r="57" spans="1:9" hidden="1">
      <c r="A57" s="29">
        <v>24</v>
      </c>
      <c r="B57" s="14" t="s">
        <v>48</v>
      </c>
      <c r="C57" s="16" t="s">
        <v>119</v>
      </c>
      <c r="D57" s="14" t="s">
        <v>53</v>
      </c>
      <c r="E57" s="64">
        <v>23808</v>
      </c>
      <c r="F57" s="13">
        <f>SUM(E57/100)</f>
        <v>238.08</v>
      </c>
      <c r="G57" s="13">
        <v>289.37</v>
      </c>
      <c r="H57" s="61">
        <f t="shared" si="3"/>
        <v>68.893209600000006</v>
      </c>
      <c r="I57" s="13">
        <f t="shared" ref="I57:I62" si="4">F57*G57</f>
        <v>68893.209600000002</v>
      </c>
    </row>
    <row r="58" spans="1:9" hidden="1">
      <c r="A58" s="29">
        <v>25</v>
      </c>
      <c r="B58" s="14" t="s">
        <v>49</v>
      </c>
      <c r="C58" s="16" t="s">
        <v>120</v>
      </c>
      <c r="D58" s="14"/>
      <c r="E58" s="64">
        <v>23808</v>
      </c>
      <c r="F58" s="13">
        <f>SUM(E58/1000)</f>
        <v>23.808</v>
      </c>
      <c r="G58" s="13">
        <v>225.35</v>
      </c>
      <c r="H58" s="61">
        <f t="shared" si="3"/>
        <v>5.3651327999999996</v>
      </c>
      <c r="I58" s="13">
        <f t="shared" si="4"/>
        <v>5365.1327999999994</v>
      </c>
    </row>
    <row r="59" spans="1:9" hidden="1">
      <c r="A59" s="29">
        <v>26</v>
      </c>
      <c r="B59" s="14" t="s">
        <v>50</v>
      </c>
      <c r="C59" s="16" t="s">
        <v>76</v>
      </c>
      <c r="D59" s="14" t="s">
        <v>53</v>
      </c>
      <c r="E59" s="64">
        <v>3810</v>
      </c>
      <c r="F59" s="13">
        <f>SUM(E59/100)</f>
        <v>38.1</v>
      </c>
      <c r="G59" s="13">
        <v>2829.78</v>
      </c>
      <c r="H59" s="61">
        <f t="shared" si="3"/>
        <v>107.81461800000001</v>
      </c>
      <c r="I59" s="13">
        <f t="shared" si="4"/>
        <v>107814.61800000002</v>
      </c>
    </row>
    <row r="60" spans="1:9" hidden="1">
      <c r="A60" s="29">
        <v>27</v>
      </c>
      <c r="B60" s="79" t="s">
        <v>121</v>
      </c>
      <c r="C60" s="16" t="s">
        <v>33</v>
      </c>
      <c r="D60" s="14"/>
      <c r="E60" s="64">
        <v>12.8</v>
      </c>
      <c r="F60" s="13">
        <f>SUM(E60)</f>
        <v>12.8</v>
      </c>
      <c r="G60" s="13">
        <v>44.31</v>
      </c>
      <c r="H60" s="61">
        <f t="shared" si="3"/>
        <v>0.56716800000000001</v>
      </c>
      <c r="I60" s="13">
        <f t="shared" si="4"/>
        <v>567.16800000000001</v>
      </c>
    </row>
    <row r="61" spans="1:9" hidden="1">
      <c r="A61" s="29">
        <v>28</v>
      </c>
      <c r="B61" s="79" t="s">
        <v>130</v>
      </c>
      <c r="C61" s="16" t="s">
        <v>33</v>
      </c>
      <c r="D61" s="14"/>
      <c r="E61" s="64">
        <v>12.8</v>
      </c>
      <c r="F61" s="13">
        <f>SUM(E61)</f>
        <v>12.8</v>
      </c>
      <c r="G61" s="13">
        <v>47.79</v>
      </c>
      <c r="H61" s="61">
        <f t="shared" si="3"/>
        <v>0.61171200000000003</v>
      </c>
      <c r="I61" s="13">
        <f t="shared" si="4"/>
        <v>611.71199999999999</v>
      </c>
    </row>
    <row r="62" spans="1:9" hidden="1">
      <c r="A62" s="29">
        <v>20</v>
      </c>
      <c r="B62" s="14" t="s">
        <v>56</v>
      </c>
      <c r="C62" s="16" t="s">
        <v>57</v>
      </c>
      <c r="D62" s="14" t="s">
        <v>53</v>
      </c>
      <c r="E62" s="18">
        <v>6</v>
      </c>
      <c r="F62" s="65">
        <f>SUM(E62)</f>
        <v>6</v>
      </c>
      <c r="G62" s="13">
        <v>68.040000000000006</v>
      </c>
      <c r="H62" s="61">
        <f t="shared" si="3"/>
        <v>0.40823999999999999</v>
      </c>
      <c r="I62" s="13">
        <f t="shared" si="4"/>
        <v>408.24</v>
      </c>
    </row>
    <row r="63" spans="1:9" ht="35.25" customHeight="1">
      <c r="A63" s="29">
        <v>9</v>
      </c>
      <c r="B63" s="79" t="s">
        <v>155</v>
      </c>
      <c r="C63" s="16"/>
      <c r="D63" s="14" t="s">
        <v>191</v>
      </c>
      <c r="E63" s="18">
        <v>1</v>
      </c>
      <c r="F63" s="13">
        <v>12</v>
      </c>
      <c r="G63" s="13">
        <v>1194</v>
      </c>
      <c r="H63" s="61">
        <f t="shared" si="3"/>
        <v>14.327999999999999</v>
      </c>
      <c r="I63" s="13">
        <f>F63/12*G63</f>
        <v>1194</v>
      </c>
    </row>
    <row r="64" spans="1:9" ht="17.25" customHeight="1">
      <c r="A64" s="29"/>
      <c r="B64" s="158" t="s">
        <v>156</v>
      </c>
      <c r="C64" s="16"/>
      <c r="D64" s="14"/>
      <c r="E64" s="18"/>
      <c r="F64" s="55"/>
      <c r="G64" s="13"/>
      <c r="H64" s="61"/>
      <c r="I64" s="13"/>
    </row>
    <row r="65" spans="1:9" ht="28.5" customHeight="1">
      <c r="A65" s="29">
        <v>10</v>
      </c>
      <c r="B65" s="14" t="s">
        <v>157</v>
      </c>
      <c r="C65" s="29" t="s">
        <v>158</v>
      </c>
      <c r="D65" s="14"/>
      <c r="E65" s="18">
        <v>5816.5</v>
      </c>
      <c r="F65" s="65">
        <f>SUM(E65)*12</f>
        <v>69798</v>
      </c>
      <c r="G65" s="13">
        <v>2.37</v>
      </c>
      <c r="H65" s="61">
        <f>SUM(F65*G65/1000)</f>
        <v>165.42126000000002</v>
      </c>
      <c r="I65" s="13">
        <f>F65/12*G65</f>
        <v>13785.105000000001</v>
      </c>
    </row>
    <row r="66" spans="1:9" ht="30.75" customHeight="1">
      <c r="A66" s="29">
        <v>11</v>
      </c>
      <c r="B66" s="46" t="s">
        <v>159</v>
      </c>
      <c r="C66" s="60" t="s">
        <v>117</v>
      </c>
      <c r="D66" s="14" t="s">
        <v>190</v>
      </c>
      <c r="E66" s="113">
        <v>1</v>
      </c>
      <c r="F66" s="75">
        <f>E66*12</f>
        <v>12</v>
      </c>
      <c r="G66" s="96">
        <v>55.55</v>
      </c>
      <c r="H66" s="61">
        <f>SUM(F66*G66/1000)</f>
        <v>0.66659999999999986</v>
      </c>
      <c r="I66" s="13">
        <f>F66/12*G66</f>
        <v>55.55</v>
      </c>
    </row>
    <row r="67" spans="1:9" ht="15.75" hidden="1" customHeight="1">
      <c r="A67" s="105"/>
      <c r="B67" s="158" t="s">
        <v>72</v>
      </c>
      <c r="C67" s="16"/>
      <c r="D67" s="14"/>
      <c r="E67" s="18"/>
      <c r="F67" s="13"/>
      <c r="G67" s="13"/>
      <c r="H67" s="61" t="s">
        <v>124</v>
      </c>
      <c r="I67" s="106"/>
    </row>
    <row r="68" spans="1:9" ht="30" hidden="1">
      <c r="A68" s="105"/>
      <c r="B68" s="14" t="s">
        <v>160</v>
      </c>
      <c r="C68" s="16" t="s">
        <v>30</v>
      </c>
      <c r="D68" s="14" t="s">
        <v>65</v>
      </c>
      <c r="E68" s="18">
        <v>2</v>
      </c>
      <c r="F68" s="65">
        <f>E68</f>
        <v>2</v>
      </c>
      <c r="G68" s="13">
        <v>2112.2800000000002</v>
      </c>
      <c r="H68" s="61">
        <f>G68*F68/1000</f>
        <v>4.2245600000000003</v>
      </c>
      <c r="I68" s="106">
        <v>0</v>
      </c>
    </row>
    <row r="69" spans="1:9" hidden="1">
      <c r="A69" s="105"/>
      <c r="B69" s="46" t="s">
        <v>161</v>
      </c>
      <c r="C69" s="60" t="s">
        <v>117</v>
      </c>
      <c r="D69" s="14" t="s">
        <v>65</v>
      </c>
      <c r="E69" s="18">
        <v>5</v>
      </c>
      <c r="F69" s="13">
        <v>5</v>
      </c>
      <c r="G69" s="13">
        <v>136.19999999999999</v>
      </c>
      <c r="H69" s="61">
        <f>SUM(F69*G69/1000)</f>
        <v>0.68100000000000005</v>
      </c>
      <c r="I69" s="106">
        <v>0</v>
      </c>
    </row>
    <row r="70" spans="1:9" hidden="1">
      <c r="A70" s="105"/>
      <c r="B70" s="14" t="s">
        <v>73</v>
      </c>
      <c r="C70" s="16" t="s">
        <v>162</v>
      </c>
      <c r="D70" s="14" t="s">
        <v>65</v>
      </c>
      <c r="E70" s="18">
        <v>6</v>
      </c>
      <c r="F70" s="13">
        <f>E70/10</f>
        <v>0.6</v>
      </c>
      <c r="G70" s="13">
        <v>684.19</v>
      </c>
      <c r="H70" s="61">
        <f>SUM(F70*G70/1000)</f>
        <v>0.41051399999999999</v>
      </c>
      <c r="I70" s="106">
        <v>0</v>
      </c>
    </row>
    <row r="71" spans="1:9" hidden="1">
      <c r="A71" s="105"/>
      <c r="B71" s="14" t="s">
        <v>74</v>
      </c>
      <c r="C71" s="16" t="s">
        <v>30</v>
      </c>
      <c r="D71" s="14" t="s">
        <v>65</v>
      </c>
      <c r="E71" s="18">
        <v>1</v>
      </c>
      <c r="F71" s="55">
        <v>1</v>
      </c>
      <c r="G71" s="13">
        <v>1163.47</v>
      </c>
      <c r="H71" s="61">
        <f>SUM(F71*G71/1000)</f>
        <v>1.16347</v>
      </c>
      <c r="I71" s="106">
        <v>0</v>
      </c>
    </row>
    <row r="72" spans="1:9" hidden="1">
      <c r="A72" s="105"/>
      <c r="B72" s="46" t="s">
        <v>163</v>
      </c>
      <c r="C72" s="60" t="s">
        <v>117</v>
      </c>
      <c r="D72" s="14" t="s">
        <v>65</v>
      </c>
      <c r="E72" s="18">
        <v>1</v>
      </c>
      <c r="F72" s="65">
        <f>E72</f>
        <v>1</v>
      </c>
      <c r="G72" s="13">
        <v>1670.07</v>
      </c>
      <c r="H72" s="61">
        <f>SUM(F72*G72/1000)</f>
        <v>1.6700699999999999</v>
      </c>
      <c r="I72" s="106">
        <v>0</v>
      </c>
    </row>
    <row r="73" spans="1:9" hidden="1">
      <c r="A73" s="105"/>
      <c r="B73" s="80" t="s">
        <v>75</v>
      </c>
      <c r="C73" s="16"/>
      <c r="D73" s="14"/>
      <c r="E73" s="18"/>
      <c r="F73" s="13"/>
      <c r="G73" s="13" t="s">
        <v>124</v>
      </c>
      <c r="H73" s="61" t="s">
        <v>124</v>
      </c>
      <c r="I73" s="106"/>
    </row>
    <row r="74" spans="1:9" hidden="1">
      <c r="A74" s="105"/>
      <c r="B74" s="42" t="s">
        <v>125</v>
      </c>
      <c r="C74" s="16" t="s">
        <v>76</v>
      </c>
      <c r="D74" s="14"/>
      <c r="E74" s="18"/>
      <c r="F74" s="13">
        <v>0.6</v>
      </c>
      <c r="G74" s="13">
        <v>4144.28</v>
      </c>
      <c r="H74" s="61">
        <f t="shared" si="3"/>
        <v>2.4865679999999997</v>
      </c>
      <c r="I74" s="106">
        <v>0</v>
      </c>
    </row>
    <row r="75" spans="1:9">
      <c r="A75" s="105"/>
      <c r="B75" s="158" t="s">
        <v>122</v>
      </c>
      <c r="C75" s="80"/>
      <c r="D75" s="112"/>
      <c r="E75" s="31"/>
      <c r="F75" s="114"/>
      <c r="G75" s="114"/>
      <c r="H75" s="115">
        <f>SUM(H47:H74)</f>
        <v>411.53215745600005</v>
      </c>
      <c r="I75" s="106"/>
    </row>
    <row r="76" spans="1:9">
      <c r="A76" s="105">
        <v>12</v>
      </c>
      <c r="B76" s="62" t="s">
        <v>123</v>
      </c>
      <c r="C76" s="16"/>
      <c r="D76" s="14"/>
      <c r="E76" s="56"/>
      <c r="F76" s="13">
        <v>1</v>
      </c>
      <c r="G76" s="13">
        <v>2036.8</v>
      </c>
      <c r="H76" s="61">
        <f>G76*F76/1000</f>
        <v>2.0367999999999999</v>
      </c>
      <c r="I76" s="106">
        <f>G76*1</f>
        <v>2036.8</v>
      </c>
    </row>
    <row r="77" spans="1:9">
      <c r="A77" s="230" t="s">
        <v>145</v>
      </c>
      <c r="B77" s="231"/>
      <c r="C77" s="231"/>
      <c r="D77" s="231"/>
      <c r="E77" s="231"/>
      <c r="F77" s="231"/>
      <c r="G77" s="231"/>
      <c r="H77" s="231"/>
      <c r="I77" s="232"/>
    </row>
    <row r="78" spans="1:9" ht="15" customHeight="1">
      <c r="A78" s="105">
        <v>13</v>
      </c>
      <c r="B78" s="62" t="s">
        <v>126</v>
      </c>
      <c r="C78" s="16" t="s">
        <v>54</v>
      </c>
      <c r="D78" s="81"/>
      <c r="E78" s="13">
        <v>5816.5</v>
      </c>
      <c r="F78" s="13">
        <f>SUM(E78*12)</f>
        <v>69798</v>
      </c>
      <c r="G78" s="13">
        <v>3.22</v>
      </c>
      <c r="H78" s="61">
        <f>SUM(F78*G78/1000)</f>
        <v>224.74956000000003</v>
      </c>
      <c r="I78" s="13">
        <f>F78/12*G78</f>
        <v>18729.13</v>
      </c>
    </row>
    <row r="79" spans="1:9" ht="28.5" customHeight="1">
      <c r="A79" s="29">
        <v>14</v>
      </c>
      <c r="B79" s="14" t="s">
        <v>77</v>
      </c>
      <c r="C79" s="16"/>
      <c r="D79" s="81"/>
      <c r="E79" s="64">
        <f>E78</f>
        <v>5816.5</v>
      </c>
      <c r="F79" s="13">
        <f>E79*12</f>
        <v>69798</v>
      </c>
      <c r="G79" s="13">
        <v>3.64</v>
      </c>
      <c r="H79" s="61">
        <f>F79*G79/1000</f>
        <v>254.06471999999999</v>
      </c>
      <c r="I79" s="13">
        <f>F79/12*G79</f>
        <v>21172.06</v>
      </c>
    </row>
    <row r="80" spans="1:9">
      <c r="A80" s="160"/>
      <c r="B80" s="34" t="s">
        <v>79</v>
      </c>
      <c r="C80" s="35"/>
      <c r="D80" s="15"/>
      <c r="E80" s="15"/>
      <c r="F80" s="15"/>
      <c r="G80" s="18"/>
      <c r="H80" s="18"/>
      <c r="I80" s="31">
        <f>I79+I78+I66+I65+I63+I56+I55+I53+I32+I30+I29+I18+I17+I16+I76</f>
        <v>97240.6982594</v>
      </c>
    </row>
    <row r="81" spans="1:9">
      <c r="A81" s="244" t="s">
        <v>59</v>
      </c>
      <c r="B81" s="245"/>
      <c r="C81" s="245"/>
      <c r="D81" s="245"/>
      <c r="E81" s="245"/>
      <c r="F81" s="245"/>
      <c r="G81" s="245"/>
      <c r="H81" s="245"/>
      <c r="I81" s="246"/>
    </row>
    <row r="82" spans="1:9">
      <c r="A82" s="29">
        <v>15</v>
      </c>
      <c r="B82" s="48" t="s">
        <v>148</v>
      </c>
      <c r="C82" s="86" t="s">
        <v>166</v>
      </c>
      <c r="D82" s="87">
        <v>39</v>
      </c>
      <c r="E82" s="33"/>
      <c r="F82" s="33">
        <v>112</v>
      </c>
      <c r="G82" s="33">
        <v>295.36</v>
      </c>
      <c r="H82" s="85"/>
      <c r="I82" s="47">
        <v>0</v>
      </c>
    </row>
    <row r="83" spans="1:9">
      <c r="A83" s="29">
        <v>16</v>
      </c>
      <c r="B83" s="48" t="s">
        <v>293</v>
      </c>
      <c r="C83" s="86" t="s">
        <v>166</v>
      </c>
      <c r="D83" s="87" t="s">
        <v>355</v>
      </c>
      <c r="E83" s="33"/>
      <c r="F83" s="33">
        <v>12</v>
      </c>
      <c r="G83" s="33">
        <v>295.36</v>
      </c>
      <c r="H83" s="85"/>
      <c r="I83" s="47">
        <f>G83*6</f>
        <v>1772.16</v>
      </c>
    </row>
    <row r="84" spans="1:9" ht="30">
      <c r="A84" s="29">
        <v>17</v>
      </c>
      <c r="B84" s="48" t="s">
        <v>349</v>
      </c>
      <c r="C84" s="219" t="s">
        <v>91</v>
      </c>
      <c r="D84" s="87" t="s">
        <v>224</v>
      </c>
      <c r="E84" s="33"/>
      <c r="F84" s="33">
        <v>0.02</v>
      </c>
      <c r="G84" s="33">
        <v>11110.37</v>
      </c>
      <c r="H84" s="85"/>
      <c r="I84" s="47">
        <f>G84*0.02</f>
        <v>222.20740000000001</v>
      </c>
    </row>
    <row r="85" spans="1:9">
      <c r="A85" s="29">
        <v>18</v>
      </c>
      <c r="B85" s="48" t="s">
        <v>350</v>
      </c>
      <c r="C85" s="86" t="s">
        <v>117</v>
      </c>
      <c r="D85" s="87" t="s">
        <v>356</v>
      </c>
      <c r="E85" s="33"/>
      <c r="F85" s="33">
        <v>1</v>
      </c>
      <c r="G85" s="33">
        <v>362.2</v>
      </c>
      <c r="H85" s="85"/>
      <c r="I85" s="47">
        <f>G85*1</f>
        <v>362.2</v>
      </c>
    </row>
    <row r="86" spans="1:9" ht="31.5" customHeight="1">
      <c r="A86" s="29">
        <v>19</v>
      </c>
      <c r="B86" s="48" t="s">
        <v>232</v>
      </c>
      <c r="C86" s="86" t="s">
        <v>117</v>
      </c>
      <c r="D86" s="87" t="s">
        <v>359</v>
      </c>
      <c r="E86" s="33"/>
      <c r="F86" s="33">
        <v>6</v>
      </c>
      <c r="G86" s="33">
        <v>1226.45</v>
      </c>
      <c r="H86" s="85"/>
      <c r="I86" s="47">
        <f>G86*2</f>
        <v>2452.9</v>
      </c>
    </row>
    <row r="87" spans="1:9" ht="30">
      <c r="A87" s="29">
        <v>20</v>
      </c>
      <c r="B87" s="48" t="s">
        <v>139</v>
      </c>
      <c r="C87" s="86" t="s">
        <v>98</v>
      </c>
      <c r="D87" s="87" t="s">
        <v>354</v>
      </c>
      <c r="E87" s="33"/>
      <c r="F87" s="33">
        <v>3</v>
      </c>
      <c r="G87" s="33">
        <v>64.040000000000006</v>
      </c>
      <c r="H87" s="85"/>
      <c r="I87" s="47">
        <v>0</v>
      </c>
    </row>
    <row r="88" spans="1:9" ht="30">
      <c r="A88" s="29">
        <v>21</v>
      </c>
      <c r="B88" s="223" t="s">
        <v>178</v>
      </c>
      <c r="C88" s="29" t="s">
        <v>166</v>
      </c>
      <c r="D88" s="87" t="s">
        <v>358</v>
      </c>
      <c r="E88" s="33"/>
      <c r="F88" s="33">
        <v>10.5</v>
      </c>
      <c r="G88" s="33">
        <v>1584.54</v>
      </c>
      <c r="H88" s="85"/>
      <c r="I88" s="47">
        <f>G88*0.5</f>
        <v>792.27</v>
      </c>
    </row>
    <row r="89" spans="1:9" ht="30">
      <c r="A89" s="29">
        <v>22</v>
      </c>
      <c r="B89" s="48" t="s">
        <v>174</v>
      </c>
      <c r="C89" s="86" t="s">
        <v>86</v>
      </c>
      <c r="D89" s="88" t="s">
        <v>357</v>
      </c>
      <c r="E89" s="33"/>
      <c r="F89" s="33">
        <v>9</v>
      </c>
      <c r="G89" s="33">
        <v>697.33</v>
      </c>
      <c r="H89" s="85"/>
      <c r="I89" s="47">
        <f>G89*2</f>
        <v>1394.66</v>
      </c>
    </row>
    <row r="90" spans="1:9" ht="30">
      <c r="A90" s="29">
        <v>23</v>
      </c>
      <c r="B90" s="48" t="s">
        <v>302</v>
      </c>
      <c r="C90" s="86" t="s">
        <v>86</v>
      </c>
      <c r="D90" s="87" t="s">
        <v>303</v>
      </c>
      <c r="E90" s="33"/>
      <c r="F90" s="33">
        <v>2</v>
      </c>
      <c r="G90" s="33">
        <v>949.97</v>
      </c>
      <c r="H90" s="85"/>
      <c r="I90" s="47">
        <f>G90*1</f>
        <v>949.97</v>
      </c>
    </row>
    <row r="91" spans="1:9" ht="30">
      <c r="A91" s="29">
        <v>24</v>
      </c>
      <c r="B91" s="48" t="s">
        <v>323</v>
      </c>
      <c r="C91" s="86" t="s">
        <v>117</v>
      </c>
      <c r="D91" s="87"/>
      <c r="E91" s="33"/>
      <c r="F91" s="33">
        <v>6</v>
      </c>
      <c r="G91" s="33">
        <v>224.48</v>
      </c>
      <c r="H91" s="85"/>
      <c r="I91" s="47">
        <f>G91*1</f>
        <v>224.48</v>
      </c>
    </row>
    <row r="92" spans="1:9">
      <c r="A92" s="29">
        <v>25</v>
      </c>
      <c r="B92" s="48" t="s">
        <v>195</v>
      </c>
      <c r="C92" s="86" t="s">
        <v>39</v>
      </c>
      <c r="D92" s="87">
        <v>3</v>
      </c>
      <c r="E92" s="33"/>
      <c r="F92" s="33">
        <v>0.12</v>
      </c>
      <c r="G92" s="33">
        <v>28224.75</v>
      </c>
      <c r="H92" s="85"/>
      <c r="I92" s="47">
        <v>0</v>
      </c>
    </row>
    <row r="93" spans="1:9">
      <c r="A93" s="29">
        <v>26</v>
      </c>
      <c r="B93" s="48" t="s">
        <v>351</v>
      </c>
      <c r="C93" s="219" t="s">
        <v>352</v>
      </c>
      <c r="D93" s="87" t="s">
        <v>340</v>
      </c>
      <c r="E93" s="33"/>
      <c r="F93" s="33">
        <v>1</v>
      </c>
      <c r="G93" s="33">
        <v>182.26</v>
      </c>
      <c r="H93" s="85"/>
      <c r="I93" s="47">
        <f>G93*1</f>
        <v>182.26</v>
      </c>
    </row>
    <row r="94" spans="1:9">
      <c r="A94" s="29">
        <v>27</v>
      </c>
      <c r="B94" s="48" t="s">
        <v>353</v>
      </c>
      <c r="C94" s="219" t="s">
        <v>117</v>
      </c>
      <c r="D94" s="87"/>
      <c r="E94" s="33"/>
      <c r="F94" s="33">
        <v>0.5</v>
      </c>
      <c r="G94" s="33">
        <v>453</v>
      </c>
      <c r="H94" s="85"/>
      <c r="I94" s="47">
        <f>G94*0.5</f>
        <v>226.5</v>
      </c>
    </row>
    <row r="95" spans="1:9" ht="18" customHeight="1">
      <c r="A95" s="29"/>
      <c r="B95" s="40" t="s">
        <v>51</v>
      </c>
      <c r="C95" s="36"/>
      <c r="D95" s="44"/>
      <c r="E95" s="36">
        <v>1</v>
      </c>
      <c r="F95" s="36"/>
      <c r="G95" s="36"/>
      <c r="H95" s="36"/>
      <c r="I95" s="31">
        <f>SUM(I82:I94)</f>
        <v>8579.607399999999</v>
      </c>
    </row>
    <row r="96" spans="1:9">
      <c r="A96" s="29"/>
      <c r="B96" s="42" t="s">
        <v>78</v>
      </c>
      <c r="C96" s="15"/>
      <c r="D96" s="15"/>
      <c r="E96" s="37"/>
      <c r="F96" s="37"/>
      <c r="G96" s="38"/>
      <c r="H96" s="38"/>
      <c r="I96" s="17">
        <v>0</v>
      </c>
    </row>
    <row r="97" spans="1:9">
      <c r="A97" s="45"/>
      <c r="B97" s="41" t="s">
        <v>147</v>
      </c>
      <c r="C97" s="32"/>
      <c r="D97" s="32"/>
      <c r="E97" s="32"/>
      <c r="F97" s="32"/>
      <c r="G97" s="32"/>
      <c r="H97" s="32"/>
      <c r="I97" s="39">
        <f>I95+I80</f>
        <v>105820.30565939999</v>
      </c>
    </row>
    <row r="98" spans="1:9" ht="15.75">
      <c r="A98" s="247" t="s">
        <v>375</v>
      </c>
      <c r="B98" s="247"/>
      <c r="C98" s="247"/>
      <c r="D98" s="247"/>
      <c r="E98" s="247"/>
      <c r="F98" s="247"/>
      <c r="G98" s="247"/>
      <c r="H98" s="247"/>
      <c r="I98" s="247"/>
    </row>
    <row r="99" spans="1:9" ht="15.75">
      <c r="A99" s="54"/>
      <c r="B99" s="248" t="s">
        <v>376</v>
      </c>
      <c r="C99" s="248"/>
      <c r="D99" s="248"/>
      <c r="E99" s="248"/>
      <c r="F99" s="248"/>
      <c r="G99" s="248"/>
      <c r="H99" s="59"/>
      <c r="I99" s="3"/>
    </row>
    <row r="100" spans="1:9">
      <c r="A100" s="156"/>
      <c r="B100" s="249" t="s">
        <v>6</v>
      </c>
      <c r="C100" s="249"/>
      <c r="D100" s="249"/>
      <c r="E100" s="249"/>
      <c r="F100" s="249"/>
      <c r="G100" s="249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50" t="s">
        <v>7</v>
      </c>
      <c r="B102" s="250"/>
      <c r="C102" s="250"/>
      <c r="D102" s="250"/>
      <c r="E102" s="250"/>
      <c r="F102" s="250"/>
      <c r="G102" s="250"/>
      <c r="H102" s="250"/>
      <c r="I102" s="250"/>
    </row>
    <row r="103" spans="1:9" ht="15.75">
      <c r="A103" s="250" t="s">
        <v>8</v>
      </c>
      <c r="B103" s="250"/>
      <c r="C103" s="250"/>
      <c r="D103" s="250"/>
      <c r="E103" s="250"/>
      <c r="F103" s="250"/>
      <c r="G103" s="250"/>
      <c r="H103" s="250"/>
      <c r="I103" s="250"/>
    </row>
    <row r="104" spans="1:9" ht="15.75">
      <c r="A104" s="239" t="s">
        <v>60</v>
      </c>
      <c r="B104" s="239"/>
      <c r="C104" s="239"/>
      <c r="D104" s="239"/>
      <c r="E104" s="239"/>
      <c r="F104" s="239"/>
      <c r="G104" s="239"/>
      <c r="H104" s="239"/>
      <c r="I104" s="239"/>
    </row>
    <row r="105" spans="1:9" ht="15.75">
      <c r="A105" s="11"/>
    </row>
    <row r="106" spans="1:9" ht="15.75">
      <c r="A106" s="252" t="s">
        <v>9</v>
      </c>
      <c r="B106" s="252"/>
      <c r="C106" s="252"/>
      <c r="D106" s="252"/>
      <c r="E106" s="252"/>
      <c r="F106" s="252"/>
      <c r="G106" s="252"/>
      <c r="H106" s="252"/>
      <c r="I106" s="252"/>
    </row>
    <row r="107" spans="1:9" ht="15.75">
      <c r="A107" s="4"/>
    </row>
    <row r="108" spans="1:9" ht="15.75">
      <c r="B108" s="159" t="s">
        <v>10</v>
      </c>
      <c r="C108" s="253" t="s">
        <v>209</v>
      </c>
      <c r="D108" s="253"/>
      <c r="E108" s="253"/>
      <c r="F108" s="57"/>
      <c r="I108" s="162"/>
    </row>
    <row r="109" spans="1:9">
      <c r="A109" s="156"/>
      <c r="C109" s="249" t="s">
        <v>11</v>
      </c>
      <c r="D109" s="249"/>
      <c r="E109" s="249"/>
      <c r="F109" s="24"/>
      <c r="I109" s="161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159" t="s">
        <v>13</v>
      </c>
      <c r="C111" s="254"/>
      <c r="D111" s="254"/>
      <c r="E111" s="254"/>
      <c r="F111" s="58"/>
      <c r="I111" s="162"/>
    </row>
    <row r="112" spans="1:9">
      <c r="A112" s="156"/>
      <c r="C112" s="229" t="s">
        <v>11</v>
      </c>
      <c r="D112" s="229"/>
      <c r="E112" s="229"/>
      <c r="F112" s="156"/>
      <c r="I112" s="161" t="s">
        <v>12</v>
      </c>
    </row>
    <row r="113" spans="1:9" ht="15.75">
      <c r="A113" s="4" t="s">
        <v>14</v>
      </c>
    </row>
    <row r="114" spans="1:9">
      <c r="A114" s="255" t="s">
        <v>15</v>
      </c>
      <c r="B114" s="255"/>
      <c r="C114" s="255"/>
      <c r="D114" s="255"/>
      <c r="E114" s="255"/>
      <c r="F114" s="255"/>
      <c r="G114" s="255"/>
      <c r="H114" s="255"/>
      <c r="I114" s="255"/>
    </row>
    <row r="115" spans="1:9" ht="47.25" customHeight="1">
      <c r="A115" s="251" t="s">
        <v>16</v>
      </c>
      <c r="B115" s="251"/>
      <c r="C115" s="251"/>
      <c r="D115" s="251"/>
      <c r="E115" s="251"/>
      <c r="F115" s="251"/>
      <c r="G115" s="251"/>
      <c r="H115" s="251"/>
      <c r="I115" s="251"/>
    </row>
    <row r="116" spans="1:9" ht="33" customHeight="1">
      <c r="A116" s="251" t="s">
        <v>17</v>
      </c>
      <c r="B116" s="251"/>
      <c r="C116" s="251"/>
      <c r="D116" s="251"/>
      <c r="E116" s="251"/>
      <c r="F116" s="251"/>
      <c r="G116" s="251"/>
      <c r="H116" s="251"/>
      <c r="I116" s="251"/>
    </row>
    <row r="117" spans="1:9" ht="34.5" customHeight="1">
      <c r="A117" s="251" t="s">
        <v>21</v>
      </c>
      <c r="B117" s="251"/>
      <c r="C117" s="251"/>
      <c r="D117" s="251"/>
      <c r="E117" s="251"/>
      <c r="F117" s="251"/>
      <c r="G117" s="251"/>
      <c r="H117" s="251"/>
      <c r="I117" s="251"/>
    </row>
    <row r="118" spans="1:9" ht="15.75">
      <c r="A118" s="251" t="s">
        <v>20</v>
      </c>
      <c r="B118" s="251"/>
      <c r="C118" s="251"/>
      <c r="D118" s="251"/>
      <c r="E118" s="251"/>
      <c r="F118" s="251"/>
      <c r="G118" s="251"/>
      <c r="H118" s="251"/>
      <c r="I118" s="251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35:I35"/>
    <mergeCell ref="A45:I45"/>
    <mergeCell ref="A77:I77"/>
    <mergeCell ref="A81:I81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31496062992125984" top="0.74803149606299213" bottom="0.74803149606299213" header="0.31496062992125984" footer="0.31496062992125984"/>
  <pageSetup paperSize="9"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4"/>
  <sheetViews>
    <sheetView view="pageBreakPreview" topLeftCell="A66" zoomScale="60" zoomScaleNormal="100" workbookViewId="0">
      <selection activeCell="I66" sqref="I66"/>
    </sheetView>
  </sheetViews>
  <sheetFormatPr defaultRowHeight="15"/>
  <cols>
    <col min="1" max="1" width="12.7109375" customWidth="1"/>
    <col min="2" max="2" width="49.5703125" customWidth="1"/>
    <col min="3" max="3" width="18" customWidth="1"/>
    <col min="4" max="4" width="18.5703125" customWidth="1"/>
    <col min="5" max="5" width="13" hidden="1" customWidth="1"/>
    <col min="6" max="6" width="14.5703125" hidden="1" customWidth="1"/>
    <col min="7" max="7" width="16.28515625" customWidth="1"/>
    <col min="8" max="8" width="0" hidden="1" customWidth="1"/>
    <col min="9" max="9" width="16.570312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176</v>
      </c>
      <c r="B3" s="233"/>
      <c r="C3" s="233"/>
      <c r="D3" s="233"/>
      <c r="E3" s="233"/>
      <c r="F3" s="233"/>
      <c r="G3" s="233"/>
      <c r="H3" s="233"/>
      <c r="I3" s="233"/>
    </row>
    <row r="4" spans="1:9" ht="37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360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68"/>
      <c r="C6" s="168"/>
      <c r="D6" s="168"/>
      <c r="E6" s="168"/>
      <c r="F6" s="168"/>
      <c r="G6" s="168"/>
      <c r="H6" s="168"/>
      <c r="I6" s="134">
        <v>44530</v>
      </c>
    </row>
    <row r="7" spans="1:9" ht="15.75">
      <c r="B7" s="166"/>
      <c r="C7" s="166"/>
      <c r="D7" s="166"/>
      <c r="E7" s="3"/>
      <c r="F7" s="3"/>
      <c r="G7" s="3"/>
      <c r="H7" s="3"/>
    </row>
    <row r="8" spans="1:9" ht="95.25" customHeight="1">
      <c r="A8" s="236" t="s">
        <v>210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74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7.2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6.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t="20.25" hidden="1" customHeight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 ht="23.25" hidden="1" customHeight="1">
      <c r="A20" s="29">
        <v>4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t="19.5" hidden="1" customHeight="1">
      <c r="A21" s="29">
        <v>5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t="17.25" hidden="1" customHeight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</row>
    <row r="23" spans="1:9" ht="18" hidden="1" customHeight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</row>
    <row r="24" spans="1:9" ht="16.5" hidden="1" customHeight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</row>
    <row r="25" spans="1:9" ht="15.75" hidden="1" customHeight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</row>
    <row r="26" spans="1:9" ht="16.5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0" t="s">
        <v>23</v>
      </c>
      <c r="C27" s="63" t="s">
        <v>24</v>
      </c>
      <c r="D27" s="70"/>
      <c r="E27" s="64">
        <v>5816.5</v>
      </c>
      <c r="F27" s="65">
        <f>SUM(E27*12)</f>
        <v>69798</v>
      </c>
      <c r="G27" s="65">
        <v>4.5199999999999996</v>
      </c>
      <c r="H27" s="66">
        <f>SUM(F27*G27/1000)</f>
        <v>315.48695999999995</v>
      </c>
      <c r="I27" s="13">
        <f>F27/12*G27</f>
        <v>26290.579999999998</v>
      </c>
    </row>
    <row r="28" spans="1:9">
      <c r="A28" s="240" t="s">
        <v>83</v>
      </c>
      <c r="B28" s="240"/>
      <c r="C28" s="240"/>
      <c r="D28" s="240"/>
      <c r="E28" s="240"/>
      <c r="F28" s="240"/>
      <c r="G28" s="240"/>
      <c r="H28" s="240"/>
      <c r="I28" s="240"/>
    </row>
    <row r="29" spans="1:9" hidden="1">
      <c r="A29" s="29"/>
      <c r="B29" s="82" t="s">
        <v>28</v>
      </c>
      <c r="C29" s="63"/>
      <c r="D29" s="62"/>
      <c r="E29" s="64"/>
      <c r="F29" s="65"/>
      <c r="G29" s="65"/>
      <c r="H29" s="66"/>
      <c r="I29" s="13"/>
    </row>
    <row r="30" spans="1:9" hidden="1">
      <c r="A30" s="29">
        <v>6</v>
      </c>
      <c r="B30" s="62" t="s">
        <v>106</v>
      </c>
      <c r="C30" s="63" t="s">
        <v>107</v>
      </c>
      <c r="D30" s="62" t="s">
        <v>108</v>
      </c>
      <c r="E30" s="65">
        <v>357.22</v>
      </c>
      <c r="F30" s="65">
        <f>SUM(E30*52/1000)</f>
        <v>18.575440000000004</v>
      </c>
      <c r="G30" s="65">
        <v>212.62</v>
      </c>
      <c r="H30" s="66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2" t="s">
        <v>140</v>
      </c>
      <c r="C31" s="63" t="s">
        <v>107</v>
      </c>
      <c r="D31" s="62" t="s">
        <v>109</v>
      </c>
      <c r="E31" s="65">
        <v>475.06</v>
      </c>
      <c r="F31" s="65">
        <f>SUM(E31*78/1000)</f>
        <v>37.054679999999998</v>
      </c>
      <c r="G31" s="65">
        <v>352.77</v>
      </c>
      <c r="H31" s="66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2" t="s">
        <v>27</v>
      </c>
      <c r="C32" s="63" t="s">
        <v>107</v>
      </c>
      <c r="D32" s="62" t="s">
        <v>53</v>
      </c>
      <c r="E32" s="65">
        <v>357.22</v>
      </c>
      <c r="F32" s="65">
        <f>SUM(E32/1000)</f>
        <v>0.35722000000000004</v>
      </c>
      <c r="G32" s="65">
        <v>4119.68</v>
      </c>
      <c r="H32" s="66">
        <f t="shared" si="1"/>
        <v>1.4716320896000001</v>
      </c>
      <c r="I32" s="13">
        <f>F32*G32</f>
        <v>1471.6320896000002</v>
      </c>
    </row>
    <row r="33" spans="1:9" ht="19.5" hidden="1" customHeight="1">
      <c r="A33" s="29">
        <v>8</v>
      </c>
      <c r="B33" s="62" t="s">
        <v>135</v>
      </c>
      <c r="C33" s="63" t="s">
        <v>39</v>
      </c>
      <c r="D33" s="62" t="s">
        <v>149</v>
      </c>
      <c r="E33" s="65">
        <v>5</v>
      </c>
      <c r="F33" s="65">
        <f>E33*155/100</f>
        <v>7.75</v>
      </c>
      <c r="G33" s="65">
        <v>1775.94</v>
      </c>
      <c r="H33" s="66">
        <f>G33*F33/1000</f>
        <v>13.763534999999999</v>
      </c>
      <c r="I33" s="13">
        <f>F33/6*G33</f>
        <v>2293.9225000000001</v>
      </c>
    </row>
    <row r="34" spans="1:9" ht="19.5" hidden="1" customHeight="1">
      <c r="A34" s="29">
        <v>9</v>
      </c>
      <c r="B34" s="62" t="s">
        <v>110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77.33</v>
      </c>
      <c r="H34" s="66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2" t="s">
        <v>63</v>
      </c>
      <c r="C35" s="63" t="s">
        <v>33</v>
      </c>
      <c r="D35" s="62" t="s">
        <v>65</v>
      </c>
      <c r="E35" s="64"/>
      <c r="F35" s="65">
        <v>2</v>
      </c>
      <c r="G35" s="65">
        <v>260.95</v>
      </c>
      <c r="H35" s="66">
        <f t="shared" si="1"/>
        <v>0.52190000000000003</v>
      </c>
      <c r="I35" s="13">
        <v>0</v>
      </c>
    </row>
    <row r="36" spans="1:9" ht="22.5" hidden="1" customHeight="1">
      <c r="A36" s="29"/>
      <c r="B36" s="62" t="s">
        <v>64</v>
      </c>
      <c r="C36" s="63" t="s">
        <v>32</v>
      </c>
      <c r="D36" s="62" t="s">
        <v>65</v>
      </c>
      <c r="E36" s="64"/>
      <c r="F36" s="65">
        <v>1</v>
      </c>
      <c r="G36" s="65">
        <v>1549.92</v>
      </c>
      <c r="H36" s="66">
        <f t="shared" si="1"/>
        <v>1.54992</v>
      </c>
      <c r="I36" s="13">
        <v>0</v>
      </c>
    </row>
    <row r="37" spans="1:9" ht="15" customHeight="1">
      <c r="A37" s="29"/>
      <c r="B37" s="82" t="s">
        <v>5</v>
      </c>
      <c r="C37" s="63"/>
      <c r="D37" s="62"/>
      <c r="E37" s="64"/>
      <c r="F37" s="65"/>
      <c r="G37" s="65"/>
      <c r="H37" s="66" t="s">
        <v>124</v>
      </c>
      <c r="I37" s="13"/>
    </row>
    <row r="38" spans="1:9" ht="18" customHeight="1">
      <c r="A38" s="29">
        <v>4</v>
      </c>
      <c r="B38" s="62" t="s">
        <v>26</v>
      </c>
      <c r="C38" s="63" t="s">
        <v>32</v>
      </c>
      <c r="D38" s="62" t="s">
        <v>361</v>
      </c>
      <c r="E38" s="64"/>
      <c r="F38" s="65">
        <v>5</v>
      </c>
      <c r="G38" s="65">
        <v>2083</v>
      </c>
      <c r="H38" s="66">
        <f t="shared" ref="H38:H45" si="2">SUM(F38*G38/1000)</f>
        <v>10.414999999999999</v>
      </c>
      <c r="I38" s="13">
        <f>G38*1</f>
        <v>2083</v>
      </c>
    </row>
    <row r="39" spans="1:9" ht="15.75" customHeight="1">
      <c r="A39" s="29">
        <v>5</v>
      </c>
      <c r="B39" s="62" t="s">
        <v>66</v>
      </c>
      <c r="C39" s="63" t="s">
        <v>29</v>
      </c>
      <c r="D39" s="62" t="s">
        <v>185</v>
      </c>
      <c r="E39" s="65">
        <v>469.73</v>
      </c>
      <c r="F39" s="65">
        <f>SUM(E39*30/1000)</f>
        <v>14.091900000000001</v>
      </c>
      <c r="G39" s="65">
        <v>2868.09</v>
      </c>
      <c r="H39" s="66">
        <f t="shared" si="2"/>
        <v>40.416837471000008</v>
      </c>
      <c r="I39" s="13">
        <f t="shared" ref="I39:I45" si="3">F39/6*G39</f>
        <v>6736.1395785000004</v>
      </c>
    </row>
    <row r="40" spans="1:9" ht="30.75" customHeight="1">
      <c r="A40" s="29">
        <v>6</v>
      </c>
      <c r="B40" s="62" t="s">
        <v>67</v>
      </c>
      <c r="C40" s="63" t="s">
        <v>29</v>
      </c>
      <c r="D40" s="62" t="s">
        <v>186</v>
      </c>
      <c r="E40" s="65">
        <v>475.06</v>
      </c>
      <c r="F40" s="65">
        <f>SUM(E40*155/1000)</f>
        <v>73.634299999999996</v>
      </c>
      <c r="G40" s="65">
        <v>478.42</v>
      </c>
      <c r="H40" s="66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2" t="s">
        <v>89</v>
      </c>
      <c r="C41" s="63" t="s">
        <v>128</v>
      </c>
      <c r="D41" s="62" t="s">
        <v>150</v>
      </c>
      <c r="E41" s="64"/>
      <c r="F41" s="65">
        <v>39</v>
      </c>
      <c r="G41" s="65">
        <v>314</v>
      </c>
      <c r="H41" s="66">
        <f>SUM(F41*G41/1000)</f>
        <v>12.246</v>
      </c>
      <c r="I41" s="13">
        <v>0</v>
      </c>
    </row>
    <row r="42" spans="1:9" ht="60" customHeight="1">
      <c r="A42" s="29">
        <v>7</v>
      </c>
      <c r="B42" s="62" t="s">
        <v>81</v>
      </c>
      <c r="C42" s="63" t="s">
        <v>107</v>
      </c>
      <c r="D42" s="62" t="s">
        <v>187</v>
      </c>
      <c r="E42" s="65">
        <v>40.6</v>
      </c>
      <c r="F42" s="65">
        <f>SUM(E42*35/1000)</f>
        <v>1.421</v>
      </c>
      <c r="G42" s="65">
        <v>7915.6</v>
      </c>
      <c r="H42" s="66">
        <f t="shared" si="2"/>
        <v>11.248067600000001</v>
      </c>
      <c r="I42" s="13">
        <f t="shared" si="3"/>
        <v>1874.6779333333334</v>
      </c>
    </row>
    <row r="43" spans="1:9" ht="15" hidden="1" customHeight="1">
      <c r="A43" s="29">
        <v>8</v>
      </c>
      <c r="B43" s="62" t="s">
        <v>113</v>
      </c>
      <c r="C43" s="63" t="s">
        <v>107</v>
      </c>
      <c r="D43" s="62" t="s">
        <v>190</v>
      </c>
      <c r="E43" s="65">
        <v>167.03</v>
      </c>
      <c r="F43" s="65">
        <f>SUM(E43*45/1000)</f>
        <v>7.5163500000000001</v>
      </c>
      <c r="G43" s="65">
        <v>584.74</v>
      </c>
      <c r="H43" s="66">
        <f t="shared" si="2"/>
        <v>4.3951104990000003</v>
      </c>
      <c r="I43" s="13">
        <f>G43*F43/45*1</f>
        <v>97.669122200000004</v>
      </c>
    </row>
    <row r="44" spans="1:9" ht="18" hidden="1" customHeight="1">
      <c r="A44" s="29">
        <v>9</v>
      </c>
      <c r="B44" s="62" t="s">
        <v>69</v>
      </c>
      <c r="C44" s="63" t="s">
        <v>33</v>
      </c>
      <c r="D44" s="62"/>
      <c r="E44" s="64"/>
      <c r="F44" s="65">
        <v>1.2</v>
      </c>
      <c r="G44" s="65">
        <v>800</v>
      </c>
      <c r="H44" s="66">
        <f t="shared" si="2"/>
        <v>0.96</v>
      </c>
      <c r="I44" s="13">
        <f>G44*F44/45*1</f>
        <v>21.333333333333332</v>
      </c>
    </row>
    <row r="45" spans="1:9" ht="36.75" customHeight="1">
      <c r="A45" s="29">
        <v>8</v>
      </c>
      <c r="B45" s="46" t="s">
        <v>151</v>
      </c>
      <c r="C45" s="60" t="s">
        <v>29</v>
      </c>
      <c r="D45" s="62" t="s">
        <v>192</v>
      </c>
      <c r="E45" s="64">
        <v>4.2</v>
      </c>
      <c r="F45" s="65">
        <f>SUM(E45*12/1000)</f>
        <v>5.0400000000000007E-2</v>
      </c>
      <c r="G45" s="65">
        <v>270.61</v>
      </c>
      <c r="H45" s="66">
        <f t="shared" si="2"/>
        <v>1.3638744000000003E-2</v>
      </c>
      <c r="I45" s="13">
        <f t="shared" si="3"/>
        <v>2.2731240000000006</v>
      </c>
    </row>
    <row r="46" spans="1:9" hidden="1">
      <c r="A46" s="256" t="s">
        <v>164</v>
      </c>
      <c r="B46" s="257"/>
      <c r="C46" s="257"/>
      <c r="D46" s="257"/>
      <c r="E46" s="257"/>
      <c r="F46" s="257"/>
      <c r="G46" s="257"/>
      <c r="H46" s="257"/>
      <c r="I46" s="258"/>
    </row>
    <row r="47" spans="1:9" hidden="1">
      <c r="A47" s="29">
        <v>12</v>
      </c>
      <c r="B47" s="62" t="s">
        <v>114</v>
      </c>
      <c r="C47" s="63" t="s">
        <v>107</v>
      </c>
      <c r="D47" s="62" t="s">
        <v>41</v>
      </c>
      <c r="E47" s="64">
        <v>1603.6</v>
      </c>
      <c r="F47" s="65">
        <f>SUM(E47*2/1000)</f>
        <v>3.2071999999999998</v>
      </c>
      <c r="G47" s="13">
        <v>1158.7</v>
      </c>
      <c r="H47" s="66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2" t="s">
        <v>34</v>
      </c>
      <c r="C48" s="63" t="s">
        <v>107</v>
      </c>
      <c r="D48" s="62" t="s">
        <v>41</v>
      </c>
      <c r="E48" s="64">
        <v>65</v>
      </c>
      <c r="F48" s="65">
        <f>SUM(E48*2/1000)</f>
        <v>0.13</v>
      </c>
      <c r="G48" s="13">
        <v>790.38</v>
      </c>
      <c r="H48" s="66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2" t="s">
        <v>35</v>
      </c>
      <c r="C49" s="63" t="s">
        <v>107</v>
      </c>
      <c r="D49" s="62" t="s">
        <v>41</v>
      </c>
      <c r="E49" s="64">
        <v>1825.8</v>
      </c>
      <c r="F49" s="65">
        <f>SUM(E49*2/1000)</f>
        <v>3.6515999999999997</v>
      </c>
      <c r="G49" s="13">
        <v>790.38</v>
      </c>
      <c r="H49" s="66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2" t="s">
        <v>36</v>
      </c>
      <c r="C50" s="63" t="s">
        <v>107</v>
      </c>
      <c r="D50" s="62" t="s">
        <v>41</v>
      </c>
      <c r="E50" s="64">
        <v>3163.96</v>
      </c>
      <c r="F50" s="65">
        <f>SUM(E50*2/1000)</f>
        <v>6.3279199999999998</v>
      </c>
      <c r="G50" s="13">
        <v>827.65</v>
      </c>
      <c r="H50" s="66">
        <f t="shared" si="4"/>
        <v>5.2373029879999997</v>
      </c>
      <c r="I50" s="13">
        <f t="shared" si="5"/>
        <v>2618.6514939999997</v>
      </c>
    </row>
    <row r="51" spans="1:9" hidden="1">
      <c r="A51" s="29">
        <v>16</v>
      </c>
      <c r="B51" s="62" t="s">
        <v>55</v>
      </c>
      <c r="C51" s="63" t="s">
        <v>107</v>
      </c>
      <c r="D51" s="62" t="s">
        <v>141</v>
      </c>
      <c r="E51" s="64">
        <v>5816.5</v>
      </c>
      <c r="F51" s="65">
        <f>SUM(E51*5/1000)</f>
        <v>29.0825</v>
      </c>
      <c r="G51" s="13">
        <v>1655.27</v>
      </c>
      <c r="H51" s="66">
        <f t="shared" si="4"/>
        <v>48.139389774999998</v>
      </c>
      <c r="I51" s="13">
        <f>F51/5*G51</f>
        <v>9627.8779549999999</v>
      </c>
    </row>
    <row r="52" spans="1:9" ht="45" hidden="1">
      <c r="A52" s="29">
        <v>10</v>
      </c>
      <c r="B52" s="62" t="s">
        <v>115</v>
      </c>
      <c r="C52" s="63" t="s">
        <v>107</v>
      </c>
      <c r="D52" s="62" t="s">
        <v>41</v>
      </c>
      <c r="E52" s="64">
        <v>5816.5</v>
      </c>
      <c r="F52" s="65">
        <f>SUM(E52*2/1000)</f>
        <v>11.632999999999999</v>
      </c>
      <c r="G52" s="13">
        <v>1655.27</v>
      </c>
      <c r="H52" s="66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2" t="s">
        <v>116</v>
      </c>
      <c r="C53" s="63" t="s">
        <v>37</v>
      </c>
      <c r="D53" s="62" t="s">
        <v>41</v>
      </c>
      <c r="E53" s="64">
        <v>25</v>
      </c>
      <c r="F53" s="65">
        <f>SUM(E53*2/100)</f>
        <v>0.5</v>
      </c>
      <c r="G53" s="13">
        <v>3724.37</v>
      </c>
      <c r="H53" s="66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2" t="s">
        <v>38</v>
      </c>
      <c r="C54" s="63" t="s">
        <v>39</v>
      </c>
      <c r="D54" s="62" t="s">
        <v>41</v>
      </c>
      <c r="E54" s="64">
        <v>1</v>
      </c>
      <c r="F54" s="65">
        <v>0.02</v>
      </c>
      <c r="G54" s="13">
        <v>7709.44</v>
      </c>
      <c r="H54" s="66">
        <f t="shared" si="4"/>
        <v>0.15418879999999999</v>
      </c>
      <c r="I54" s="13">
        <f t="shared" si="5"/>
        <v>77.094399999999993</v>
      </c>
    </row>
    <row r="55" spans="1:9" hidden="1">
      <c r="A55" s="29">
        <v>13</v>
      </c>
      <c r="B55" s="62" t="s">
        <v>40</v>
      </c>
      <c r="C55" s="63" t="s">
        <v>30</v>
      </c>
      <c r="D55" s="62" t="s">
        <v>70</v>
      </c>
      <c r="E55" s="64">
        <v>198</v>
      </c>
      <c r="F55" s="65">
        <f>SUM(E55)*3</f>
        <v>594</v>
      </c>
      <c r="G55" s="13">
        <v>89.59</v>
      </c>
      <c r="H55" s="66">
        <f t="shared" si="4"/>
        <v>53.216459999999998</v>
      </c>
      <c r="I55" s="13">
        <f>F55/3*G55</f>
        <v>17738.82</v>
      </c>
    </row>
    <row r="56" spans="1:9">
      <c r="A56" s="241" t="s">
        <v>144</v>
      </c>
      <c r="B56" s="242"/>
      <c r="C56" s="242"/>
      <c r="D56" s="242"/>
      <c r="E56" s="242"/>
      <c r="F56" s="242"/>
      <c r="G56" s="242"/>
      <c r="H56" s="242"/>
      <c r="I56" s="243"/>
    </row>
    <row r="57" spans="1:9" hidden="1">
      <c r="A57" s="29"/>
      <c r="B57" s="82" t="s">
        <v>42</v>
      </c>
      <c r="C57" s="63"/>
      <c r="D57" s="62"/>
      <c r="E57" s="64"/>
      <c r="F57" s="65"/>
      <c r="G57" s="65"/>
      <c r="H57" s="66"/>
      <c r="I57" s="13"/>
    </row>
    <row r="58" spans="1:9" ht="45" hidden="1">
      <c r="A58" s="29">
        <v>16</v>
      </c>
      <c r="B58" s="62" t="s">
        <v>118</v>
      </c>
      <c r="C58" s="63" t="s">
        <v>99</v>
      </c>
      <c r="D58" s="62" t="s">
        <v>71</v>
      </c>
      <c r="E58" s="64">
        <v>118.3</v>
      </c>
      <c r="F58" s="65">
        <f>E58*6/100</f>
        <v>7.0979999999999999</v>
      </c>
      <c r="G58" s="72">
        <v>2110.4699999999998</v>
      </c>
      <c r="H58" s="66">
        <f>F58*G58/1000</f>
        <v>14.980116059999999</v>
      </c>
      <c r="I58" s="13">
        <f>G58*1.028</f>
        <v>2169.5631599999997</v>
      </c>
    </row>
    <row r="59" spans="1:9" ht="18.75" hidden="1" customHeight="1">
      <c r="A59" s="29">
        <v>12</v>
      </c>
      <c r="B59" s="62" t="s">
        <v>153</v>
      </c>
      <c r="C59" s="63" t="s">
        <v>99</v>
      </c>
      <c r="D59" s="62" t="s">
        <v>190</v>
      </c>
      <c r="E59" s="71">
        <v>3.78</v>
      </c>
      <c r="F59" s="13">
        <f>E59*6/100</f>
        <v>0.2268</v>
      </c>
      <c r="G59" s="65">
        <v>2110.4699999999998</v>
      </c>
      <c r="H59" s="66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3" t="s">
        <v>94</v>
      </c>
      <c r="C60" s="63" t="s">
        <v>95</v>
      </c>
      <c r="D60" s="73" t="s">
        <v>41</v>
      </c>
      <c r="E60" s="74">
        <v>5</v>
      </c>
      <c r="F60" s="75">
        <v>10</v>
      </c>
      <c r="G60" s="72">
        <v>246.58</v>
      </c>
      <c r="H60" s="76">
        <v>0.99099999999999999</v>
      </c>
      <c r="I60" s="13">
        <f>F60/2*G60</f>
        <v>1232.9000000000001</v>
      </c>
    </row>
    <row r="61" spans="1:9" hidden="1">
      <c r="A61" s="29">
        <v>14</v>
      </c>
      <c r="B61" s="73" t="s">
        <v>154</v>
      </c>
      <c r="C61" s="77" t="s">
        <v>32</v>
      </c>
      <c r="D61" s="73" t="s">
        <v>65</v>
      </c>
      <c r="E61" s="74"/>
      <c r="F61" s="76">
        <v>5</v>
      </c>
      <c r="G61" s="96">
        <v>1645</v>
      </c>
      <c r="H61" s="76">
        <f>SUM(F61*G61/1000)</f>
        <v>8.2249999999999996</v>
      </c>
      <c r="I61" s="96">
        <f>G61*1</f>
        <v>1645</v>
      </c>
    </row>
    <row r="62" spans="1:9" ht="18" customHeight="1">
      <c r="A62" s="29"/>
      <c r="B62" s="83" t="s">
        <v>43</v>
      </c>
      <c r="C62" s="77"/>
      <c r="D62" s="62"/>
      <c r="E62" s="64"/>
      <c r="F62" s="65"/>
      <c r="G62" s="65"/>
      <c r="H62" s="65"/>
      <c r="I62" s="119"/>
    </row>
    <row r="63" spans="1:9" hidden="1">
      <c r="A63" s="29"/>
      <c r="B63" s="73" t="s">
        <v>44</v>
      </c>
      <c r="C63" s="77" t="s">
        <v>52</v>
      </c>
      <c r="D63" s="62" t="s">
        <v>53</v>
      </c>
      <c r="E63" s="64">
        <v>352</v>
      </c>
      <c r="F63" s="65">
        <f>E63/100</f>
        <v>3.52</v>
      </c>
      <c r="G63" s="65">
        <v>1082.47</v>
      </c>
      <c r="H63" s="65">
        <f>G63*F63/1000</f>
        <v>3.8102944000000001</v>
      </c>
      <c r="I63" s="119">
        <v>0</v>
      </c>
    </row>
    <row r="64" spans="1:9" ht="14.25" customHeight="1">
      <c r="A64" s="29">
        <v>9</v>
      </c>
      <c r="B64" s="73" t="s">
        <v>90</v>
      </c>
      <c r="C64" s="77" t="s">
        <v>25</v>
      </c>
      <c r="D64" s="62" t="s">
        <v>190</v>
      </c>
      <c r="E64" s="64">
        <v>200</v>
      </c>
      <c r="F64" s="65">
        <f>E64*12</f>
        <v>2400</v>
      </c>
      <c r="G64" s="65">
        <v>1.4</v>
      </c>
      <c r="H64" s="65">
        <f>G64*F64/1000</f>
        <v>3.36</v>
      </c>
      <c r="I64" s="13">
        <f>F64/12*G64</f>
        <v>280</v>
      </c>
    </row>
    <row r="65" spans="1:9" ht="13.5" customHeight="1">
      <c r="A65" s="29"/>
      <c r="B65" s="83" t="s">
        <v>45</v>
      </c>
      <c r="C65" s="77"/>
      <c r="D65" s="116"/>
      <c r="E65" s="67"/>
      <c r="F65" s="111"/>
      <c r="G65" s="111"/>
      <c r="H65" s="117" t="s">
        <v>124</v>
      </c>
      <c r="I65" s="118"/>
    </row>
    <row r="66" spans="1:9" ht="15.75" customHeight="1">
      <c r="A66" s="29">
        <v>10</v>
      </c>
      <c r="B66" s="14" t="s">
        <v>46</v>
      </c>
      <c r="C66" s="16" t="s">
        <v>117</v>
      </c>
      <c r="D66" s="14" t="s">
        <v>362</v>
      </c>
      <c r="E66" s="18">
        <v>14</v>
      </c>
      <c r="F66" s="13">
        <f>SUM(E66)</f>
        <v>14</v>
      </c>
      <c r="G66" s="13">
        <v>303.35000000000002</v>
      </c>
      <c r="H66" s="61">
        <f t="shared" ref="H66:H85" si="6">SUM(F66*G66/1000)</f>
        <v>4.2469000000000001</v>
      </c>
      <c r="I66" s="13">
        <f>G66*10</f>
        <v>3033.5</v>
      </c>
    </row>
    <row r="67" spans="1:9" ht="14.25" hidden="1" customHeight="1">
      <c r="A67" s="29"/>
      <c r="B67" s="14" t="s">
        <v>47</v>
      </c>
      <c r="C67" s="16" t="s">
        <v>117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1">
        <f t="shared" si="6"/>
        <v>0.72806999999999999</v>
      </c>
      <c r="I67" s="13">
        <v>0</v>
      </c>
    </row>
    <row r="68" spans="1:9" ht="15" hidden="1" customHeight="1">
      <c r="A68" s="29">
        <v>24</v>
      </c>
      <c r="B68" s="14" t="s">
        <v>48</v>
      </c>
      <c r="C68" s="16" t="s">
        <v>119</v>
      </c>
      <c r="D68" s="14" t="s">
        <v>53</v>
      </c>
      <c r="E68" s="64">
        <v>23808</v>
      </c>
      <c r="F68" s="13">
        <f>SUM(E68/100)</f>
        <v>238.08</v>
      </c>
      <c r="G68" s="13">
        <v>289.37</v>
      </c>
      <c r="H68" s="61">
        <f t="shared" si="6"/>
        <v>68.893209600000006</v>
      </c>
      <c r="I68" s="13">
        <f t="shared" ref="I68:I73" si="7">F68*G68</f>
        <v>68893.209600000002</v>
      </c>
    </row>
    <row r="69" spans="1:9" ht="17.25" hidden="1" customHeight="1">
      <c r="A69" s="29">
        <v>25</v>
      </c>
      <c r="B69" s="14" t="s">
        <v>49</v>
      </c>
      <c r="C69" s="16" t="s">
        <v>120</v>
      </c>
      <c r="D69" s="14"/>
      <c r="E69" s="64">
        <v>23808</v>
      </c>
      <c r="F69" s="13">
        <f>SUM(E69/1000)</f>
        <v>23.808</v>
      </c>
      <c r="G69" s="13">
        <v>225.35</v>
      </c>
      <c r="H69" s="61">
        <f t="shared" si="6"/>
        <v>5.3651327999999996</v>
      </c>
      <c r="I69" s="13">
        <f t="shared" si="7"/>
        <v>5365.1327999999994</v>
      </c>
    </row>
    <row r="70" spans="1:9" ht="17.25" hidden="1" customHeight="1">
      <c r="A70" s="29">
        <v>26</v>
      </c>
      <c r="B70" s="14" t="s">
        <v>50</v>
      </c>
      <c r="C70" s="16" t="s">
        <v>76</v>
      </c>
      <c r="D70" s="14" t="s">
        <v>53</v>
      </c>
      <c r="E70" s="64">
        <v>3810</v>
      </c>
      <c r="F70" s="13">
        <f>SUM(E70/100)</f>
        <v>38.1</v>
      </c>
      <c r="G70" s="13">
        <v>2829.78</v>
      </c>
      <c r="H70" s="61">
        <f t="shared" si="6"/>
        <v>107.81461800000001</v>
      </c>
      <c r="I70" s="13">
        <f t="shared" si="7"/>
        <v>107814.61800000002</v>
      </c>
    </row>
    <row r="71" spans="1:9" ht="18.75" hidden="1" customHeight="1">
      <c r="A71" s="29">
        <v>27</v>
      </c>
      <c r="B71" s="79" t="s">
        <v>121</v>
      </c>
      <c r="C71" s="16" t="s">
        <v>33</v>
      </c>
      <c r="D71" s="14"/>
      <c r="E71" s="64">
        <v>12.8</v>
      </c>
      <c r="F71" s="13">
        <f>SUM(E71)</f>
        <v>12.8</v>
      </c>
      <c r="G71" s="13">
        <v>44.31</v>
      </c>
      <c r="H71" s="61">
        <f t="shared" si="6"/>
        <v>0.56716800000000001</v>
      </c>
      <c r="I71" s="13">
        <f t="shared" si="7"/>
        <v>567.16800000000001</v>
      </c>
    </row>
    <row r="72" spans="1:9" ht="21.75" hidden="1" customHeight="1">
      <c r="A72" s="29">
        <v>28</v>
      </c>
      <c r="B72" s="79" t="s">
        <v>130</v>
      </c>
      <c r="C72" s="16" t="s">
        <v>33</v>
      </c>
      <c r="D72" s="14"/>
      <c r="E72" s="64">
        <v>12.8</v>
      </c>
      <c r="F72" s="13">
        <f>SUM(E72)</f>
        <v>12.8</v>
      </c>
      <c r="G72" s="13">
        <v>47.79</v>
      </c>
      <c r="H72" s="61">
        <f t="shared" si="6"/>
        <v>0.61171200000000003</v>
      </c>
      <c r="I72" s="13">
        <f t="shared" si="7"/>
        <v>611.71199999999999</v>
      </c>
    </row>
    <row r="73" spans="1:9" ht="30" hidden="1" customHeight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5">
        <f>SUM(E73)</f>
        <v>6</v>
      </c>
      <c r="G73" s="13">
        <v>68.040000000000006</v>
      </c>
      <c r="H73" s="61">
        <f t="shared" si="6"/>
        <v>0.40823999999999999</v>
      </c>
      <c r="I73" s="13">
        <f t="shared" si="7"/>
        <v>408.24</v>
      </c>
    </row>
    <row r="74" spans="1:9" ht="33" customHeight="1">
      <c r="A74" s="29">
        <v>11</v>
      </c>
      <c r="B74" s="79" t="s">
        <v>155</v>
      </c>
      <c r="C74" s="16"/>
      <c r="D74" s="14" t="s">
        <v>191</v>
      </c>
      <c r="E74" s="18">
        <v>1</v>
      </c>
      <c r="F74" s="13">
        <v>12</v>
      </c>
      <c r="G74" s="13">
        <v>1194</v>
      </c>
      <c r="H74" s="61">
        <f t="shared" si="6"/>
        <v>14.327999999999999</v>
      </c>
      <c r="I74" s="13">
        <f>F74/12*G74</f>
        <v>1194</v>
      </c>
    </row>
    <row r="75" spans="1:9" ht="14.25" customHeight="1">
      <c r="A75" s="29"/>
      <c r="B75" s="169" t="s">
        <v>156</v>
      </c>
      <c r="C75" s="16"/>
      <c r="D75" s="14"/>
      <c r="E75" s="18"/>
      <c r="F75" s="55"/>
      <c r="G75" s="13"/>
      <c r="H75" s="61"/>
      <c r="I75" s="13"/>
    </row>
    <row r="76" spans="1:9" ht="35.25" customHeight="1">
      <c r="A76" s="29">
        <v>12</v>
      </c>
      <c r="B76" s="14" t="s">
        <v>157</v>
      </c>
      <c r="C76" s="29" t="s">
        <v>158</v>
      </c>
      <c r="D76" s="14"/>
      <c r="E76" s="18">
        <v>5816.5</v>
      </c>
      <c r="F76" s="65">
        <f>SUM(E76)*12</f>
        <v>69798</v>
      </c>
      <c r="G76" s="13">
        <v>2.37</v>
      </c>
      <c r="H76" s="61">
        <f>SUM(F76*G76/1000)</f>
        <v>165.42126000000002</v>
      </c>
      <c r="I76" s="13">
        <f>F76/12*G76</f>
        <v>13785.105000000001</v>
      </c>
    </row>
    <row r="77" spans="1:9" ht="30" customHeight="1">
      <c r="A77" s="29">
        <v>13</v>
      </c>
      <c r="B77" s="46" t="s">
        <v>159</v>
      </c>
      <c r="C77" s="60" t="s">
        <v>117</v>
      </c>
      <c r="D77" s="14" t="s">
        <v>191</v>
      </c>
      <c r="E77" s="113">
        <v>1</v>
      </c>
      <c r="F77" s="75">
        <f>E77*12</f>
        <v>12</v>
      </c>
      <c r="G77" s="96">
        <v>55.55</v>
      </c>
      <c r="H77" s="61">
        <f>SUM(F77*G77/1000)</f>
        <v>0.66659999999999986</v>
      </c>
      <c r="I77" s="13">
        <f>F77/12*G77</f>
        <v>55.55</v>
      </c>
    </row>
    <row r="78" spans="1:9" ht="15" hidden="1" customHeight="1">
      <c r="A78" s="105"/>
      <c r="B78" s="169" t="s">
        <v>72</v>
      </c>
      <c r="C78" s="16"/>
      <c r="D78" s="14"/>
      <c r="E78" s="18"/>
      <c r="F78" s="13"/>
      <c r="G78" s="13"/>
      <c r="H78" s="61" t="s">
        <v>124</v>
      </c>
      <c r="I78" s="106"/>
    </row>
    <row r="79" spans="1:9" ht="30" hidden="1">
      <c r="A79" s="105"/>
      <c r="B79" s="14" t="s">
        <v>160</v>
      </c>
      <c r="C79" s="16" t="s">
        <v>30</v>
      </c>
      <c r="D79" s="14" t="s">
        <v>65</v>
      </c>
      <c r="E79" s="18">
        <v>2</v>
      </c>
      <c r="F79" s="65">
        <f>E79</f>
        <v>2</v>
      </c>
      <c r="G79" s="13">
        <v>2112.2800000000002</v>
      </c>
      <c r="H79" s="61">
        <f>G79*F79/1000</f>
        <v>4.2245600000000003</v>
      </c>
      <c r="I79" s="106">
        <v>0</v>
      </c>
    </row>
    <row r="80" spans="1:9" hidden="1">
      <c r="A80" s="105"/>
      <c r="B80" s="46" t="s">
        <v>161</v>
      </c>
      <c r="C80" s="60" t="s">
        <v>117</v>
      </c>
      <c r="D80" s="14" t="s">
        <v>65</v>
      </c>
      <c r="E80" s="18">
        <v>5</v>
      </c>
      <c r="F80" s="13">
        <v>5</v>
      </c>
      <c r="G80" s="13">
        <v>136.19999999999999</v>
      </c>
      <c r="H80" s="61">
        <f>SUM(F80*G80/1000)</f>
        <v>0.68100000000000005</v>
      </c>
      <c r="I80" s="106">
        <v>0</v>
      </c>
    </row>
    <row r="81" spans="1:9" hidden="1">
      <c r="A81" s="105"/>
      <c r="B81" s="14" t="s">
        <v>73</v>
      </c>
      <c r="C81" s="16" t="s">
        <v>162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1">
        <f>SUM(F81*G81/1000)</f>
        <v>0.41051399999999999</v>
      </c>
      <c r="I81" s="106">
        <v>0</v>
      </c>
    </row>
    <row r="82" spans="1:9" hidden="1">
      <c r="A82" s="105"/>
      <c r="B82" s="14" t="s">
        <v>74</v>
      </c>
      <c r="C82" s="16" t="s">
        <v>30</v>
      </c>
      <c r="D82" s="14" t="s">
        <v>65</v>
      </c>
      <c r="E82" s="18">
        <v>1</v>
      </c>
      <c r="F82" s="55">
        <v>1</v>
      </c>
      <c r="G82" s="13">
        <v>1163.47</v>
      </c>
      <c r="H82" s="61">
        <f>SUM(F82*G82/1000)</f>
        <v>1.16347</v>
      </c>
      <c r="I82" s="106">
        <v>0</v>
      </c>
    </row>
    <row r="83" spans="1:9" hidden="1">
      <c r="A83" s="105"/>
      <c r="B83" s="46" t="s">
        <v>163</v>
      </c>
      <c r="C83" s="60" t="s">
        <v>117</v>
      </c>
      <c r="D83" s="14" t="s">
        <v>65</v>
      </c>
      <c r="E83" s="18">
        <v>1</v>
      </c>
      <c r="F83" s="65">
        <f>E83</f>
        <v>1</v>
      </c>
      <c r="G83" s="13">
        <v>1670.07</v>
      </c>
      <c r="H83" s="61">
        <f>SUM(F83*G83/1000)</f>
        <v>1.6700699999999999</v>
      </c>
      <c r="I83" s="106">
        <v>0</v>
      </c>
    </row>
    <row r="84" spans="1:9" hidden="1">
      <c r="A84" s="105"/>
      <c r="B84" s="80" t="s">
        <v>75</v>
      </c>
      <c r="C84" s="16"/>
      <c r="D84" s="14"/>
      <c r="E84" s="18"/>
      <c r="F84" s="13"/>
      <c r="G84" s="13" t="s">
        <v>124</v>
      </c>
      <c r="H84" s="61" t="s">
        <v>124</v>
      </c>
      <c r="I84" s="106"/>
    </row>
    <row r="85" spans="1:9" hidden="1">
      <c r="A85" s="105"/>
      <c r="B85" s="42" t="s">
        <v>125</v>
      </c>
      <c r="C85" s="16" t="s">
        <v>76</v>
      </c>
      <c r="D85" s="14"/>
      <c r="E85" s="18"/>
      <c r="F85" s="13">
        <v>0.6</v>
      </c>
      <c r="G85" s="13">
        <v>4144.28</v>
      </c>
      <c r="H85" s="61">
        <f t="shared" si="6"/>
        <v>2.4865679999999997</v>
      </c>
      <c r="I85" s="106">
        <v>0</v>
      </c>
    </row>
    <row r="86" spans="1:9" ht="37.5" hidden="1" customHeight="1">
      <c r="A86" s="105"/>
      <c r="B86" s="169" t="s">
        <v>122</v>
      </c>
      <c r="C86" s="80"/>
      <c r="D86" s="112"/>
      <c r="E86" s="31"/>
      <c r="F86" s="114"/>
      <c r="G86" s="114"/>
      <c r="H86" s="115">
        <f>SUM(H58:H85)</f>
        <v>411.53215745600005</v>
      </c>
      <c r="I86" s="106"/>
    </row>
    <row r="87" spans="1:9" hidden="1">
      <c r="A87" s="105"/>
      <c r="B87" s="62" t="s">
        <v>123</v>
      </c>
      <c r="C87" s="16"/>
      <c r="D87" s="14"/>
      <c r="E87" s="56"/>
      <c r="F87" s="13">
        <v>1</v>
      </c>
      <c r="G87" s="13">
        <v>24117.599999999999</v>
      </c>
      <c r="H87" s="61">
        <f>G87*F87/1000</f>
        <v>24.117599999999999</v>
      </c>
      <c r="I87" s="106">
        <v>0</v>
      </c>
    </row>
    <row r="88" spans="1:9">
      <c r="A88" s="230" t="s">
        <v>145</v>
      </c>
      <c r="B88" s="231"/>
      <c r="C88" s="231"/>
      <c r="D88" s="231"/>
      <c r="E88" s="231"/>
      <c r="F88" s="231"/>
      <c r="G88" s="231"/>
      <c r="H88" s="231"/>
      <c r="I88" s="232"/>
    </row>
    <row r="89" spans="1:9" ht="15.75" customHeight="1">
      <c r="A89" s="105">
        <v>14</v>
      </c>
      <c r="B89" s="62" t="s">
        <v>126</v>
      </c>
      <c r="C89" s="16" t="s">
        <v>54</v>
      </c>
      <c r="D89" s="81"/>
      <c r="E89" s="13">
        <v>5816.5</v>
      </c>
      <c r="F89" s="13">
        <f>SUM(E89*12)</f>
        <v>69798</v>
      </c>
      <c r="G89" s="13">
        <v>3.22</v>
      </c>
      <c r="H89" s="61">
        <f>SUM(F89*G89/1000)</f>
        <v>224.74956000000003</v>
      </c>
      <c r="I89" s="13">
        <f>F89/12*G89</f>
        <v>18729.13</v>
      </c>
    </row>
    <row r="90" spans="1:9" ht="30.75" customHeight="1">
      <c r="A90" s="29">
        <v>15</v>
      </c>
      <c r="B90" s="14" t="s">
        <v>77</v>
      </c>
      <c r="C90" s="16"/>
      <c r="D90" s="81"/>
      <c r="E90" s="64">
        <f>E89</f>
        <v>5816.5</v>
      </c>
      <c r="F90" s="13">
        <f>E90*12</f>
        <v>69798</v>
      </c>
      <c r="G90" s="13">
        <v>3.64</v>
      </c>
      <c r="H90" s="61">
        <f>F90*G90/1000</f>
        <v>254.06471999999999</v>
      </c>
      <c r="I90" s="13">
        <f>F90/12*G90</f>
        <v>21172.06</v>
      </c>
    </row>
    <row r="91" spans="1:9">
      <c r="A91" s="167"/>
      <c r="B91" s="34" t="s">
        <v>79</v>
      </c>
      <c r="C91" s="35"/>
      <c r="D91" s="15"/>
      <c r="E91" s="15"/>
      <c r="F91" s="15"/>
      <c r="G91" s="18"/>
      <c r="H91" s="18"/>
      <c r="I91" s="31">
        <f>I90+I89+I77+I76+I74+I66+I64+I45+I42+I40+I39+I38+I18+I17+I16</f>
        <v>107039.21844350001</v>
      </c>
    </row>
    <row r="92" spans="1:9">
      <c r="A92" s="244" t="s">
        <v>59</v>
      </c>
      <c r="B92" s="245"/>
      <c r="C92" s="245"/>
      <c r="D92" s="245"/>
      <c r="E92" s="245"/>
      <c r="F92" s="245"/>
      <c r="G92" s="245"/>
      <c r="H92" s="245"/>
      <c r="I92" s="246"/>
    </row>
    <row r="93" spans="1:9" ht="30">
      <c r="A93" s="29">
        <v>16</v>
      </c>
      <c r="B93" s="48" t="s">
        <v>138</v>
      </c>
      <c r="C93" s="86" t="s">
        <v>82</v>
      </c>
      <c r="D93" s="88" t="s">
        <v>372</v>
      </c>
      <c r="E93" s="33"/>
      <c r="F93" s="33">
        <v>9</v>
      </c>
      <c r="G93" s="33">
        <v>231.54</v>
      </c>
      <c r="H93" s="85"/>
      <c r="I93" s="47">
        <f>G93*2</f>
        <v>463.08</v>
      </c>
    </row>
    <row r="94" spans="1:9" ht="30">
      <c r="A94" s="29">
        <v>17</v>
      </c>
      <c r="B94" s="48" t="s">
        <v>283</v>
      </c>
      <c r="C94" s="86" t="s">
        <v>29</v>
      </c>
      <c r="D94" s="88"/>
      <c r="E94" s="33"/>
      <c r="F94" s="33">
        <f>4.432+2.216+2.216+2.216</f>
        <v>11.080000000000002</v>
      </c>
      <c r="G94" s="33">
        <v>241.69</v>
      </c>
      <c r="H94" s="85"/>
      <c r="I94" s="47">
        <f>G94*2.216</f>
        <v>535.58504000000005</v>
      </c>
    </row>
    <row r="95" spans="1:9" ht="30">
      <c r="A95" s="29">
        <v>18</v>
      </c>
      <c r="B95" s="48" t="s">
        <v>363</v>
      </c>
      <c r="C95" s="86" t="s">
        <v>86</v>
      </c>
      <c r="D95" s="88"/>
      <c r="E95" s="33"/>
      <c r="F95" s="33">
        <v>1</v>
      </c>
      <c r="G95" s="33">
        <v>6713.65</v>
      </c>
      <c r="H95" s="85"/>
      <c r="I95" s="47">
        <f>G95*1</f>
        <v>6713.65</v>
      </c>
    </row>
    <row r="96" spans="1:9">
      <c r="A96" s="29">
        <v>19</v>
      </c>
      <c r="B96" s="48" t="s">
        <v>364</v>
      </c>
      <c r="C96" s="86" t="s">
        <v>227</v>
      </c>
      <c r="D96" s="88"/>
      <c r="E96" s="33"/>
      <c r="F96" s="33">
        <v>1</v>
      </c>
      <c r="G96" s="33">
        <v>2963.19</v>
      </c>
      <c r="H96" s="85"/>
      <c r="I96" s="47">
        <f>G96*1</f>
        <v>2963.19</v>
      </c>
    </row>
    <row r="97" spans="1:9" ht="30">
      <c r="A97" s="29">
        <v>20</v>
      </c>
      <c r="B97" s="48" t="s">
        <v>349</v>
      </c>
      <c r="C97" s="219" t="s">
        <v>91</v>
      </c>
      <c r="D97" s="88" t="s">
        <v>224</v>
      </c>
      <c r="E97" s="33"/>
      <c r="F97" s="33">
        <f>0.02+0.01</f>
        <v>0.03</v>
      </c>
      <c r="G97" s="33">
        <v>11110.37</v>
      </c>
      <c r="H97" s="85"/>
      <c r="I97" s="47">
        <f>G97*0.01</f>
        <v>111.1037</v>
      </c>
    </row>
    <row r="98" spans="1:9">
      <c r="A98" s="29">
        <v>21</v>
      </c>
      <c r="B98" s="48" t="s">
        <v>148</v>
      </c>
      <c r="C98" s="86" t="s">
        <v>166</v>
      </c>
      <c r="D98" s="88">
        <v>7</v>
      </c>
      <c r="E98" s="33"/>
      <c r="F98" s="33">
        <v>119</v>
      </c>
      <c r="G98" s="33">
        <v>295.36</v>
      </c>
      <c r="H98" s="85"/>
      <c r="I98" s="47">
        <v>0</v>
      </c>
    </row>
    <row r="99" spans="1:9">
      <c r="A99" s="29">
        <v>22</v>
      </c>
      <c r="B99" s="48" t="s">
        <v>293</v>
      </c>
      <c r="C99" s="86" t="s">
        <v>166</v>
      </c>
      <c r="D99" s="88" t="s">
        <v>355</v>
      </c>
      <c r="E99" s="33"/>
      <c r="F99" s="33">
        <v>18</v>
      </c>
      <c r="G99" s="33">
        <v>295.36</v>
      </c>
      <c r="H99" s="85"/>
      <c r="I99" s="47">
        <f>G99*6</f>
        <v>1772.16</v>
      </c>
    </row>
    <row r="100" spans="1:9">
      <c r="A100" s="29">
        <v>23</v>
      </c>
      <c r="B100" s="48" t="s">
        <v>294</v>
      </c>
      <c r="C100" s="86" t="s">
        <v>82</v>
      </c>
      <c r="D100" s="88"/>
      <c r="E100" s="33"/>
      <c r="F100" s="33">
        <v>3</v>
      </c>
      <c r="G100" s="33">
        <v>280.70999999999998</v>
      </c>
      <c r="H100" s="85"/>
      <c r="I100" s="47">
        <f>G100*1</f>
        <v>280.70999999999998</v>
      </c>
    </row>
    <row r="101" spans="1:9" ht="30">
      <c r="A101" s="29">
        <v>24</v>
      </c>
      <c r="B101" s="48" t="s">
        <v>232</v>
      </c>
      <c r="C101" s="86" t="s">
        <v>117</v>
      </c>
      <c r="D101" s="88" t="s">
        <v>371</v>
      </c>
      <c r="E101" s="33"/>
      <c r="F101" s="33">
        <v>7</v>
      </c>
      <c r="G101" s="33">
        <v>1226.45</v>
      </c>
      <c r="H101" s="85"/>
      <c r="I101" s="47">
        <f>G101*1</f>
        <v>1226.45</v>
      </c>
    </row>
    <row r="102" spans="1:9">
      <c r="A102" s="29">
        <v>25</v>
      </c>
      <c r="B102" s="48" t="s">
        <v>365</v>
      </c>
      <c r="C102" s="86" t="s">
        <v>117</v>
      </c>
      <c r="D102" s="88"/>
      <c r="E102" s="33"/>
      <c r="F102" s="33">
        <v>1</v>
      </c>
      <c r="G102" s="33">
        <v>70</v>
      </c>
      <c r="H102" s="85"/>
      <c r="I102" s="47">
        <f>G102*1</f>
        <v>70</v>
      </c>
    </row>
    <row r="103" spans="1:9">
      <c r="A103" s="29">
        <v>26</v>
      </c>
      <c r="B103" s="48" t="s">
        <v>201</v>
      </c>
      <c r="C103" s="86" t="s">
        <v>117</v>
      </c>
      <c r="D103" s="88"/>
      <c r="E103" s="33"/>
      <c r="F103" s="33">
        <v>3</v>
      </c>
      <c r="G103" s="33">
        <v>98</v>
      </c>
      <c r="H103" s="85"/>
      <c r="I103" s="47">
        <f>G103*1</f>
        <v>98</v>
      </c>
    </row>
    <row r="104" spans="1:9" ht="30">
      <c r="A104" s="29">
        <v>27</v>
      </c>
      <c r="B104" s="223" t="s">
        <v>178</v>
      </c>
      <c r="C104" s="29" t="s">
        <v>166</v>
      </c>
      <c r="D104" s="88" t="s">
        <v>366</v>
      </c>
      <c r="E104" s="33"/>
      <c r="F104" s="33">
        <v>20.5</v>
      </c>
      <c r="G104" s="33">
        <v>1584.54</v>
      </c>
      <c r="H104" s="85"/>
      <c r="I104" s="47">
        <f>G104*10</f>
        <v>15845.4</v>
      </c>
    </row>
    <row r="105" spans="1:9" ht="30">
      <c r="A105" s="29">
        <v>28</v>
      </c>
      <c r="B105" s="223" t="s">
        <v>260</v>
      </c>
      <c r="C105" s="29" t="s">
        <v>166</v>
      </c>
      <c r="D105" s="88" t="s">
        <v>368</v>
      </c>
      <c r="E105" s="33"/>
      <c r="F105" s="33">
        <v>4.2</v>
      </c>
      <c r="G105" s="33">
        <v>1380.91</v>
      </c>
      <c r="H105" s="85"/>
      <c r="I105" s="47">
        <f>G105*1</f>
        <v>1380.91</v>
      </c>
    </row>
    <row r="106" spans="1:9" ht="30">
      <c r="A106" s="29">
        <v>29</v>
      </c>
      <c r="B106" s="223" t="s">
        <v>206</v>
      </c>
      <c r="C106" s="29" t="s">
        <v>166</v>
      </c>
      <c r="D106" s="88" t="s">
        <v>369</v>
      </c>
      <c r="E106" s="33"/>
      <c r="F106" s="33">
        <v>13</v>
      </c>
      <c r="G106" s="33">
        <v>1504.51</v>
      </c>
      <c r="H106" s="85"/>
      <c r="I106" s="47">
        <f>G106*8</f>
        <v>12036.08</v>
      </c>
    </row>
    <row r="107" spans="1:9" ht="30">
      <c r="A107" s="29">
        <v>30</v>
      </c>
      <c r="B107" s="223" t="s">
        <v>309</v>
      </c>
      <c r="C107" s="29" t="s">
        <v>166</v>
      </c>
      <c r="D107" s="88" t="s">
        <v>367</v>
      </c>
      <c r="E107" s="33"/>
      <c r="F107" s="33">
        <v>5.5</v>
      </c>
      <c r="G107" s="33">
        <v>1478.55</v>
      </c>
      <c r="H107" s="85"/>
      <c r="I107" s="47">
        <f>G107*1</f>
        <v>1478.55</v>
      </c>
    </row>
    <row r="108" spans="1:9" ht="30">
      <c r="A108" s="29">
        <v>31</v>
      </c>
      <c r="B108" s="48" t="s">
        <v>174</v>
      </c>
      <c r="C108" s="86" t="s">
        <v>86</v>
      </c>
      <c r="D108" s="88" t="s">
        <v>336</v>
      </c>
      <c r="E108" s="33"/>
      <c r="F108" s="33">
        <v>12</v>
      </c>
      <c r="G108" s="33">
        <v>697.33</v>
      </c>
      <c r="H108" s="85"/>
      <c r="I108" s="47">
        <f>G108*3</f>
        <v>2091.9900000000002</v>
      </c>
    </row>
    <row r="109" spans="1:9" ht="45">
      <c r="A109" s="29">
        <v>32</v>
      </c>
      <c r="B109" s="48" t="s">
        <v>295</v>
      </c>
      <c r="C109" s="86" t="s">
        <v>86</v>
      </c>
      <c r="D109" s="88" t="s">
        <v>370</v>
      </c>
      <c r="E109" s="33"/>
      <c r="F109" s="33">
        <v>6</v>
      </c>
      <c r="G109" s="33">
        <v>614.47</v>
      </c>
      <c r="H109" s="85"/>
      <c r="I109" s="47">
        <f>G109*3</f>
        <v>1843.41</v>
      </c>
    </row>
    <row r="110" spans="1:9">
      <c r="A110" s="29">
        <v>33</v>
      </c>
      <c r="B110" s="48" t="s">
        <v>195</v>
      </c>
      <c r="C110" s="86" t="s">
        <v>39</v>
      </c>
      <c r="D110" s="88" t="s">
        <v>192</v>
      </c>
      <c r="E110" s="33"/>
      <c r="F110" s="33">
        <v>0.14000000000000001</v>
      </c>
      <c r="G110" s="33">
        <v>28224.75</v>
      </c>
      <c r="H110" s="85"/>
      <c r="I110" s="47">
        <v>0</v>
      </c>
    </row>
    <row r="111" spans="1:9" ht="19.5" customHeight="1">
      <c r="A111" s="29"/>
      <c r="B111" s="40" t="s">
        <v>51</v>
      </c>
      <c r="C111" s="36"/>
      <c r="D111" s="44"/>
      <c r="E111" s="36">
        <v>1</v>
      </c>
      <c r="F111" s="36"/>
      <c r="G111" s="36"/>
      <c r="H111" s="36"/>
      <c r="I111" s="31">
        <f>SUM(I93:I110)</f>
        <v>48910.26874</v>
      </c>
    </row>
    <row r="112" spans="1:9">
      <c r="A112" s="29"/>
      <c r="B112" s="42" t="s">
        <v>78</v>
      </c>
      <c r="C112" s="15"/>
      <c r="D112" s="15"/>
      <c r="E112" s="37"/>
      <c r="F112" s="37"/>
      <c r="G112" s="38"/>
      <c r="H112" s="38"/>
      <c r="I112" s="17">
        <v>0</v>
      </c>
    </row>
    <row r="113" spans="1:9">
      <c r="A113" s="45"/>
      <c r="B113" s="41" t="s">
        <v>147</v>
      </c>
      <c r="C113" s="32"/>
      <c r="D113" s="32"/>
      <c r="E113" s="32"/>
      <c r="F113" s="32"/>
      <c r="G113" s="32"/>
      <c r="H113" s="32"/>
      <c r="I113" s="39">
        <f>I111+I91</f>
        <v>155949.48718350002</v>
      </c>
    </row>
    <row r="114" spans="1:9" ht="15.75">
      <c r="A114" s="247" t="s">
        <v>373</v>
      </c>
      <c r="B114" s="247"/>
      <c r="C114" s="247"/>
      <c r="D114" s="247"/>
      <c r="E114" s="247"/>
      <c r="F114" s="247"/>
      <c r="G114" s="247"/>
      <c r="H114" s="247"/>
      <c r="I114" s="247"/>
    </row>
    <row r="115" spans="1:9" ht="15.75">
      <c r="A115" s="54"/>
      <c r="B115" s="248" t="s">
        <v>374</v>
      </c>
      <c r="C115" s="248"/>
      <c r="D115" s="248"/>
      <c r="E115" s="248"/>
      <c r="F115" s="248"/>
      <c r="G115" s="248"/>
      <c r="H115" s="59"/>
      <c r="I115" s="3"/>
    </row>
    <row r="116" spans="1:9">
      <c r="A116" s="165"/>
      <c r="B116" s="249" t="s">
        <v>6</v>
      </c>
      <c r="C116" s="249"/>
      <c r="D116" s="249"/>
      <c r="E116" s="249"/>
      <c r="F116" s="249"/>
      <c r="G116" s="249"/>
      <c r="H116" s="24"/>
      <c r="I116" s="5"/>
    </row>
    <row r="117" spans="1:9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5.75">
      <c r="A118" s="250" t="s">
        <v>7</v>
      </c>
      <c r="B118" s="250"/>
      <c r="C118" s="250"/>
      <c r="D118" s="250"/>
      <c r="E118" s="250"/>
      <c r="F118" s="250"/>
      <c r="G118" s="250"/>
      <c r="H118" s="250"/>
      <c r="I118" s="250"/>
    </row>
    <row r="119" spans="1:9" ht="15.75">
      <c r="A119" s="250" t="s">
        <v>8</v>
      </c>
      <c r="B119" s="250"/>
      <c r="C119" s="250"/>
      <c r="D119" s="250"/>
      <c r="E119" s="250"/>
      <c r="F119" s="250"/>
      <c r="G119" s="250"/>
      <c r="H119" s="250"/>
      <c r="I119" s="250"/>
    </row>
    <row r="120" spans="1:9" ht="15.75">
      <c r="A120" s="239" t="s">
        <v>60</v>
      </c>
      <c r="B120" s="239"/>
      <c r="C120" s="239"/>
      <c r="D120" s="239"/>
      <c r="E120" s="239"/>
      <c r="F120" s="239"/>
      <c r="G120" s="239"/>
      <c r="H120" s="239"/>
      <c r="I120" s="239"/>
    </row>
    <row r="121" spans="1:9" ht="15.75">
      <c r="A121" s="11"/>
    </row>
    <row r="122" spans="1:9" ht="15.75">
      <c r="A122" s="252" t="s">
        <v>9</v>
      </c>
      <c r="B122" s="252"/>
      <c r="C122" s="252"/>
      <c r="D122" s="252"/>
      <c r="E122" s="252"/>
      <c r="F122" s="252"/>
      <c r="G122" s="252"/>
      <c r="H122" s="252"/>
      <c r="I122" s="252"/>
    </row>
    <row r="123" spans="1:9" ht="15.75">
      <c r="A123" s="4"/>
    </row>
    <row r="124" spans="1:9" ht="15.75">
      <c r="B124" s="166" t="s">
        <v>10</v>
      </c>
      <c r="C124" s="253" t="s">
        <v>212</v>
      </c>
      <c r="D124" s="253"/>
      <c r="E124" s="253"/>
      <c r="F124" s="57"/>
      <c r="I124" s="164"/>
    </row>
    <row r="125" spans="1:9">
      <c r="A125" s="165"/>
      <c r="C125" s="249" t="s">
        <v>11</v>
      </c>
      <c r="D125" s="249"/>
      <c r="E125" s="249"/>
      <c r="F125" s="24"/>
      <c r="I125" s="163" t="s">
        <v>12</v>
      </c>
    </row>
    <row r="126" spans="1:9" ht="15.75">
      <c r="A126" s="25"/>
      <c r="C126" s="12"/>
      <c r="D126" s="12"/>
      <c r="G126" s="12"/>
      <c r="H126" s="12"/>
    </row>
    <row r="127" spans="1:9" ht="15.75">
      <c r="B127" s="166" t="s">
        <v>13</v>
      </c>
      <c r="C127" s="254"/>
      <c r="D127" s="254"/>
      <c r="E127" s="254"/>
      <c r="F127" s="58"/>
      <c r="I127" s="164"/>
    </row>
    <row r="128" spans="1:9">
      <c r="A128" s="165"/>
      <c r="C128" s="229" t="s">
        <v>11</v>
      </c>
      <c r="D128" s="229"/>
      <c r="E128" s="229"/>
      <c r="F128" s="165"/>
      <c r="I128" s="163" t="s">
        <v>12</v>
      </c>
    </row>
    <row r="129" spans="1:9" ht="15.75">
      <c r="A129" s="4" t="s">
        <v>14</v>
      </c>
    </row>
    <row r="130" spans="1:9">
      <c r="A130" s="255" t="s">
        <v>15</v>
      </c>
      <c r="B130" s="255"/>
      <c r="C130" s="255"/>
      <c r="D130" s="255"/>
      <c r="E130" s="255"/>
      <c r="F130" s="255"/>
      <c r="G130" s="255"/>
      <c r="H130" s="255"/>
      <c r="I130" s="255"/>
    </row>
    <row r="131" spans="1:9" ht="48.75" customHeight="1">
      <c r="A131" s="251" t="s">
        <v>16</v>
      </c>
      <c r="B131" s="251"/>
      <c r="C131" s="251"/>
      <c r="D131" s="251"/>
      <c r="E131" s="251"/>
      <c r="F131" s="251"/>
      <c r="G131" s="251"/>
      <c r="H131" s="251"/>
      <c r="I131" s="251"/>
    </row>
    <row r="132" spans="1:9" ht="34.5" customHeight="1">
      <c r="A132" s="251" t="s">
        <v>17</v>
      </c>
      <c r="B132" s="251"/>
      <c r="C132" s="251"/>
      <c r="D132" s="251"/>
      <c r="E132" s="251"/>
      <c r="F132" s="251"/>
      <c r="G132" s="251"/>
      <c r="H132" s="251"/>
      <c r="I132" s="251"/>
    </row>
    <row r="133" spans="1:9" ht="35.25" customHeight="1">
      <c r="A133" s="251" t="s">
        <v>21</v>
      </c>
      <c r="B133" s="251"/>
      <c r="C133" s="251"/>
      <c r="D133" s="251"/>
      <c r="E133" s="251"/>
      <c r="F133" s="251"/>
      <c r="G133" s="251"/>
      <c r="H133" s="251"/>
      <c r="I133" s="251"/>
    </row>
    <row r="134" spans="1:9" ht="15.75">
      <c r="A134" s="251" t="s">
        <v>20</v>
      </c>
      <c r="B134" s="251"/>
      <c r="C134" s="251"/>
      <c r="D134" s="251"/>
      <c r="E134" s="251"/>
      <c r="F134" s="251"/>
      <c r="G134" s="251"/>
      <c r="H134" s="251"/>
      <c r="I134" s="251"/>
    </row>
  </sheetData>
  <mergeCells count="28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20:I120"/>
    <mergeCell ref="A15:I15"/>
    <mergeCell ref="A28:I28"/>
    <mergeCell ref="A46:I46"/>
    <mergeCell ref="A56:I56"/>
    <mergeCell ref="A88:I88"/>
    <mergeCell ref="A92:I92"/>
    <mergeCell ref="A114:I114"/>
    <mergeCell ref="B115:G115"/>
    <mergeCell ref="B116:G116"/>
    <mergeCell ref="A118:I118"/>
    <mergeCell ref="A119:I119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10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97" zoomScaleNormal="100" workbookViewId="0">
      <selection activeCell="K111" sqref="K111"/>
    </sheetView>
  </sheetViews>
  <sheetFormatPr defaultRowHeight="15"/>
  <cols>
    <col min="1" max="1" width="11.7109375" customWidth="1"/>
    <col min="2" max="2" width="55.28515625" customWidth="1"/>
    <col min="3" max="3" width="18.5703125" customWidth="1"/>
    <col min="4" max="4" width="17.85546875" customWidth="1"/>
    <col min="5" max="6" width="0" hidden="1" customWidth="1"/>
    <col min="7" max="7" width="16.42578125" customWidth="1"/>
    <col min="8" max="8" width="0" hidden="1" customWidth="1"/>
    <col min="9" max="9" width="12.570312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177</v>
      </c>
      <c r="B3" s="233"/>
      <c r="C3" s="233"/>
      <c r="D3" s="233"/>
      <c r="E3" s="233"/>
      <c r="F3" s="233"/>
      <c r="G3" s="233"/>
      <c r="H3" s="233"/>
      <c r="I3" s="233"/>
    </row>
    <row r="4" spans="1:9" ht="34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377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75"/>
      <c r="C6" s="175"/>
      <c r="D6" s="175"/>
      <c r="E6" s="175"/>
      <c r="F6" s="175"/>
      <c r="G6" s="175"/>
      <c r="H6" s="175"/>
      <c r="I6" s="134">
        <v>44561</v>
      </c>
    </row>
    <row r="7" spans="1:9" ht="15.75">
      <c r="B7" s="173"/>
      <c r="C7" s="173"/>
      <c r="D7" s="173"/>
      <c r="E7" s="3"/>
      <c r="F7" s="3"/>
      <c r="G7" s="3"/>
      <c r="H7" s="3"/>
    </row>
    <row r="8" spans="1:9" ht="96.75" customHeight="1">
      <c r="A8" s="236" t="s">
        <v>210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9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9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9.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5.7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</row>
    <row r="26" spans="1:9" ht="17.25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0" t="s">
        <v>23</v>
      </c>
      <c r="C27" s="63" t="s">
        <v>24</v>
      </c>
      <c r="D27" s="70"/>
      <c r="E27" s="64">
        <v>5816.5</v>
      </c>
      <c r="F27" s="65">
        <f>SUM(E27*12)</f>
        <v>69798</v>
      </c>
      <c r="G27" s="65">
        <v>4.5199999999999996</v>
      </c>
      <c r="H27" s="66">
        <f>SUM(F27*G27/1000)</f>
        <v>315.48695999999995</v>
      </c>
      <c r="I27" s="13">
        <f>F27/12*G27</f>
        <v>26290.579999999998</v>
      </c>
    </row>
    <row r="28" spans="1:9">
      <c r="A28" s="240" t="s">
        <v>83</v>
      </c>
      <c r="B28" s="240"/>
      <c r="C28" s="240"/>
      <c r="D28" s="240"/>
      <c r="E28" s="240"/>
      <c r="F28" s="240"/>
      <c r="G28" s="240"/>
      <c r="H28" s="240"/>
      <c r="I28" s="240"/>
    </row>
    <row r="29" spans="1:9" ht="17.25" hidden="1" customHeight="1">
      <c r="A29" s="29"/>
      <c r="B29" s="82" t="s">
        <v>28</v>
      </c>
      <c r="C29" s="63"/>
      <c r="D29" s="62"/>
      <c r="E29" s="64"/>
      <c r="F29" s="65"/>
      <c r="G29" s="65"/>
      <c r="H29" s="66"/>
      <c r="I29" s="13"/>
    </row>
    <row r="30" spans="1:9" hidden="1">
      <c r="A30" s="29">
        <v>6</v>
      </c>
      <c r="B30" s="62" t="s">
        <v>106</v>
      </c>
      <c r="C30" s="63" t="s">
        <v>107</v>
      </c>
      <c r="D30" s="62" t="s">
        <v>108</v>
      </c>
      <c r="E30" s="65">
        <v>357.22</v>
      </c>
      <c r="F30" s="65">
        <f>SUM(E30*52/1000)</f>
        <v>18.575440000000004</v>
      </c>
      <c r="G30" s="65">
        <v>212.62</v>
      </c>
      <c r="H30" s="66">
        <f t="shared" ref="H30:H36" si="1">SUM(F30*G30/1000)</f>
        <v>3.9495100528000009</v>
      </c>
      <c r="I30" s="13">
        <f>F30/6*G30</f>
        <v>658.25167546666682</v>
      </c>
    </row>
    <row r="31" spans="1:9" ht="30" hidden="1">
      <c r="A31" s="29">
        <v>7</v>
      </c>
      <c r="B31" s="62" t="s">
        <v>140</v>
      </c>
      <c r="C31" s="63" t="s">
        <v>107</v>
      </c>
      <c r="D31" s="62" t="s">
        <v>109</v>
      </c>
      <c r="E31" s="65">
        <v>475.06</v>
      </c>
      <c r="F31" s="65">
        <f>SUM(E31*78/1000)</f>
        <v>37.054679999999998</v>
      </c>
      <c r="G31" s="65">
        <v>352.77</v>
      </c>
      <c r="H31" s="66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2" t="s">
        <v>27</v>
      </c>
      <c r="C32" s="63" t="s">
        <v>107</v>
      </c>
      <c r="D32" s="62" t="s">
        <v>53</v>
      </c>
      <c r="E32" s="65">
        <v>357.22</v>
      </c>
      <c r="F32" s="65">
        <f>SUM(E32/1000)</f>
        <v>0.35722000000000004</v>
      </c>
      <c r="G32" s="65">
        <v>4119.68</v>
      </c>
      <c r="H32" s="66">
        <f t="shared" si="1"/>
        <v>1.4716320896000001</v>
      </c>
      <c r="I32" s="13">
        <f>F32*G32</f>
        <v>1471.6320896000002</v>
      </c>
    </row>
    <row r="33" spans="1:9" hidden="1">
      <c r="A33" s="29">
        <v>8</v>
      </c>
      <c r="B33" s="62" t="s">
        <v>135</v>
      </c>
      <c r="C33" s="63" t="s">
        <v>39</v>
      </c>
      <c r="D33" s="62" t="s">
        <v>149</v>
      </c>
      <c r="E33" s="65">
        <v>5</v>
      </c>
      <c r="F33" s="65">
        <f>E33*155/100</f>
        <v>7.75</v>
      </c>
      <c r="G33" s="65">
        <v>1775.94</v>
      </c>
      <c r="H33" s="66">
        <f>G33*F33/1000</f>
        <v>13.763534999999999</v>
      </c>
      <c r="I33" s="13">
        <f>F33/6*G33</f>
        <v>2293.9225000000001</v>
      </c>
    </row>
    <row r="34" spans="1:9" hidden="1">
      <c r="A34" s="29">
        <v>9</v>
      </c>
      <c r="B34" s="62" t="s">
        <v>110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77.33</v>
      </c>
      <c r="H34" s="66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2" t="s">
        <v>63</v>
      </c>
      <c r="C35" s="63" t="s">
        <v>33</v>
      </c>
      <c r="D35" s="62" t="s">
        <v>65</v>
      </c>
      <c r="E35" s="64"/>
      <c r="F35" s="65">
        <v>2</v>
      </c>
      <c r="G35" s="65">
        <v>260.95</v>
      </c>
      <c r="H35" s="66">
        <f t="shared" si="1"/>
        <v>0.52190000000000003</v>
      </c>
      <c r="I35" s="13">
        <v>0</v>
      </c>
    </row>
    <row r="36" spans="1:9" hidden="1">
      <c r="A36" s="29"/>
      <c r="B36" s="62" t="s">
        <v>64</v>
      </c>
      <c r="C36" s="63" t="s">
        <v>32</v>
      </c>
      <c r="D36" s="62" t="s">
        <v>65</v>
      </c>
      <c r="E36" s="64"/>
      <c r="F36" s="65">
        <v>1</v>
      </c>
      <c r="G36" s="65">
        <v>1549.92</v>
      </c>
      <c r="H36" s="66">
        <f t="shared" si="1"/>
        <v>1.54992</v>
      </c>
      <c r="I36" s="13">
        <v>0</v>
      </c>
    </row>
    <row r="37" spans="1:9" ht="20.25" customHeight="1">
      <c r="A37" s="29"/>
      <c r="B37" s="82" t="s">
        <v>5</v>
      </c>
      <c r="C37" s="63"/>
      <c r="D37" s="62"/>
      <c r="E37" s="64"/>
      <c r="F37" s="65"/>
      <c r="G37" s="65"/>
      <c r="H37" s="66" t="s">
        <v>124</v>
      </c>
      <c r="I37" s="13"/>
    </row>
    <row r="38" spans="1:9" ht="33" customHeight="1">
      <c r="A38" s="29">
        <v>4</v>
      </c>
      <c r="B38" s="62" t="s">
        <v>26</v>
      </c>
      <c r="C38" s="63" t="s">
        <v>32</v>
      </c>
      <c r="D38" s="62" t="s">
        <v>378</v>
      </c>
      <c r="E38" s="64"/>
      <c r="F38" s="65">
        <v>5</v>
      </c>
      <c r="G38" s="65">
        <v>2083</v>
      </c>
      <c r="H38" s="66">
        <f t="shared" ref="H38:H45" si="2">SUM(F38*G38/1000)</f>
        <v>10.414999999999999</v>
      </c>
      <c r="I38" s="13">
        <f>G38*1</f>
        <v>2083</v>
      </c>
    </row>
    <row r="39" spans="1:9" ht="14.25" customHeight="1">
      <c r="A39" s="29">
        <v>5</v>
      </c>
      <c r="B39" s="62" t="s">
        <v>66</v>
      </c>
      <c r="C39" s="63" t="s">
        <v>29</v>
      </c>
      <c r="D39" s="62" t="s">
        <v>185</v>
      </c>
      <c r="E39" s="65">
        <v>469.73</v>
      </c>
      <c r="F39" s="65">
        <f>SUM(E39*30/1000)</f>
        <v>14.091900000000001</v>
      </c>
      <c r="G39" s="65">
        <v>2868.09</v>
      </c>
      <c r="H39" s="66">
        <f t="shared" si="2"/>
        <v>40.416837471000008</v>
      </c>
      <c r="I39" s="13">
        <f t="shared" ref="I39:I45" si="3">F39/6*G39</f>
        <v>6736.1395785000004</v>
      </c>
    </row>
    <row r="40" spans="1:9" ht="15.75" customHeight="1">
      <c r="A40" s="29">
        <v>6</v>
      </c>
      <c r="B40" s="62" t="s">
        <v>67</v>
      </c>
      <c r="C40" s="63" t="s">
        <v>29</v>
      </c>
      <c r="D40" s="62" t="s">
        <v>186</v>
      </c>
      <c r="E40" s="65">
        <v>475.06</v>
      </c>
      <c r="F40" s="65">
        <f>SUM(E40*155/1000)</f>
        <v>73.634299999999996</v>
      </c>
      <c r="G40" s="65">
        <v>478.42</v>
      </c>
      <c r="H40" s="66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2" t="s">
        <v>89</v>
      </c>
      <c r="C41" s="63" t="s">
        <v>128</v>
      </c>
      <c r="D41" s="62" t="s">
        <v>150</v>
      </c>
      <c r="E41" s="64"/>
      <c r="F41" s="65">
        <v>39</v>
      </c>
      <c r="G41" s="65">
        <v>314</v>
      </c>
      <c r="H41" s="66">
        <f>SUM(F41*G41/1000)</f>
        <v>12.246</v>
      </c>
      <c r="I41" s="13">
        <v>0</v>
      </c>
    </row>
    <row r="42" spans="1:9" ht="48.75" customHeight="1">
      <c r="A42" s="29">
        <v>7</v>
      </c>
      <c r="B42" s="62" t="s">
        <v>81</v>
      </c>
      <c r="C42" s="63" t="s">
        <v>107</v>
      </c>
      <c r="D42" s="62" t="s">
        <v>187</v>
      </c>
      <c r="E42" s="65">
        <v>40.6</v>
      </c>
      <c r="F42" s="65">
        <f>SUM(E42*35/1000)</f>
        <v>1.421</v>
      </c>
      <c r="G42" s="65">
        <v>7915.6</v>
      </c>
      <c r="H42" s="66">
        <f t="shared" si="2"/>
        <v>11.248067600000001</v>
      </c>
      <c r="I42" s="13">
        <f t="shared" si="3"/>
        <v>1874.6779333333334</v>
      </c>
    </row>
    <row r="43" spans="1:9" ht="16.5" hidden="1" customHeight="1">
      <c r="A43" s="29">
        <v>9</v>
      </c>
      <c r="B43" s="62" t="s">
        <v>113</v>
      </c>
      <c r="C43" s="63" t="s">
        <v>107</v>
      </c>
      <c r="D43" s="62" t="s">
        <v>188</v>
      </c>
      <c r="E43" s="65">
        <v>167.03</v>
      </c>
      <c r="F43" s="65">
        <f>SUM(E43*45/1000)</f>
        <v>7.5163500000000001</v>
      </c>
      <c r="G43" s="65">
        <v>584.74</v>
      </c>
      <c r="H43" s="66">
        <f t="shared" si="2"/>
        <v>4.3951104990000003</v>
      </c>
      <c r="I43" s="13">
        <f>(F43/7.5)*G43</f>
        <v>586.01473320000002</v>
      </c>
    </row>
    <row r="44" spans="1:9" ht="16.5" hidden="1" customHeight="1">
      <c r="A44" s="29">
        <v>10</v>
      </c>
      <c r="B44" s="62" t="s">
        <v>69</v>
      </c>
      <c r="C44" s="63" t="s">
        <v>33</v>
      </c>
      <c r="D44" s="62"/>
      <c r="E44" s="64"/>
      <c r="F44" s="65">
        <v>1.2</v>
      </c>
      <c r="G44" s="65">
        <v>800</v>
      </c>
      <c r="H44" s="66">
        <f t="shared" si="2"/>
        <v>0.96</v>
      </c>
      <c r="I44" s="13">
        <f>(F44/7.5)*G44</f>
        <v>128</v>
      </c>
    </row>
    <row r="45" spans="1:9" ht="36" customHeight="1">
      <c r="A45" s="29">
        <v>8</v>
      </c>
      <c r="B45" s="46" t="s">
        <v>151</v>
      </c>
      <c r="C45" s="60" t="s">
        <v>29</v>
      </c>
      <c r="D45" s="62" t="s">
        <v>192</v>
      </c>
      <c r="E45" s="64">
        <v>4.2</v>
      </c>
      <c r="F45" s="65">
        <f>SUM(E45*12/1000)</f>
        <v>5.0400000000000007E-2</v>
      </c>
      <c r="G45" s="65">
        <v>270.61</v>
      </c>
      <c r="H45" s="66">
        <f t="shared" si="2"/>
        <v>1.3638744000000003E-2</v>
      </c>
      <c r="I45" s="13">
        <f t="shared" si="3"/>
        <v>2.2731240000000006</v>
      </c>
    </row>
    <row r="46" spans="1:9">
      <c r="A46" s="256" t="s">
        <v>164</v>
      </c>
      <c r="B46" s="257"/>
      <c r="C46" s="257"/>
      <c r="D46" s="257"/>
      <c r="E46" s="257"/>
      <c r="F46" s="257"/>
      <c r="G46" s="257"/>
      <c r="H46" s="257"/>
      <c r="I46" s="258"/>
    </row>
    <row r="47" spans="1:9" hidden="1">
      <c r="A47" s="29">
        <v>12</v>
      </c>
      <c r="B47" s="62" t="s">
        <v>114</v>
      </c>
      <c r="C47" s="63" t="s">
        <v>107</v>
      </c>
      <c r="D47" s="62" t="s">
        <v>41</v>
      </c>
      <c r="E47" s="64">
        <v>1603.6</v>
      </c>
      <c r="F47" s="65">
        <f>SUM(E47*2/1000)</f>
        <v>3.2071999999999998</v>
      </c>
      <c r="G47" s="13">
        <v>1158.7</v>
      </c>
      <c r="H47" s="66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2" t="s">
        <v>34</v>
      </c>
      <c r="C48" s="63" t="s">
        <v>107</v>
      </c>
      <c r="D48" s="62" t="s">
        <v>41</v>
      </c>
      <c r="E48" s="64">
        <v>65</v>
      </c>
      <c r="F48" s="65">
        <f>SUM(E48*2/1000)</f>
        <v>0.13</v>
      </c>
      <c r="G48" s="13">
        <v>790.38</v>
      </c>
      <c r="H48" s="66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2" t="s">
        <v>35</v>
      </c>
      <c r="C49" s="63" t="s">
        <v>107</v>
      </c>
      <c r="D49" s="62" t="s">
        <v>41</v>
      </c>
      <c r="E49" s="64">
        <v>1825.8</v>
      </c>
      <c r="F49" s="65">
        <f>SUM(E49*2/1000)</f>
        <v>3.6515999999999997</v>
      </c>
      <c r="G49" s="13">
        <v>790.38</v>
      </c>
      <c r="H49" s="66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2" t="s">
        <v>36</v>
      </c>
      <c r="C50" s="63" t="s">
        <v>107</v>
      </c>
      <c r="D50" s="62" t="s">
        <v>41</v>
      </c>
      <c r="E50" s="64">
        <v>3163.96</v>
      </c>
      <c r="F50" s="65">
        <f>SUM(E50*2/1000)</f>
        <v>6.3279199999999998</v>
      </c>
      <c r="G50" s="13">
        <v>827.65</v>
      </c>
      <c r="H50" s="66">
        <f t="shared" si="4"/>
        <v>5.2373029879999997</v>
      </c>
      <c r="I50" s="13">
        <f t="shared" si="5"/>
        <v>2618.6514939999997</v>
      </c>
    </row>
    <row r="51" spans="1:9" ht="18.75" customHeight="1">
      <c r="A51" s="29">
        <v>9</v>
      </c>
      <c r="B51" s="62" t="s">
        <v>55</v>
      </c>
      <c r="C51" s="63" t="s">
        <v>107</v>
      </c>
      <c r="D51" s="62" t="s">
        <v>190</v>
      </c>
      <c r="E51" s="64">
        <v>5816.5</v>
      </c>
      <c r="F51" s="65">
        <f>SUM(E51*5/1000)</f>
        <v>29.0825</v>
      </c>
      <c r="G51" s="13">
        <v>1655.27</v>
      </c>
      <c r="H51" s="66">
        <f t="shared" si="4"/>
        <v>48.139389774999998</v>
      </c>
      <c r="I51" s="13">
        <f>F51/5*G51</f>
        <v>9627.8779549999999</v>
      </c>
    </row>
    <row r="52" spans="1:9" ht="30" hidden="1">
      <c r="A52" s="29">
        <v>10</v>
      </c>
      <c r="B52" s="62" t="s">
        <v>115</v>
      </c>
      <c r="C52" s="63" t="s">
        <v>107</v>
      </c>
      <c r="D52" s="62" t="s">
        <v>41</v>
      </c>
      <c r="E52" s="64">
        <v>5816.5</v>
      </c>
      <c r="F52" s="65">
        <f>SUM(E52*2/1000)</f>
        <v>11.632999999999999</v>
      </c>
      <c r="G52" s="13">
        <v>1655.27</v>
      </c>
      <c r="H52" s="66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2" t="s">
        <v>116</v>
      </c>
      <c r="C53" s="63" t="s">
        <v>37</v>
      </c>
      <c r="D53" s="62" t="s">
        <v>41</v>
      </c>
      <c r="E53" s="64">
        <v>25</v>
      </c>
      <c r="F53" s="65">
        <f>SUM(E53*2/100)</f>
        <v>0.5</v>
      </c>
      <c r="G53" s="13">
        <v>3724.37</v>
      </c>
      <c r="H53" s="66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2" t="s">
        <v>38</v>
      </c>
      <c r="C54" s="63" t="s">
        <v>39</v>
      </c>
      <c r="D54" s="62" t="s">
        <v>41</v>
      </c>
      <c r="E54" s="64">
        <v>1</v>
      </c>
      <c r="F54" s="65">
        <v>0.02</v>
      </c>
      <c r="G54" s="13">
        <v>7709.44</v>
      </c>
      <c r="H54" s="66">
        <f t="shared" si="4"/>
        <v>0.15418879999999999</v>
      </c>
      <c r="I54" s="13">
        <f t="shared" si="5"/>
        <v>77.094399999999993</v>
      </c>
    </row>
    <row r="55" spans="1:9" hidden="1">
      <c r="A55" s="29">
        <v>11</v>
      </c>
      <c r="B55" s="62" t="s">
        <v>40</v>
      </c>
      <c r="C55" s="63" t="s">
        <v>30</v>
      </c>
      <c r="D55" s="212">
        <v>44183</v>
      </c>
      <c r="E55" s="64">
        <v>198</v>
      </c>
      <c r="F55" s="65">
        <f>SUM(E55)*3</f>
        <v>594</v>
      </c>
      <c r="G55" s="13">
        <v>89.59</v>
      </c>
      <c r="H55" s="66">
        <f t="shared" si="4"/>
        <v>53.216459999999998</v>
      </c>
      <c r="I55" s="13">
        <f>F55/3*G55</f>
        <v>17738.82</v>
      </c>
    </row>
    <row r="56" spans="1:9">
      <c r="A56" s="241" t="s">
        <v>132</v>
      </c>
      <c r="B56" s="242"/>
      <c r="C56" s="242"/>
      <c r="D56" s="242"/>
      <c r="E56" s="242"/>
      <c r="F56" s="242"/>
      <c r="G56" s="242"/>
      <c r="H56" s="242"/>
      <c r="I56" s="243"/>
    </row>
    <row r="57" spans="1:9" hidden="1">
      <c r="A57" s="29"/>
      <c r="B57" s="82" t="s">
        <v>42</v>
      </c>
      <c r="C57" s="63"/>
      <c r="D57" s="62"/>
      <c r="E57" s="64"/>
      <c r="F57" s="65"/>
      <c r="G57" s="65"/>
      <c r="H57" s="66"/>
      <c r="I57" s="13"/>
    </row>
    <row r="58" spans="1:9" ht="30" hidden="1">
      <c r="A58" s="29">
        <v>16</v>
      </c>
      <c r="B58" s="62" t="s">
        <v>118</v>
      </c>
      <c r="C58" s="63" t="s">
        <v>99</v>
      </c>
      <c r="D58" s="62" t="s">
        <v>71</v>
      </c>
      <c r="E58" s="64">
        <v>118.3</v>
      </c>
      <c r="F58" s="65">
        <f>E58*6/100</f>
        <v>7.0979999999999999</v>
      </c>
      <c r="G58" s="72">
        <v>2110.4699999999998</v>
      </c>
      <c r="H58" s="66">
        <f>F58*G58/1000</f>
        <v>14.980116059999999</v>
      </c>
      <c r="I58" s="13">
        <f>G58*1.028</f>
        <v>2169.5631599999997</v>
      </c>
    </row>
    <row r="59" spans="1:9" ht="16.5" hidden="1" customHeight="1">
      <c r="A59" s="29">
        <v>13</v>
      </c>
      <c r="B59" s="62" t="s">
        <v>153</v>
      </c>
      <c r="C59" s="63" t="s">
        <v>99</v>
      </c>
      <c r="D59" s="62" t="s">
        <v>190</v>
      </c>
      <c r="E59" s="71">
        <v>3.78</v>
      </c>
      <c r="F59" s="13">
        <f>E59*6/100</f>
        <v>0.2268</v>
      </c>
      <c r="G59" s="65">
        <v>2110.4699999999998</v>
      </c>
      <c r="H59" s="66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3" t="s">
        <v>94</v>
      </c>
      <c r="C60" s="63" t="s">
        <v>95</v>
      </c>
      <c r="D60" s="73" t="s">
        <v>41</v>
      </c>
      <c r="E60" s="74">
        <v>5</v>
      </c>
      <c r="F60" s="75">
        <v>10</v>
      </c>
      <c r="G60" s="72">
        <v>246.58</v>
      </c>
      <c r="H60" s="76">
        <v>0.99099999999999999</v>
      </c>
      <c r="I60" s="13">
        <f>F60/2*G60</f>
        <v>1232.9000000000001</v>
      </c>
    </row>
    <row r="61" spans="1:9" hidden="1">
      <c r="A61" s="29">
        <v>14</v>
      </c>
      <c r="B61" s="73" t="s">
        <v>154</v>
      </c>
      <c r="C61" s="77" t="s">
        <v>32</v>
      </c>
      <c r="D61" s="73" t="s">
        <v>65</v>
      </c>
      <c r="E61" s="74"/>
      <c r="F61" s="76">
        <v>5</v>
      </c>
      <c r="G61" s="96">
        <v>1645</v>
      </c>
      <c r="H61" s="76">
        <f>SUM(F61*G61/1000)</f>
        <v>8.2249999999999996</v>
      </c>
      <c r="I61" s="96">
        <f>G61*1</f>
        <v>1645</v>
      </c>
    </row>
    <row r="62" spans="1:9" ht="15" customHeight="1">
      <c r="A62" s="29"/>
      <c r="B62" s="83" t="s">
        <v>43</v>
      </c>
      <c r="C62" s="77"/>
      <c r="D62" s="62"/>
      <c r="E62" s="64"/>
      <c r="F62" s="65"/>
      <c r="G62" s="65"/>
      <c r="H62" s="65"/>
      <c r="I62" s="119"/>
    </row>
    <row r="63" spans="1:9" hidden="1">
      <c r="A63" s="29"/>
      <c r="B63" s="73" t="s">
        <v>44</v>
      </c>
      <c r="C63" s="77" t="s">
        <v>52</v>
      </c>
      <c r="D63" s="62" t="s">
        <v>53</v>
      </c>
      <c r="E63" s="64">
        <v>352</v>
      </c>
      <c r="F63" s="65">
        <f>E63/100</f>
        <v>3.52</v>
      </c>
      <c r="G63" s="65">
        <v>1082.47</v>
      </c>
      <c r="H63" s="65">
        <f>G63*F63/1000</f>
        <v>3.8102944000000001</v>
      </c>
      <c r="I63" s="119">
        <v>0</v>
      </c>
    </row>
    <row r="64" spans="1:9" ht="17.25" customHeight="1">
      <c r="A64" s="29">
        <v>10</v>
      </c>
      <c r="B64" s="73" t="s">
        <v>90</v>
      </c>
      <c r="C64" s="77" t="s">
        <v>25</v>
      </c>
      <c r="D64" s="62" t="s">
        <v>190</v>
      </c>
      <c r="E64" s="64">
        <v>200</v>
      </c>
      <c r="F64" s="65">
        <f>E64*12</f>
        <v>2400</v>
      </c>
      <c r="G64" s="65">
        <v>1.4</v>
      </c>
      <c r="H64" s="65">
        <f>G64*F64/1000</f>
        <v>3.36</v>
      </c>
      <c r="I64" s="13">
        <f>F64/12*G64</f>
        <v>280</v>
      </c>
    </row>
    <row r="65" spans="1:9" ht="17.25" customHeight="1">
      <c r="A65" s="29"/>
      <c r="B65" s="83" t="s">
        <v>45</v>
      </c>
      <c r="C65" s="77"/>
      <c r="D65" s="116"/>
      <c r="E65" s="67"/>
      <c r="F65" s="111"/>
      <c r="G65" s="111"/>
      <c r="H65" s="117" t="s">
        <v>124</v>
      </c>
      <c r="I65" s="118"/>
    </row>
    <row r="66" spans="1:9" ht="16.5" customHeight="1">
      <c r="A66" s="29">
        <v>11</v>
      </c>
      <c r="B66" s="14" t="s">
        <v>46</v>
      </c>
      <c r="C66" s="16" t="s">
        <v>117</v>
      </c>
      <c r="D66" s="14" t="s">
        <v>379</v>
      </c>
      <c r="E66" s="18">
        <v>14</v>
      </c>
      <c r="F66" s="13">
        <f>SUM(E66)</f>
        <v>14</v>
      </c>
      <c r="G66" s="13">
        <v>303.35000000000002</v>
      </c>
      <c r="H66" s="61">
        <f t="shared" ref="H66:H85" si="6">SUM(F66*G66/1000)</f>
        <v>4.2469000000000001</v>
      </c>
      <c r="I66" s="13">
        <f>G66*9</f>
        <v>2730.15</v>
      </c>
    </row>
    <row r="67" spans="1:9" hidden="1">
      <c r="A67" s="29"/>
      <c r="B67" s="14" t="s">
        <v>47</v>
      </c>
      <c r="C67" s="16" t="s">
        <v>117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1">
        <f t="shared" si="6"/>
        <v>0.72806999999999999</v>
      </c>
      <c r="I67" s="13">
        <v>0</v>
      </c>
    </row>
    <row r="68" spans="1:9" hidden="1">
      <c r="A68" s="29">
        <v>24</v>
      </c>
      <c r="B68" s="14" t="s">
        <v>48</v>
      </c>
      <c r="C68" s="16" t="s">
        <v>119</v>
      </c>
      <c r="D68" s="14" t="s">
        <v>53</v>
      </c>
      <c r="E68" s="64">
        <v>23808</v>
      </c>
      <c r="F68" s="13">
        <f>SUM(E68/100)</f>
        <v>238.08</v>
      </c>
      <c r="G68" s="13">
        <v>289.37</v>
      </c>
      <c r="H68" s="61">
        <f t="shared" si="6"/>
        <v>68.893209600000006</v>
      </c>
      <c r="I68" s="13">
        <f t="shared" ref="I68:I73" si="7">F68*G68</f>
        <v>68893.209600000002</v>
      </c>
    </row>
    <row r="69" spans="1:9" hidden="1">
      <c r="A69" s="29">
        <v>25</v>
      </c>
      <c r="B69" s="14" t="s">
        <v>49</v>
      </c>
      <c r="C69" s="16" t="s">
        <v>120</v>
      </c>
      <c r="D69" s="14"/>
      <c r="E69" s="64">
        <v>23808</v>
      </c>
      <c r="F69" s="13">
        <f>SUM(E69/1000)</f>
        <v>23.808</v>
      </c>
      <c r="G69" s="13">
        <v>225.35</v>
      </c>
      <c r="H69" s="61">
        <f t="shared" si="6"/>
        <v>5.3651327999999996</v>
      </c>
      <c r="I69" s="13">
        <f t="shared" si="7"/>
        <v>5365.1327999999994</v>
      </c>
    </row>
    <row r="70" spans="1:9" hidden="1">
      <c r="A70" s="29">
        <v>26</v>
      </c>
      <c r="B70" s="14" t="s">
        <v>50</v>
      </c>
      <c r="C70" s="16" t="s">
        <v>76</v>
      </c>
      <c r="D70" s="14" t="s">
        <v>53</v>
      </c>
      <c r="E70" s="64">
        <v>3810</v>
      </c>
      <c r="F70" s="13">
        <f>SUM(E70/100)</f>
        <v>38.1</v>
      </c>
      <c r="G70" s="13">
        <v>2829.78</v>
      </c>
      <c r="H70" s="61">
        <f t="shared" si="6"/>
        <v>107.81461800000001</v>
      </c>
      <c r="I70" s="13">
        <f t="shared" si="7"/>
        <v>107814.61800000002</v>
      </c>
    </row>
    <row r="71" spans="1:9" hidden="1">
      <c r="A71" s="29">
        <v>27</v>
      </c>
      <c r="B71" s="79" t="s">
        <v>121</v>
      </c>
      <c r="C71" s="16" t="s">
        <v>33</v>
      </c>
      <c r="D71" s="14"/>
      <c r="E71" s="64">
        <v>12.8</v>
      </c>
      <c r="F71" s="13">
        <f>SUM(E71)</f>
        <v>12.8</v>
      </c>
      <c r="G71" s="13">
        <v>44.31</v>
      </c>
      <c r="H71" s="61">
        <f t="shared" si="6"/>
        <v>0.56716800000000001</v>
      </c>
      <c r="I71" s="13">
        <f t="shared" si="7"/>
        <v>567.16800000000001</v>
      </c>
    </row>
    <row r="72" spans="1:9" hidden="1">
      <c r="A72" s="29">
        <v>28</v>
      </c>
      <c r="B72" s="79" t="s">
        <v>130</v>
      </c>
      <c r="C72" s="16" t="s">
        <v>33</v>
      </c>
      <c r="D72" s="14"/>
      <c r="E72" s="64">
        <v>12.8</v>
      </c>
      <c r="F72" s="13">
        <f>SUM(E72)</f>
        <v>12.8</v>
      </c>
      <c r="G72" s="13">
        <v>47.79</v>
      </c>
      <c r="H72" s="61">
        <f t="shared" si="6"/>
        <v>0.61171200000000003</v>
      </c>
      <c r="I72" s="13">
        <f t="shared" si="7"/>
        <v>611.71199999999999</v>
      </c>
    </row>
    <row r="73" spans="1:9" hidden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5">
        <f>SUM(E73)</f>
        <v>6</v>
      </c>
      <c r="G73" s="13">
        <v>68.040000000000006</v>
      </c>
      <c r="H73" s="61">
        <f t="shared" si="6"/>
        <v>0.40823999999999999</v>
      </c>
      <c r="I73" s="13">
        <f t="shared" si="7"/>
        <v>408.24</v>
      </c>
    </row>
    <row r="74" spans="1:9" ht="29.25" customHeight="1">
      <c r="A74" s="29">
        <v>12</v>
      </c>
      <c r="B74" s="79" t="s">
        <v>155</v>
      </c>
      <c r="C74" s="16"/>
      <c r="D74" s="14" t="s">
        <v>191</v>
      </c>
      <c r="E74" s="18">
        <v>1</v>
      </c>
      <c r="F74" s="13">
        <v>12</v>
      </c>
      <c r="G74" s="13">
        <v>1194</v>
      </c>
      <c r="H74" s="61">
        <f t="shared" si="6"/>
        <v>14.327999999999999</v>
      </c>
      <c r="I74" s="13">
        <f>F74/12*G74</f>
        <v>1194</v>
      </c>
    </row>
    <row r="75" spans="1:9" ht="15" customHeight="1">
      <c r="A75" s="29"/>
      <c r="B75" s="176" t="s">
        <v>156</v>
      </c>
      <c r="C75" s="16"/>
      <c r="D75" s="14"/>
      <c r="E75" s="18"/>
      <c r="F75" s="55"/>
      <c r="G75" s="13"/>
      <c r="H75" s="61"/>
      <c r="I75" s="13"/>
    </row>
    <row r="76" spans="1:9" ht="35.25" customHeight="1">
      <c r="A76" s="29">
        <v>13</v>
      </c>
      <c r="B76" s="14" t="s">
        <v>157</v>
      </c>
      <c r="C76" s="29" t="s">
        <v>158</v>
      </c>
      <c r="D76" s="14"/>
      <c r="E76" s="18">
        <v>5816.5</v>
      </c>
      <c r="F76" s="65">
        <f>SUM(E76)*12</f>
        <v>69798</v>
      </c>
      <c r="G76" s="13">
        <v>2.37</v>
      </c>
      <c r="H76" s="61">
        <f>SUM(F76*G76/1000)</f>
        <v>165.42126000000002</v>
      </c>
      <c r="I76" s="13">
        <f>F76/12*G76</f>
        <v>13785.105000000001</v>
      </c>
    </row>
    <row r="77" spans="1:9" ht="33" customHeight="1">
      <c r="A77" s="29">
        <v>14</v>
      </c>
      <c r="B77" s="46" t="s">
        <v>159</v>
      </c>
      <c r="C77" s="60" t="s">
        <v>117</v>
      </c>
      <c r="D77" s="14" t="s">
        <v>191</v>
      </c>
      <c r="E77" s="113">
        <v>1</v>
      </c>
      <c r="F77" s="75">
        <f>E77*12</f>
        <v>12</v>
      </c>
      <c r="G77" s="96">
        <v>55.55</v>
      </c>
      <c r="H77" s="61">
        <f>SUM(F77*G77/1000)</f>
        <v>0.66659999999999986</v>
      </c>
      <c r="I77" s="13">
        <f>F77/12*G77</f>
        <v>55.55</v>
      </c>
    </row>
    <row r="78" spans="1:9" hidden="1">
      <c r="A78" s="105"/>
      <c r="B78" s="176" t="s">
        <v>72</v>
      </c>
      <c r="C78" s="16"/>
      <c r="D78" s="14"/>
      <c r="E78" s="18"/>
      <c r="F78" s="13"/>
      <c r="G78" s="13"/>
      <c r="H78" s="61" t="s">
        <v>124</v>
      </c>
      <c r="I78" s="106"/>
    </row>
    <row r="79" spans="1:9" ht="30" hidden="1">
      <c r="A79" s="105"/>
      <c r="B79" s="14" t="s">
        <v>160</v>
      </c>
      <c r="C79" s="16" t="s">
        <v>30</v>
      </c>
      <c r="D79" s="14" t="s">
        <v>65</v>
      </c>
      <c r="E79" s="18">
        <v>2</v>
      </c>
      <c r="F79" s="65">
        <f>E79</f>
        <v>2</v>
      </c>
      <c r="G79" s="13">
        <v>2112.2800000000002</v>
      </c>
      <c r="H79" s="61">
        <f>G79*F79/1000</f>
        <v>4.2245600000000003</v>
      </c>
      <c r="I79" s="106">
        <v>0</v>
      </c>
    </row>
    <row r="80" spans="1:9" hidden="1">
      <c r="A80" s="105"/>
      <c r="B80" s="46" t="s">
        <v>161</v>
      </c>
      <c r="C80" s="60" t="s">
        <v>117</v>
      </c>
      <c r="D80" s="14" t="s">
        <v>65</v>
      </c>
      <c r="E80" s="18">
        <v>5</v>
      </c>
      <c r="F80" s="13">
        <v>5</v>
      </c>
      <c r="G80" s="13">
        <v>136.19999999999999</v>
      </c>
      <c r="H80" s="61">
        <f>SUM(F80*G80/1000)</f>
        <v>0.68100000000000005</v>
      </c>
      <c r="I80" s="106">
        <v>0</v>
      </c>
    </row>
    <row r="81" spans="1:9" hidden="1">
      <c r="A81" s="105"/>
      <c r="B81" s="14" t="s">
        <v>73</v>
      </c>
      <c r="C81" s="16" t="s">
        <v>162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1">
        <f>SUM(F81*G81/1000)</f>
        <v>0.41051399999999999</v>
      </c>
      <c r="I81" s="106">
        <v>0</v>
      </c>
    </row>
    <row r="82" spans="1:9" hidden="1">
      <c r="A82" s="105"/>
      <c r="B82" s="14" t="s">
        <v>74</v>
      </c>
      <c r="C82" s="16" t="s">
        <v>30</v>
      </c>
      <c r="D82" s="14" t="s">
        <v>65</v>
      </c>
      <c r="E82" s="18">
        <v>1</v>
      </c>
      <c r="F82" s="55">
        <v>1</v>
      </c>
      <c r="G82" s="13">
        <v>1163.47</v>
      </c>
      <c r="H82" s="61">
        <f>SUM(F82*G82/1000)</f>
        <v>1.16347</v>
      </c>
      <c r="I82" s="106">
        <v>0</v>
      </c>
    </row>
    <row r="83" spans="1:9" hidden="1">
      <c r="A83" s="105"/>
      <c r="B83" s="46" t="s">
        <v>163</v>
      </c>
      <c r="C83" s="60" t="s">
        <v>117</v>
      </c>
      <c r="D83" s="14" t="s">
        <v>65</v>
      </c>
      <c r="E83" s="18">
        <v>1</v>
      </c>
      <c r="F83" s="65">
        <f>E83</f>
        <v>1</v>
      </c>
      <c r="G83" s="13">
        <v>1670.07</v>
      </c>
      <c r="H83" s="61">
        <f>SUM(F83*G83/1000)</f>
        <v>1.6700699999999999</v>
      </c>
      <c r="I83" s="106">
        <v>0</v>
      </c>
    </row>
    <row r="84" spans="1:9" hidden="1">
      <c r="A84" s="105"/>
      <c r="B84" s="80" t="s">
        <v>75</v>
      </c>
      <c r="C84" s="16"/>
      <c r="D84" s="14"/>
      <c r="E84" s="18"/>
      <c r="F84" s="13"/>
      <c r="G84" s="13" t="s">
        <v>124</v>
      </c>
      <c r="H84" s="61" t="s">
        <v>124</v>
      </c>
      <c r="I84" s="106"/>
    </row>
    <row r="85" spans="1:9" hidden="1">
      <c r="A85" s="105"/>
      <c r="B85" s="42" t="s">
        <v>125</v>
      </c>
      <c r="C85" s="16" t="s">
        <v>76</v>
      </c>
      <c r="D85" s="14"/>
      <c r="E85" s="18"/>
      <c r="F85" s="13">
        <v>0.6</v>
      </c>
      <c r="G85" s="13">
        <v>4144.28</v>
      </c>
      <c r="H85" s="61">
        <f t="shared" si="6"/>
        <v>2.4865679999999997</v>
      </c>
      <c r="I85" s="106">
        <v>0</v>
      </c>
    </row>
    <row r="86" spans="1:9" ht="18.75" hidden="1" customHeight="1">
      <c r="A86" s="105"/>
      <c r="B86" s="176" t="s">
        <v>122</v>
      </c>
      <c r="C86" s="80"/>
      <c r="D86" s="112"/>
      <c r="E86" s="31"/>
      <c r="F86" s="114"/>
      <c r="G86" s="114"/>
      <c r="H86" s="115">
        <f>SUM(H58:H85)</f>
        <v>411.53215745600005</v>
      </c>
      <c r="I86" s="106"/>
    </row>
    <row r="87" spans="1:9" ht="17.25" hidden="1" customHeight="1">
      <c r="A87" s="105">
        <v>17</v>
      </c>
      <c r="B87" s="62" t="s">
        <v>123</v>
      </c>
      <c r="C87" s="16"/>
      <c r="D87" s="14"/>
      <c r="E87" s="56"/>
      <c r="F87" s="13">
        <v>1</v>
      </c>
      <c r="G87" s="13">
        <v>415</v>
      </c>
      <c r="H87" s="61">
        <f>G87*F87/1000</f>
        <v>0.41499999999999998</v>
      </c>
      <c r="I87" s="106">
        <f>G87*1</f>
        <v>415</v>
      </c>
    </row>
    <row r="88" spans="1:9">
      <c r="A88" s="230" t="s">
        <v>133</v>
      </c>
      <c r="B88" s="231"/>
      <c r="C88" s="231"/>
      <c r="D88" s="231"/>
      <c r="E88" s="231"/>
      <c r="F88" s="231"/>
      <c r="G88" s="231"/>
      <c r="H88" s="231"/>
      <c r="I88" s="232"/>
    </row>
    <row r="89" spans="1:9" ht="16.5" customHeight="1">
      <c r="A89" s="105">
        <v>15</v>
      </c>
      <c r="B89" s="62" t="s">
        <v>126</v>
      </c>
      <c r="C89" s="16" t="s">
        <v>54</v>
      </c>
      <c r="D89" s="81"/>
      <c r="E89" s="13">
        <v>5816.5</v>
      </c>
      <c r="F89" s="13">
        <f>SUM(E89*12)</f>
        <v>69798</v>
      </c>
      <c r="G89" s="13">
        <v>3.22</v>
      </c>
      <c r="H89" s="61">
        <f>SUM(F89*G89/1000)</f>
        <v>224.74956000000003</v>
      </c>
      <c r="I89" s="13">
        <f>F89/12*G89</f>
        <v>18729.13</v>
      </c>
    </row>
    <row r="90" spans="1:9" ht="31.5" customHeight="1">
      <c r="A90" s="29">
        <v>16</v>
      </c>
      <c r="B90" s="14" t="s">
        <v>77</v>
      </c>
      <c r="C90" s="16"/>
      <c r="D90" s="81"/>
      <c r="E90" s="64">
        <f>E89</f>
        <v>5816.5</v>
      </c>
      <c r="F90" s="13">
        <f>E90*12</f>
        <v>69798</v>
      </c>
      <c r="G90" s="13">
        <v>3.64</v>
      </c>
      <c r="H90" s="61">
        <f>F90*G90/1000</f>
        <v>254.06471999999999</v>
      </c>
      <c r="I90" s="13">
        <f>F90/12*G90</f>
        <v>21172.06</v>
      </c>
    </row>
    <row r="91" spans="1:9">
      <c r="A91" s="174"/>
      <c r="B91" s="34" t="s">
        <v>79</v>
      </c>
      <c r="C91" s="35"/>
      <c r="D91" s="15"/>
      <c r="E91" s="15"/>
      <c r="F91" s="15"/>
      <c r="G91" s="18"/>
      <c r="H91" s="18"/>
      <c r="I91" s="31">
        <f>I90+I89+I77+I76+I74+I66+I64+I51+I45+I42+I40+I39+I38+I18+I17+I16</f>
        <v>116363.74639850001</v>
      </c>
    </row>
    <row r="92" spans="1:9">
      <c r="A92" s="244" t="s">
        <v>59</v>
      </c>
      <c r="B92" s="245"/>
      <c r="C92" s="245"/>
      <c r="D92" s="245"/>
      <c r="E92" s="245"/>
      <c r="F92" s="245"/>
      <c r="G92" s="245"/>
      <c r="H92" s="245"/>
      <c r="I92" s="246"/>
    </row>
    <row r="93" spans="1:9">
      <c r="A93" s="29">
        <v>17</v>
      </c>
      <c r="B93" s="218" t="s">
        <v>380</v>
      </c>
      <c r="C93" s="219" t="s">
        <v>117</v>
      </c>
      <c r="D93" s="87" t="s">
        <v>382</v>
      </c>
      <c r="E93" s="33"/>
      <c r="F93" s="33">
        <v>1</v>
      </c>
      <c r="G93" s="33">
        <v>368.33</v>
      </c>
      <c r="H93" s="85"/>
      <c r="I93" s="47">
        <f>G93*1</f>
        <v>368.33</v>
      </c>
    </row>
    <row r="94" spans="1:9">
      <c r="A94" s="29">
        <v>18</v>
      </c>
      <c r="B94" s="48" t="s">
        <v>148</v>
      </c>
      <c r="C94" s="86" t="s">
        <v>166</v>
      </c>
      <c r="D94" s="87" t="s">
        <v>280</v>
      </c>
      <c r="E94" s="33"/>
      <c r="F94" s="33">
        <v>122</v>
      </c>
      <c r="G94" s="33">
        <v>295.36</v>
      </c>
      <c r="H94" s="85"/>
      <c r="I94" s="47">
        <v>0</v>
      </c>
    </row>
    <row r="95" spans="1:9">
      <c r="A95" s="29">
        <v>19</v>
      </c>
      <c r="B95" s="48" t="s">
        <v>293</v>
      </c>
      <c r="C95" s="86" t="s">
        <v>166</v>
      </c>
      <c r="D95" s="87" t="s">
        <v>384</v>
      </c>
      <c r="E95" s="33"/>
      <c r="F95" s="33">
        <v>26</v>
      </c>
      <c r="G95" s="33">
        <v>295.36</v>
      </c>
      <c r="H95" s="85"/>
      <c r="I95" s="47">
        <f>G95*8</f>
        <v>2362.88</v>
      </c>
    </row>
    <row r="96" spans="1:9" ht="30">
      <c r="A96" s="29">
        <v>20</v>
      </c>
      <c r="B96" s="48" t="s">
        <v>139</v>
      </c>
      <c r="C96" s="86" t="s">
        <v>98</v>
      </c>
      <c r="D96" s="87" t="s">
        <v>193</v>
      </c>
      <c r="E96" s="33"/>
      <c r="F96" s="33">
        <v>4</v>
      </c>
      <c r="G96" s="33">
        <v>64.040000000000006</v>
      </c>
      <c r="H96" s="85"/>
      <c r="I96" s="47">
        <f>G96*1</f>
        <v>64.040000000000006</v>
      </c>
    </row>
    <row r="97" spans="1:9">
      <c r="A97" s="29">
        <v>21</v>
      </c>
      <c r="B97" s="223" t="s">
        <v>235</v>
      </c>
      <c r="C97" s="29" t="s">
        <v>207</v>
      </c>
      <c r="D97" s="227">
        <v>44559</v>
      </c>
      <c r="E97" s="33"/>
      <c r="F97" s="33">
        <v>2</v>
      </c>
      <c r="G97" s="33">
        <v>3537.07</v>
      </c>
      <c r="H97" s="85"/>
      <c r="I97" s="47">
        <f>G97*0.5</f>
        <v>1768.5350000000001</v>
      </c>
    </row>
    <row r="98" spans="1:9" ht="30">
      <c r="A98" s="29">
        <v>22</v>
      </c>
      <c r="B98" s="223" t="s">
        <v>178</v>
      </c>
      <c r="C98" s="29" t="s">
        <v>166</v>
      </c>
      <c r="D98" s="228" t="s">
        <v>385</v>
      </c>
      <c r="E98" s="33"/>
      <c r="F98" s="33">
        <v>28.5</v>
      </c>
      <c r="G98" s="33">
        <v>1584.54</v>
      </c>
      <c r="H98" s="85"/>
      <c r="I98" s="47">
        <f>G98*8</f>
        <v>12676.32</v>
      </c>
    </row>
    <row r="99" spans="1:9">
      <c r="A99" s="29">
        <v>23</v>
      </c>
      <c r="B99" s="48" t="s">
        <v>165</v>
      </c>
      <c r="C99" s="86" t="s">
        <v>117</v>
      </c>
      <c r="D99" s="87" t="s">
        <v>383</v>
      </c>
      <c r="E99" s="33"/>
      <c r="F99" s="33">
        <v>6</v>
      </c>
      <c r="G99" s="33">
        <v>101.85</v>
      </c>
      <c r="H99" s="85"/>
      <c r="I99" s="47">
        <v>0</v>
      </c>
    </row>
    <row r="100" spans="1:9">
      <c r="A100" s="29">
        <v>24</v>
      </c>
      <c r="B100" s="218" t="s">
        <v>381</v>
      </c>
      <c r="C100" s="86" t="s">
        <v>117</v>
      </c>
      <c r="D100" s="87"/>
      <c r="E100" s="33"/>
      <c r="F100" s="33">
        <v>1</v>
      </c>
      <c r="G100" s="33">
        <v>857.37</v>
      </c>
      <c r="H100" s="85"/>
      <c r="I100" s="47">
        <f>G100*1</f>
        <v>857.37</v>
      </c>
    </row>
    <row r="101" spans="1:9" hidden="1">
      <c r="A101" s="29"/>
      <c r="B101" s="48"/>
      <c r="C101" s="86"/>
      <c r="D101" s="97"/>
      <c r="E101" s="33"/>
      <c r="F101" s="33"/>
      <c r="G101" s="33"/>
      <c r="H101" s="85"/>
      <c r="I101" s="47"/>
    </row>
    <row r="102" spans="1:9" hidden="1">
      <c r="A102" s="29"/>
      <c r="B102" s="48"/>
      <c r="C102" s="86"/>
      <c r="D102" s="97"/>
      <c r="E102" s="33"/>
      <c r="F102" s="33"/>
      <c r="G102" s="33"/>
      <c r="H102" s="85"/>
      <c r="I102" s="47"/>
    </row>
    <row r="103" spans="1:9" hidden="1">
      <c r="A103" s="29"/>
      <c r="B103" s="48"/>
      <c r="C103" s="86"/>
      <c r="D103" s="97"/>
      <c r="E103" s="33"/>
      <c r="F103" s="33"/>
      <c r="G103" s="33"/>
      <c r="H103" s="85"/>
      <c r="I103" s="47"/>
    </row>
    <row r="104" spans="1:9" ht="17.25" customHeight="1">
      <c r="A104" s="29"/>
      <c r="B104" s="40" t="s">
        <v>51</v>
      </c>
      <c r="C104" s="36"/>
      <c r="D104" s="44"/>
      <c r="E104" s="36">
        <v>1</v>
      </c>
      <c r="F104" s="36"/>
      <c r="G104" s="36"/>
      <c r="H104" s="36"/>
      <c r="I104" s="31">
        <f>SUM(I93:I103)</f>
        <v>18097.474999999999</v>
      </c>
    </row>
    <row r="105" spans="1:9">
      <c r="A105" s="29"/>
      <c r="B105" s="42" t="s">
        <v>78</v>
      </c>
      <c r="C105" s="15"/>
      <c r="D105" s="15"/>
      <c r="E105" s="37"/>
      <c r="F105" s="37"/>
      <c r="G105" s="38"/>
      <c r="H105" s="38"/>
      <c r="I105" s="17">
        <v>0</v>
      </c>
    </row>
    <row r="106" spans="1:9">
      <c r="A106" s="45"/>
      <c r="B106" s="41" t="s">
        <v>147</v>
      </c>
      <c r="C106" s="32"/>
      <c r="D106" s="32"/>
      <c r="E106" s="32"/>
      <c r="F106" s="32"/>
      <c r="G106" s="32"/>
      <c r="H106" s="32"/>
      <c r="I106" s="39">
        <f>I104+I91</f>
        <v>134461.2213985</v>
      </c>
    </row>
    <row r="107" spans="1:9" ht="15.75">
      <c r="A107" s="247" t="s">
        <v>386</v>
      </c>
      <c r="B107" s="247"/>
      <c r="C107" s="247"/>
      <c r="D107" s="247"/>
      <c r="E107" s="247"/>
      <c r="F107" s="247"/>
      <c r="G107" s="247"/>
      <c r="H107" s="247"/>
      <c r="I107" s="247"/>
    </row>
    <row r="108" spans="1:9" ht="15.75">
      <c r="A108" s="54"/>
      <c r="B108" s="248" t="s">
        <v>387</v>
      </c>
      <c r="C108" s="248"/>
      <c r="D108" s="248"/>
      <c r="E108" s="248"/>
      <c r="F108" s="248"/>
      <c r="G108" s="248"/>
      <c r="H108" s="59"/>
      <c r="I108" s="3"/>
    </row>
    <row r="109" spans="1:9">
      <c r="A109" s="172"/>
      <c r="B109" s="249" t="s">
        <v>6</v>
      </c>
      <c r="C109" s="249"/>
      <c r="D109" s="249"/>
      <c r="E109" s="249"/>
      <c r="F109" s="249"/>
      <c r="G109" s="249"/>
      <c r="H109" s="24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50" t="s">
        <v>7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15.75">
      <c r="A112" s="250" t="s">
        <v>8</v>
      </c>
      <c r="B112" s="250"/>
      <c r="C112" s="250"/>
      <c r="D112" s="250"/>
      <c r="E112" s="250"/>
      <c r="F112" s="250"/>
      <c r="G112" s="250"/>
      <c r="H112" s="250"/>
      <c r="I112" s="250"/>
    </row>
    <row r="113" spans="1:9" ht="15.75">
      <c r="A113" s="239" t="s">
        <v>60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ht="15.75">
      <c r="A114" s="11"/>
    </row>
    <row r="115" spans="1:9" ht="15.75">
      <c r="A115" s="252" t="s">
        <v>9</v>
      </c>
      <c r="B115" s="252"/>
      <c r="C115" s="252"/>
      <c r="D115" s="252"/>
      <c r="E115" s="252"/>
      <c r="F115" s="252"/>
      <c r="G115" s="252"/>
      <c r="H115" s="252"/>
      <c r="I115" s="252"/>
    </row>
    <row r="116" spans="1:9" ht="15.75">
      <c r="A116" s="4"/>
    </row>
    <row r="117" spans="1:9" ht="15.75">
      <c r="B117" s="173" t="s">
        <v>10</v>
      </c>
      <c r="C117" s="253" t="s">
        <v>209</v>
      </c>
      <c r="D117" s="253"/>
      <c r="E117" s="253"/>
      <c r="F117" s="57"/>
      <c r="I117" s="171"/>
    </row>
    <row r="118" spans="1:9">
      <c r="A118" s="172"/>
      <c r="C118" s="249" t="s">
        <v>11</v>
      </c>
      <c r="D118" s="249"/>
      <c r="E118" s="249"/>
      <c r="F118" s="24"/>
      <c r="I118" s="170" t="s">
        <v>12</v>
      </c>
    </row>
    <row r="119" spans="1:9" ht="15.75">
      <c r="A119" s="25"/>
      <c r="C119" s="12"/>
      <c r="D119" s="12"/>
      <c r="G119" s="12"/>
      <c r="H119" s="12"/>
    </row>
    <row r="120" spans="1:9" ht="15.75">
      <c r="B120" s="173" t="s">
        <v>13</v>
      </c>
      <c r="C120" s="254"/>
      <c r="D120" s="254"/>
      <c r="E120" s="254"/>
      <c r="F120" s="58"/>
      <c r="I120" s="171"/>
    </row>
    <row r="121" spans="1:9">
      <c r="A121" s="172"/>
      <c r="C121" s="229" t="s">
        <v>11</v>
      </c>
      <c r="D121" s="229"/>
      <c r="E121" s="229"/>
      <c r="F121" s="172"/>
      <c r="I121" s="170" t="s">
        <v>12</v>
      </c>
    </row>
    <row r="122" spans="1:9" ht="15.75">
      <c r="A122" s="4" t="s">
        <v>14</v>
      </c>
    </row>
    <row r="123" spans="1:9">
      <c r="A123" s="255" t="s">
        <v>15</v>
      </c>
      <c r="B123" s="255"/>
      <c r="C123" s="255"/>
      <c r="D123" s="255"/>
      <c r="E123" s="255"/>
      <c r="F123" s="255"/>
      <c r="G123" s="255"/>
      <c r="H123" s="255"/>
      <c r="I123" s="255"/>
    </row>
    <row r="124" spans="1:9" ht="42.75" customHeight="1">
      <c r="A124" s="251" t="s">
        <v>16</v>
      </c>
      <c r="B124" s="251"/>
      <c r="C124" s="251"/>
      <c r="D124" s="251"/>
      <c r="E124" s="251"/>
      <c r="F124" s="251"/>
      <c r="G124" s="251"/>
      <c r="H124" s="251"/>
      <c r="I124" s="251"/>
    </row>
    <row r="125" spans="1:9" ht="36.75" customHeight="1">
      <c r="A125" s="251" t="s">
        <v>17</v>
      </c>
      <c r="B125" s="251"/>
      <c r="C125" s="251"/>
      <c r="D125" s="251"/>
      <c r="E125" s="251"/>
      <c r="F125" s="251"/>
      <c r="G125" s="251"/>
      <c r="H125" s="251"/>
      <c r="I125" s="251"/>
    </row>
    <row r="126" spans="1:9" ht="32.25" customHeight="1">
      <c r="A126" s="251" t="s">
        <v>21</v>
      </c>
      <c r="B126" s="251"/>
      <c r="C126" s="251"/>
      <c r="D126" s="251"/>
      <c r="E126" s="251"/>
      <c r="F126" s="251"/>
      <c r="G126" s="251"/>
      <c r="H126" s="251"/>
      <c r="I126" s="251"/>
    </row>
    <row r="127" spans="1:9" ht="15.75">
      <c r="A127" s="251" t="s">
        <v>20</v>
      </c>
      <c r="B127" s="251"/>
      <c r="C127" s="251"/>
      <c r="D127" s="251"/>
      <c r="E127" s="251"/>
      <c r="F127" s="251"/>
      <c r="G127" s="251"/>
      <c r="H127" s="251"/>
      <c r="I127" s="251"/>
    </row>
  </sheetData>
  <mergeCells count="28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8:I28"/>
    <mergeCell ref="A46:I46"/>
    <mergeCell ref="A56:I56"/>
    <mergeCell ref="A88:I88"/>
    <mergeCell ref="A92:I92"/>
    <mergeCell ref="A107:I107"/>
    <mergeCell ref="B108:G108"/>
    <mergeCell ref="B109:G109"/>
    <mergeCell ref="A111:I111"/>
    <mergeCell ref="A112:I112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8"/>
  <sheetViews>
    <sheetView view="pageBreakPreview" topLeftCell="A89" zoomScale="60" zoomScaleNormal="100" workbookViewId="0">
      <selection activeCell="B100" sqref="B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33" t="s">
        <v>142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230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52"/>
      <c r="C6" s="52"/>
      <c r="D6" s="52"/>
      <c r="E6" s="52"/>
      <c r="F6" s="52"/>
      <c r="G6" s="52"/>
      <c r="H6" s="52"/>
      <c r="I6" s="30">
        <v>44255</v>
      </c>
      <c r="J6" s="2"/>
      <c r="K6" s="2"/>
      <c r="L6" s="2"/>
      <c r="M6" s="2"/>
    </row>
    <row r="7" spans="1:13" ht="15.75" customHeight="1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181.91</v>
      </c>
      <c r="H19" s="66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07" t="s">
        <v>92</v>
      </c>
      <c r="C20" s="108" t="s">
        <v>99</v>
      </c>
      <c r="D20" s="107" t="s">
        <v>41</v>
      </c>
      <c r="E20" s="185">
        <v>17.5</v>
      </c>
      <c r="F20" s="109">
        <f>SUM(E20*2/100)</f>
        <v>0.35</v>
      </c>
      <c r="G20" s="109">
        <v>297.19</v>
      </c>
      <c r="H20" s="66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07" t="s">
        <v>93</v>
      </c>
      <c r="C21" s="108" t="s">
        <v>99</v>
      </c>
      <c r="D21" s="91" t="s">
        <v>41</v>
      </c>
      <c r="E21" s="93">
        <v>5.94</v>
      </c>
      <c r="F21" s="109">
        <f>SUM(E21*2/100)</f>
        <v>0.1188</v>
      </c>
      <c r="G21" s="94">
        <v>294.77999999999997</v>
      </c>
      <c r="H21" s="66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287.83999999999997</v>
      </c>
      <c r="H22" s="66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2" t="s">
        <v>104</v>
      </c>
      <c r="C23" s="63" t="s">
        <v>52</v>
      </c>
      <c r="D23" s="62" t="s">
        <v>102</v>
      </c>
      <c r="E23" s="67">
        <v>60.4</v>
      </c>
      <c r="F23" s="65">
        <f>SUM(E23/100)</f>
        <v>0.60399999999999998</v>
      </c>
      <c r="G23" s="65">
        <v>47.34</v>
      </c>
      <c r="H23" s="66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2" t="s">
        <v>96</v>
      </c>
      <c r="C24" s="63" t="s">
        <v>52</v>
      </c>
      <c r="D24" s="62" t="s">
        <v>53</v>
      </c>
      <c r="E24" s="18">
        <v>25</v>
      </c>
      <c r="F24" s="68">
        <f>E24/100</f>
        <v>0.25</v>
      </c>
      <c r="G24" s="65">
        <v>416.62</v>
      </c>
      <c r="H24" s="66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2" t="s">
        <v>105</v>
      </c>
      <c r="C25" s="63" t="s">
        <v>52</v>
      </c>
      <c r="D25" s="62" t="s">
        <v>102</v>
      </c>
      <c r="E25" s="67">
        <v>23.75</v>
      </c>
      <c r="F25" s="65">
        <f>E25/100</f>
        <v>0.23749999999999999</v>
      </c>
      <c r="G25" s="65">
        <v>231.03</v>
      </c>
      <c r="H25" s="66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2" t="s">
        <v>97</v>
      </c>
      <c r="C26" s="63" t="s">
        <v>52</v>
      </c>
      <c r="D26" s="62" t="s">
        <v>102</v>
      </c>
      <c r="E26" s="64">
        <v>10.63</v>
      </c>
      <c r="F26" s="65">
        <f>SUM(E26/100)</f>
        <v>0.10630000000000001</v>
      </c>
      <c r="G26" s="65">
        <v>556.74</v>
      </c>
      <c r="H26" s="66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4</v>
      </c>
      <c r="B27" s="107" t="s">
        <v>180</v>
      </c>
      <c r="C27" s="108" t="s">
        <v>25</v>
      </c>
      <c r="D27" s="107" t="s">
        <v>184</v>
      </c>
      <c r="E27" s="210">
        <v>5.72</v>
      </c>
      <c r="F27" s="109">
        <f>E27*258</f>
        <v>1475.76</v>
      </c>
      <c r="G27" s="109">
        <v>10.39</v>
      </c>
      <c r="H27" s="66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40" t="s">
        <v>83</v>
      </c>
      <c r="B28" s="240"/>
      <c r="C28" s="240"/>
      <c r="D28" s="240"/>
      <c r="E28" s="240"/>
      <c r="F28" s="240"/>
      <c r="G28" s="240"/>
      <c r="H28" s="240"/>
      <c r="I28" s="240"/>
      <c r="J28" s="22"/>
      <c r="K28" s="8"/>
      <c r="L28" s="8"/>
      <c r="M28" s="8"/>
    </row>
    <row r="29" spans="1:13" ht="15.75" hidden="1" customHeight="1">
      <c r="A29" s="29"/>
      <c r="B29" s="82" t="s">
        <v>28</v>
      </c>
      <c r="C29" s="63"/>
      <c r="D29" s="62"/>
      <c r="E29" s="64"/>
      <c r="F29" s="65"/>
      <c r="G29" s="65"/>
      <c r="H29" s="6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106</v>
      </c>
      <c r="C30" s="63" t="s">
        <v>107</v>
      </c>
      <c r="D30" s="62" t="s">
        <v>108</v>
      </c>
      <c r="E30" s="65">
        <v>357.22</v>
      </c>
      <c r="F30" s="65">
        <f>SUM(E30*52/1000)</f>
        <v>18.575440000000004</v>
      </c>
      <c r="G30" s="65">
        <v>166.65</v>
      </c>
      <c r="H30" s="66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140</v>
      </c>
      <c r="C31" s="63" t="s">
        <v>107</v>
      </c>
      <c r="D31" s="62" t="s">
        <v>109</v>
      </c>
      <c r="E31" s="65">
        <v>475.06</v>
      </c>
      <c r="F31" s="65">
        <f>SUM(E31*78/1000)</f>
        <v>37.054679999999998</v>
      </c>
      <c r="G31" s="65">
        <v>276.48</v>
      </c>
      <c r="H31" s="66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2" t="s">
        <v>27</v>
      </c>
      <c r="C32" s="63" t="s">
        <v>107</v>
      </c>
      <c r="D32" s="62" t="s">
        <v>53</v>
      </c>
      <c r="E32" s="65">
        <v>357.22</v>
      </c>
      <c r="F32" s="65">
        <f>SUM(E32/1000)</f>
        <v>0.35722000000000004</v>
      </c>
      <c r="G32" s="65">
        <v>3228.73</v>
      </c>
      <c r="H32" s="66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135</v>
      </c>
      <c r="C33" s="63" t="s">
        <v>39</v>
      </c>
      <c r="D33" s="62" t="s">
        <v>136</v>
      </c>
      <c r="E33" s="65">
        <v>5</v>
      </c>
      <c r="F33" s="65">
        <f>E33*155/100</f>
        <v>7.75</v>
      </c>
      <c r="G33" s="65">
        <v>1391.86</v>
      </c>
      <c r="H33" s="66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110</v>
      </c>
      <c r="C34" s="63" t="s">
        <v>30</v>
      </c>
      <c r="D34" s="62" t="s">
        <v>62</v>
      </c>
      <c r="E34" s="69">
        <v>0.33333333333333331</v>
      </c>
      <c r="F34" s="65">
        <f>155/3</f>
        <v>51.666666666666664</v>
      </c>
      <c r="G34" s="65">
        <v>60.6</v>
      </c>
      <c r="H34" s="66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2" t="s">
        <v>63</v>
      </c>
      <c r="C35" s="63" t="s">
        <v>33</v>
      </c>
      <c r="D35" s="62" t="s">
        <v>65</v>
      </c>
      <c r="E35" s="64"/>
      <c r="F35" s="65">
        <v>3</v>
      </c>
      <c r="G35" s="65">
        <v>204.52</v>
      </c>
      <c r="H35" s="66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2" t="s">
        <v>64</v>
      </c>
      <c r="C36" s="63" t="s">
        <v>32</v>
      </c>
      <c r="D36" s="62" t="s">
        <v>65</v>
      </c>
      <c r="E36" s="64"/>
      <c r="F36" s="65">
        <v>2</v>
      </c>
      <c r="G36" s="65">
        <v>1214.74</v>
      </c>
      <c r="H36" s="66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137</v>
      </c>
      <c r="C37" s="60" t="s">
        <v>29</v>
      </c>
      <c r="D37" s="62"/>
      <c r="E37" s="64">
        <v>360.36</v>
      </c>
      <c r="F37" s="65">
        <f>E37*36/1000</f>
        <v>12.97296</v>
      </c>
      <c r="G37" s="65">
        <v>3228.73</v>
      </c>
      <c r="H37" s="66">
        <f t="shared" si="1"/>
        <v>41.886185140800002</v>
      </c>
      <c r="I37" s="13">
        <v>0</v>
      </c>
      <c r="J37" s="23"/>
    </row>
    <row r="38" spans="1:14" ht="15.75" customHeight="1">
      <c r="A38" s="29"/>
      <c r="B38" s="82" t="s">
        <v>5</v>
      </c>
      <c r="C38" s="63"/>
      <c r="D38" s="62"/>
      <c r="E38" s="64"/>
      <c r="F38" s="65"/>
      <c r="G38" s="65"/>
      <c r="H38" s="66" t="s">
        <v>124</v>
      </c>
      <c r="I38" s="13"/>
      <c r="J38" s="23"/>
    </row>
    <row r="39" spans="1:14" ht="15.75" customHeight="1">
      <c r="A39" s="29">
        <v>5</v>
      </c>
      <c r="B39" s="187" t="s">
        <v>26</v>
      </c>
      <c r="C39" s="108" t="s">
        <v>32</v>
      </c>
      <c r="D39" s="107" t="s">
        <v>231</v>
      </c>
      <c r="E39" s="185"/>
      <c r="F39" s="109">
        <v>5</v>
      </c>
      <c r="G39" s="109">
        <v>2083</v>
      </c>
      <c r="H39" s="66">
        <f t="shared" ref="H39:H45" si="2">SUM(F39*G39/1000)</f>
        <v>10.414999999999999</v>
      </c>
      <c r="I39" s="13">
        <f>G39*1</f>
        <v>2083</v>
      </c>
      <c r="J39" s="23"/>
      <c r="L39" s="19"/>
      <c r="M39" s="20"/>
      <c r="N39" s="21"/>
    </row>
    <row r="40" spans="1:14" ht="15.75" customHeight="1">
      <c r="A40" s="29">
        <v>6</v>
      </c>
      <c r="B40" s="187" t="s">
        <v>66</v>
      </c>
      <c r="C40" s="188" t="s">
        <v>29</v>
      </c>
      <c r="D40" s="187" t="s">
        <v>185</v>
      </c>
      <c r="E40" s="189">
        <v>469.73</v>
      </c>
      <c r="F40" s="189">
        <f>SUM(E40*30/1000)</f>
        <v>14.091900000000001</v>
      </c>
      <c r="G40" s="189">
        <v>2868.09</v>
      </c>
      <c r="H40" s="66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5.75" hidden="1" customHeight="1">
      <c r="A41" s="29"/>
      <c r="B41" s="107" t="s">
        <v>67</v>
      </c>
      <c r="C41" s="108" t="s">
        <v>29</v>
      </c>
      <c r="D41" s="107" t="s">
        <v>186</v>
      </c>
      <c r="E41" s="109">
        <v>475.06</v>
      </c>
      <c r="F41" s="189">
        <f>SUM(E41*155/1000)</f>
        <v>73.634299999999996</v>
      </c>
      <c r="G41" s="109">
        <v>478.42</v>
      </c>
      <c r="H41" s="66">
        <f t="shared" si="2"/>
        <v>35.228121806000004</v>
      </c>
      <c r="I41" s="13">
        <v>0</v>
      </c>
      <c r="J41" s="23"/>
      <c r="L41" s="19"/>
      <c r="M41" s="20"/>
      <c r="N41" s="21"/>
    </row>
    <row r="42" spans="1:14" ht="15.75" customHeight="1">
      <c r="A42" s="29">
        <v>7</v>
      </c>
      <c r="B42" s="107" t="s">
        <v>67</v>
      </c>
      <c r="C42" s="108" t="s">
        <v>29</v>
      </c>
      <c r="D42" s="107" t="s">
        <v>186</v>
      </c>
      <c r="E42" s="109">
        <v>475.06</v>
      </c>
      <c r="F42" s="189">
        <f>SUM(E42*155/1000)</f>
        <v>73.634299999999996</v>
      </c>
      <c r="G42" s="109">
        <v>478.42</v>
      </c>
      <c r="H42" s="66">
        <f t="shared" si="2"/>
        <v>35.228121806000004</v>
      </c>
      <c r="I42" s="13">
        <f>F42/6*G42</f>
        <v>5871.3536343333326</v>
      </c>
      <c r="J42" s="23"/>
      <c r="L42" s="19"/>
      <c r="M42" s="20"/>
      <c r="N42" s="21"/>
    </row>
    <row r="43" spans="1:14" ht="47.25" customHeight="1">
      <c r="A43" s="29">
        <v>8</v>
      </c>
      <c r="B43" s="107" t="s">
        <v>81</v>
      </c>
      <c r="C43" s="108" t="s">
        <v>107</v>
      </c>
      <c r="D43" s="107" t="s">
        <v>187</v>
      </c>
      <c r="E43" s="109">
        <v>40.6</v>
      </c>
      <c r="F43" s="189">
        <f>SUM(E43*35/1000)</f>
        <v>1.421</v>
      </c>
      <c r="G43" s="109">
        <v>7915.6</v>
      </c>
      <c r="H43" s="66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hidden="1" customHeight="1">
      <c r="A44" s="29">
        <v>9</v>
      </c>
      <c r="B44" s="107" t="s">
        <v>113</v>
      </c>
      <c r="C44" s="108" t="s">
        <v>107</v>
      </c>
      <c r="D44" s="107" t="s">
        <v>194</v>
      </c>
      <c r="E44" s="109">
        <v>167.03</v>
      </c>
      <c r="F44" s="189">
        <f>SUM(E44*45/1000)</f>
        <v>7.5163500000000001</v>
      </c>
      <c r="G44" s="109">
        <v>584.74</v>
      </c>
      <c r="H44" s="66">
        <f t="shared" si="2"/>
        <v>4.3951104990000003</v>
      </c>
      <c r="I44" s="13">
        <f>G44*F44/45</f>
        <v>97.669122200000004</v>
      </c>
      <c r="J44" s="23"/>
      <c r="L44" s="19"/>
      <c r="M44" s="20"/>
      <c r="N44" s="21"/>
    </row>
    <row r="45" spans="1:14" ht="15.75" hidden="1" customHeight="1">
      <c r="A45" s="181">
        <v>10</v>
      </c>
      <c r="B45" s="190" t="s">
        <v>69</v>
      </c>
      <c r="C45" s="191" t="s">
        <v>33</v>
      </c>
      <c r="D45" s="190"/>
      <c r="E45" s="192"/>
      <c r="F45" s="193">
        <v>1.2</v>
      </c>
      <c r="G45" s="193">
        <v>800</v>
      </c>
      <c r="H45" s="76">
        <f t="shared" si="2"/>
        <v>0.96</v>
      </c>
      <c r="I45" s="96">
        <f>G45*F45/45</f>
        <v>21.333333333333332</v>
      </c>
      <c r="J45" s="23"/>
      <c r="L45" s="19"/>
      <c r="M45" s="20"/>
      <c r="N45" s="21"/>
    </row>
    <row r="46" spans="1:14" ht="33" customHeight="1">
      <c r="A46" s="29">
        <v>9</v>
      </c>
      <c r="B46" s="48" t="s">
        <v>151</v>
      </c>
      <c r="C46" s="86" t="s">
        <v>29</v>
      </c>
      <c r="D46" s="187" t="s">
        <v>189</v>
      </c>
      <c r="E46" s="186">
        <v>4.2</v>
      </c>
      <c r="F46" s="189">
        <f>SUM(E46*12/1000)</f>
        <v>5.0400000000000007E-2</v>
      </c>
      <c r="G46" s="189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41" t="s">
        <v>131</v>
      </c>
      <c r="B47" s="242"/>
      <c r="C47" s="242"/>
      <c r="D47" s="242"/>
      <c r="E47" s="242"/>
      <c r="F47" s="242"/>
      <c r="G47" s="242"/>
      <c r="H47" s="242"/>
      <c r="I47" s="243"/>
      <c r="J47" s="23"/>
      <c r="L47" s="19"/>
      <c r="M47" s="20"/>
      <c r="N47" s="21"/>
    </row>
    <row r="48" spans="1:14" ht="15.75" hidden="1" customHeight="1">
      <c r="A48" s="29"/>
      <c r="B48" s="62" t="s">
        <v>114</v>
      </c>
      <c r="C48" s="63" t="s">
        <v>107</v>
      </c>
      <c r="D48" s="62" t="s">
        <v>41</v>
      </c>
      <c r="E48" s="64">
        <v>1603.6</v>
      </c>
      <c r="F48" s="65">
        <f>SUM(E48*2/1000)</f>
        <v>3.2071999999999998</v>
      </c>
      <c r="G48" s="13">
        <v>908.11</v>
      </c>
      <c r="H48" s="66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107</v>
      </c>
      <c r="D49" s="62" t="s">
        <v>41</v>
      </c>
      <c r="E49" s="64">
        <v>65</v>
      </c>
      <c r="F49" s="65">
        <f>SUM(E49*2/1000)</f>
        <v>0.13</v>
      </c>
      <c r="G49" s="13">
        <v>619.46</v>
      </c>
      <c r="H49" s="66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35</v>
      </c>
      <c r="C50" s="63" t="s">
        <v>107</v>
      </c>
      <c r="D50" s="62" t="s">
        <v>41</v>
      </c>
      <c r="E50" s="64">
        <v>1825.8</v>
      </c>
      <c r="F50" s="65">
        <f>SUM(E50*2/1000)</f>
        <v>3.6515999999999997</v>
      </c>
      <c r="G50" s="13">
        <v>619.46</v>
      </c>
      <c r="H50" s="66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2" t="s">
        <v>36</v>
      </c>
      <c r="C51" s="63" t="s">
        <v>107</v>
      </c>
      <c r="D51" s="62" t="s">
        <v>41</v>
      </c>
      <c r="E51" s="64">
        <v>3163.96</v>
      </c>
      <c r="F51" s="65">
        <f>SUM(E51*2/1000)</f>
        <v>6.3279199999999998</v>
      </c>
      <c r="G51" s="13">
        <v>648.64</v>
      </c>
      <c r="H51" s="66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10</v>
      </c>
      <c r="B52" s="107" t="s">
        <v>55</v>
      </c>
      <c r="C52" s="108" t="s">
        <v>107</v>
      </c>
      <c r="D52" s="107" t="s">
        <v>190</v>
      </c>
      <c r="E52" s="185">
        <v>5816.5</v>
      </c>
      <c r="F52" s="109">
        <f>SUM(E52*5/1000)</f>
        <v>29.0825</v>
      </c>
      <c r="G52" s="33">
        <v>1655.27</v>
      </c>
      <c r="H52" s="66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>
        <v>14</v>
      </c>
      <c r="B53" s="62" t="s">
        <v>115</v>
      </c>
      <c r="C53" s="63" t="s">
        <v>107</v>
      </c>
      <c r="D53" s="62" t="s">
        <v>41</v>
      </c>
      <c r="E53" s="64">
        <v>1583</v>
      </c>
      <c r="F53" s="65">
        <f>SUM(E53*2/1000)</f>
        <v>3.1659999999999999</v>
      </c>
      <c r="G53" s="13">
        <v>1297.28</v>
      </c>
      <c r="H53" s="66">
        <f t="shared" si="3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/>
      <c r="B54" s="62" t="s">
        <v>116</v>
      </c>
      <c r="C54" s="63" t="s">
        <v>37</v>
      </c>
      <c r="D54" s="62" t="s">
        <v>41</v>
      </c>
      <c r="E54" s="64">
        <v>25</v>
      </c>
      <c r="F54" s="65">
        <f>SUM(E54*2/100)</f>
        <v>0.5</v>
      </c>
      <c r="G54" s="13">
        <v>2918.89</v>
      </c>
      <c r="H54" s="66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2" t="s">
        <v>38</v>
      </c>
      <c r="C55" s="63" t="s">
        <v>39</v>
      </c>
      <c r="D55" s="62" t="s">
        <v>41</v>
      </c>
      <c r="E55" s="64">
        <v>1</v>
      </c>
      <c r="F55" s="65">
        <v>0.02</v>
      </c>
      <c r="G55" s="13">
        <v>6042.12</v>
      </c>
      <c r="H55" s="66">
        <f t="shared" si="3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2" t="s">
        <v>40</v>
      </c>
      <c r="C56" s="63" t="s">
        <v>30</v>
      </c>
      <c r="D56" s="62" t="s">
        <v>70</v>
      </c>
      <c r="E56" s="64">
        <v>36</v>
      </c>
      <c r="F56" s="65">
        <f>SUM(E56)*3</f>
        <v>108</v>
      </c>
      <c r="G56" s="13">
        <v>70.209999999999994</v>
      </c>
      <c r="H56" s="66">
        <f t="shared" si="3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241" t="s">
        <v>132</v>
      </c>
      <c r="B57" s="242"/>
      <c r="C57" s="242"/>
      <c r="D57" s="242"/>
      <c r="E57" s="242"/>
      <c r="F57" s="242"/>
      <c r="G57" s="242"/>
      <c r="H57" s="242"/>
      <c r="I57" s="243"/>
      <c r="J57" s="23"/>
      <c r="L57" s="19"/>
      <c r="M57" s="20"/>
      <c r="N57" s="21"/>
    </row>
    <row r="58" spans="1:22" ht="15.75" customHeight="1">
      <c r="A58" s="29"/>
      <c r="B58" s="82" t="s">
        <v>42</v>
      </c>
      <c r="C58" s="63"/>
      <c r="D58" s="62"/>
      <c r="E58" s="64"/>
      <c r="F58" s="65"/>
      <c r="G58" s="65"/>
      <c r="H58" s="66"/>
      <c r="I58" s="13"/>
      <c r="J58" s="23"/>
      <c r="L58" s="19"/>
      <c r="M58" s="20"/>
      <c r="N58" s="21"/>
    </row>
    <row r="59" spans="1:22" ht="18" hidden="1" customHeight="1">
      <c r="A59" s="29">
        <v>13</v>
      </c>
      <c r="B59" s="107" t="s">
        <v>153</v>
      </c>
      <c r="C59" s="108" t="s">
        <v>99</v>
      </c>
      <c r="D59" s="107" t="s">
        <v>190</v>
      </c>
      <c r="E59" s="195">
        <v>3.78</v>
      </c>
      <c r="F59" s="33">
        <f>E59*6/100</f>
        <v>0.2268</v>
      </c>
      <c r="G59" s="189">
        <v>2110.4699999999998</v>
      </c>
      <c r="H59" s="66">
        <f>SUM(F59*G59/1000)</f>
        <v>0.47865459599999999</v>
      </c>
      <c r="I59" s="13">
        <f>F59/6*G59</f>
        <v>79.77576599999999</v>
      </c>
      <c r="J59" s="23"/>
      <c r="L59" s="19"/>
      <c r="M59" s="20"/>
      <c r="N59" s="21"/>
    </row>
    <row r="60" spans="1:22" ht="31.5" customHeight="1">
      <c r="A60" s="29">
        <v>11</v>
      </c>
      <c r="B60" s="62" t="s">
        <v>118</v>
      </c>
      <c r="C60" s="63" t="s">
        <v>99</v>
      </c>
      <c r="D60" s="62"/>
      <c r="E60" s="64">
        <v>185.36</v>
      </c>
      <c r="F60" s="65">
        <f>E60*6/100</f>
        <v>11.121600000000001</v>
      </c>
      <c r="G60" s="222">
        <v>2110.4699999999998</v>
      </c>
      <c r="H60" s="66">
        <f>F60*G60/1000</f>
        <v>23.471803152</v>
      </c>
      <c r="I60" s="13">
        <f>G60*0.2873</f>
        <v>606.33803099999989</v>
      </c>
      <c r="J60" s="23"/>
      <c r="L60" s="19"/>
    </row>
    <row r="61" spans="1:22" ht="15.75" hidden="1" customHeight="1">
      <c r="A61" s="29"/>
      <c r="B61" s="73" t="s">
        <v>94</v>
      </c>
      <c r="C61" s="63" t="s">
        <v>95</v>
      </c>
      <c r="D61" s="73" t="s">
        <v>41</v>
      </c>
      <c r="E61" s="74">
        <v>5</v>
      </c>
      <c r="F61" s="75">
        <v>10</v>
      </c>
      <c r="G61" s="72">
        <v>198.25</v>
      </c>
      <c r="H61" s="76">
        <v>0.99099999999999999</v>
      </c>
      <c r="I61" s="13">
        <v>0</v>
      </c>
      <c r="J61" s="23"/>
      <c r="L61" s="19"/>
    </row>
    <row r="62" spans="1:22" ht="15.75" customHeight="1">
      <c r="A62" s="29"/>
      <c r="B62" s="83" t="s">
        <v>43</v>
      </c>
      <c r="C62" s="77"/>
      <c r="D62" s="73"/>
      <c r="E62" s="74"/>
      <c r="F62" s="75"/>
      <c r="G62" s="78"/>
      <c r="H62" s="76"/>
      <c r="I62" s="13"/>
    </row>
    <row r="63" spans="1:22" ht="15.75" hidden="1" customHeight="1">
      <c r="A63" s="29"/>
      <c r="B63" s="73" t="s">
        <v>44</v>
      </c>
      <c r="C63" s="77" t="s">
        <v>52</v>
      </c>
      <c r="D63" s="73" t="s">
        <v>53</v>
      </c>
      <c r="E63" s="74">
        <v>1752</v>
      </c>
      <c r="F63" s="75">
        <f>E63/100</f>
        <v>17.52</v>
      </c>
      <c r="G63" s="65">
        <v>848.37</v>
      </c>
      <c r="H63" s="76">
        <f>G63*F63/1000</f>
        <v>14.8634424</v>
      </c>
      <c r="I63" s="13">
        <v>0</v>
      </c>
    </row>
    <row r="64" spans="1:22" ht="15.75" customHeight="1">
      <c r="A64" s="29">
        <v>12</v>
      </c>
      <c r="B64" s="91" t="s">
        <v>90</v>
      </c>
      <c r="C64" s="92" t="s">
        <v>25</v>
      </c>
      <c r="D64" s="91" t="s">
        <v>190</v>
      </c>
      <c r="E64" s="93">
        <v>200</v>
      </c>
      <c r="F64" s="94">
        <f>E64*12</f>
        <v>2400</v>
      </c>
      <c r="G64" s="95">
        <v>1.4</v>
      </c>
      <c r="H64" s="76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3" t="s">
        <v>45</v>
      </c>
      <c r="C65" s="77"/>
      <c r="D65" s="73"/>
      <c r="E65" s="74"/>
      <c r="F65" s="75"/>
      <c r="G65" s="84"/>
      <c r="H65" s="76" t="s">
        <v>124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13</v>
      </c>
      <c r="B66" s="209" t="s">
        <v>46</v>
      </c>
      <c r="C66" s="97" t="s">
        <v>117</v>
      </c>
      <c r="D66" s="88" t="s">
        <v>192</v>
      </c>
      <c r="E66" s="17">
        <v>14</v>
      </c>
      <c r="F66" s="110">
        <f>SUM(E66)</f>
        <v>14</v>
      </c>
      <c r="G66" s="33">
        <v>303.35000000000002</v>
      </c>
      <c r="H66" s="61">
        <f t="shared" ref="H66:H83" si="4">SUM(F66*G66/1000)</f>
        <v>4.2469000000000001</v>
      </c>
      <c r="I66" s="13">
        <f>G66*2</f>
        <v>606.70000000000005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117</v>
      </c>
      <c r="D67" s="14" t="s">
        <v>65</v>
      </c>
      <c r="E67" s="18">
        <v>5</v>
      </c>
      <c r="F67" s="65">
        <v>5</v>
      </c>
      <c r="G67" s="13">
        <v>81.510000000000005</v>
      </c>
      <c r="H67" s="61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29"/>
      <c r="S67" s="229"/>
      <c r="T67" s="229"/>
      <c r="U67" s="229"/>
    </row>
    <row r="68" spans="1:21" ht="15.75" hidden="1" customHeight="1">
      <c r="A68" s="29"/>
      <c r="B68" s="14" t="s">
        <v>48</v>
      </c>
      <c r="C68" s="16" t="s">
        <v>119</v>
      </c>
      <c r="D68" s="14" t="s">
        <v>53</v>
      </c>
      <c r="E68" s="64">
        <v>23808</v>
      </c>
      <c r="F68" s="13">
        <f>SUM(E68/100)</f>
        <v>238.08</v>
      </c>
      <c r="G68" s="13">
        <v>226.79</v>
      </c>
      <c r="H68" s="61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120</v>
      </c>
      <c r="D69" s="14"/>
      <c r="E69" s="64">
        <v>23808</v>
      </c>
      <c r="F69" s="13">
        <f>SUM(E69/1000)</f>
        <v>23.808</v>
      </c>
      <c r="G69" s="13">
        <v>176.61</v>
      </c>
      <c r="H69" s="61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4">
        <v>3810</v>
      </c>
      <c r="F70" s="13">
        <f>SUM(E70/100)</f>
        <v>38.1</v>
      </c>
      <c r="G70" s="13">
        <v>2217.7800000000002</v>
      </c>
      <c r="H70" s="61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79" t="s">
        <v>121</v>
      </c>
      <c r="C71" s="16" t="s">
        <v>33</v>
      </c>
      <c r="D71" s="14"/>
      <c r="E71" s="64">
        <v>23.4</v>
      </c>
      <c r="F71" s="13">
        <f>SUM(E71)</f>
        <v>23.4</v>
      </c>
      <c r="G71" s="13">
        <v>42.67</v>
      </c>
      <c r="H71" s="61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79" t="s">
        <v>130</v>
      </c>
      <c r="C72" s="16" t="s">
        <v>33</v>
      </c>
      <c r="D72" s="14"/>
      <c r="E72" s="64">
        <v>23.4</v>
      </c>
      <c r="F72" s="13">
        <f>SUM(E72)</f>
        <v>23.4</v>
      </c>
      <c r="G72" s="13">
        <v>39.81</v>
      </c>
      <c r="H72" s="61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65">
        <f>SUM(E73)</f>
        <v>5</v>
      </c>
      <c r="G73" s="13">
        <v>53.32</v>
      </c>
      <c r="H73" s="61">
        <f t="shared" si="4"/>
        <v>0.2666</v>
      </c>
      <c r="I73" s="13">
        <f t="shared" si="5"/>
        <v>266.60000000000002</v>
      </c>
    </row>
    <row r="74" spans="1:21" ht="15.75" customHeight="1">
      <c r="A74" s="29">
        <v>14</v>
      </c>
      <c r="B74" s="79" t="s">
        <v>155</v>
      </c>
      <c r="C74" s="97"/>
      <c r="D74" s="88" t="s">
        <v>191</v>
      </c>
      <c r="E74" s="17">
        <v>1</v>
      </c>
      <c r="F74" s="33">
        <v>12</v>
      </c>
      <c r="G74" s="33">
        <v>1194</v>
      </c>
      <c r="H74" s="61">
        <v>8.5310000000000006</v>
      </c>
      <c r="I74" s="13">
        <f>F74/12*G74</f>
        <v>1194</v>
      </c>
    </row>
    <row r="75" spans="1:21" ht="15.75" customHeight="1">
      <c r="A75" s="29"/>
      <c r="B75" s="208" t="s">
        <v>156</v>
      </c>
      <c r="C75" s="97"/>
      <c r="D75" s="88"/>
      <c r="E75" s="17"/>
      <c r="F75" s="198"/>
      <c r="G75" s="33"/>
      <c r="H75" s="13"/>
      <c r="I75" s="13"/>
    </row>
    <row r="76" spans="1:21" ht="31.5" customHeight="1">
      <c r="A76" s="29">
        <v>15</v>
      </c>
      <c r="B76" s="199" t="s">
        <v>157</v>
      </c>
      <c r="C76" s="200" t="s">
        <v>158</v>
      </c>
      <c r="D76" s="199"/>
      <c r="E76" s="201">
        <v>5816.5</v>
      </c>
      <c r="F76" s="94">
        <f>SUM(E76)*12</f>
        <v>69798</v>
      </c>
      <c r="G76" s="202">
        <v>2.37</v>
      </c>
      <c r="H76" s="96"/>
      <c r="I76" s="96">
        <f>G76*F76/12</f>
        <v>13785.105000000001</v>
      </c>
    </row>
    <row r="77" spans="1:21" ht="17.25" customHeight="1">
      <c r="A77" s="29"/>
      <c r="B77" s="206" t="s">
        <v>72</v>
      </c>
      <c r="C77" s="16"/>
      <c r="D77" s="14"/>
      <c r="E77" s="18"/>
      <c r="F77" s="13"/>
      <c r="G77" s="13"/>
      <c r="H77" s="61" t="s">
        <v>124</v>
      </c>
      <c r="I77" s="13"/>
    </row>
    <row r="78" spans="1:21" ht="17.25" hidden="1" customHeight="1">
      <c r="A78" s="29">
        <v>18</v>
      </c>
      <c r="B78" s="88" t="s">
        <v>73</v>
      </c>
      <c r="C78" s="97" t="s">
        <v>162</v>
      </c>
      <c r="D78" s="88" t="s">
        <v>86</v>
      </c>
      <c r="E78" s="17">
        <v>6</v>
      </c>
      <c r="F78" s="33">
        <f>E78/10</f>
        <v>0.6</v>
      </c>
      <c r="G78" s="33">
        <v>684.19</v>
      </c>
      <c r="H78" s="61">
        <v>0.107</v>
      </c>
      <c r="I78" s="13">
        <f>G78*0.1</f>
        <v>68.419000000000011</v>
      </c>
    </row>
    <row r="79" spans="1:21" ht="19.5" hidden="1" customHeight="1">
      <c r="A79" s="29"/>
      <c r="B79" s="14" t="s">
        <v>85</v>
      </c>
      <c r="C79" s="16" t="s">
        <v>30</v>
      </c>
      <c r="D79" s="14"/>
      <c r="E79" s="18">
        <v>1</v>
      </c>
      <c r="F79" s="65">
        <f>SUM(E79)</f>
        <v>1</v>
      </c>
      <c r="G79" s="13">
        <v>383.25</v>
      </c>
      <c r="H79" s="61">
        <f t="shared" si="4"/>
        <v>0.38324999999999998</v>
      </c>
      <c r="I79" s="13">
        <v>0</v>
      </c>
    </row>
    <row r="80" spans="1:21" ht="21.75" hidden="1" customHeight="1">
      <c r="A80" s="29"/>
      <c r="B80" s="14" t="s">
        <v>74</v>
      </c>
      <c r="C80" s="16" t="s">
        <v>30</v>
      </c>
      <c r="D80" s="14"/>
      <c r="E80" s="18">
        <v>1</v>
      </c>
      <c r="F80" s="13">
        <v>1</v>
      </c>
      <c r="G80" s="13">
        <v>911.85</v>
      </c>
      <c r="H80" s="61">
        <f>F80*G80/1000</f>
        <v>0.91185000000000005</v>
      </c>
      <c r="I80" s="13">
        <v>0</v>
      </c>
    </row>
    <row r="81" spans="1:21" ht="32.25" customHeight="1">
      <c r="A81" s="29">
        <v>16</v>
      </c>
      <c r="B81" s="48" t="s">
        <v>159</v>
      </c>
      <c r="C81" s="86" t="s">
        <v>117</v>
      </c>
      <c r="D81" s="88" t="s">
        <v>190</v>
      </c>
      <c r="E81" s="201">
        <v>1</v>
      </c>
      <c r="F81" s="94">
        <f>E81*12</f>
        <v>12</v>
      </c>
      <c r="G81" s="202">
        <v>55.55</v>
      </c>
      <c r="H81" s="61"/>
      <c r="I81" s="13">
        <f>G81*1</f>
        <v>55.55</v>
      </c>
    </row>
    <row r="82" spans="1:21" ht="21.75" customHeight="1">
      <c r="A82" s="29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3"/>
    </row>
    <row r="83" spans="1:21" ht="17.25" customHeight="1">
      <c r="A83" s="29">
        <v>17</v>
      </c>
      <c r="B83" s="42" t="s">
        <v>125</v>
      </c>
      <c r="C83" s="16" t="s">
        <v>76</v>
      </c>
      <c r="D83" s="14"/>
      <c r="E83" s="18"/>
      <c r="F83" s="13">
        <v>0.6</v>
      </c>
      <c r="G83" s="221">
        <v>4144.28</v>
      </c>
      <c r="H83" s="61">
        <f t="shared" si="4"/>
        <v>2.4865679999999997</v>
      </c>
      <c r="I83" s="13">
        <f>G83*0.06</f>
        <v>248.65679999999998</v>
      </c>
      <c r="J83" s="5"/>
      <c r="K83" s="5"/>
      <c r="L83" s="5"/>
      <c r="M83" s="5"/>
      <c r="N83" s="5"/>
      <c r="O83" s="5"/>
      <c r="P83" s="5"/>
      <c r="Q83" s="5"/>
      <c r="R83" s="51"/>
      <c r="S83" s="51"/>
      <c r="T83" s="51"/>
      <c r="U83" s="51"/>
    </row>
    <row r="84" spans="1:21" ht="22.5" hidden="1" customHeight="1">
      <c r="A84" s="205"/>
      <c r="B84" s="206" t="s">
        <v>122</v>
      </c>
      <c r="C84" s="206"/>
      <c r="D84" s="206"/>
      <c r="E84" s="206"/>
      <c r="F84" s="206"/>
      <c r="G84" s="206"/>
      <c r="H84" s="206"/>
      <c r="I84" s="18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21.75" hidden="1" customHeight="1">
      <c r="A85" s="29"/>
      <c r="B85" s="62" t="s">
        <v>123</v>
      </c>
      <c r="C85" s="16"/>
      <c r="D85" s="14"/>
      <c r="E85" s="56"/>
      <c r="F85" s="13">
        <v>1</v>
      </c>
      <c r="G85" s="13">
        <v>21062.799999999999</v>
      </c>
      <c r="H85" s="61">
        <f>G85*F85/1000</f>
        <v>21.062799999999999</v>
      </c>
      <c r="I85" s="13">
        <v>0</v>
      </c>
      <c r="J85" s="5"/>
      <c r="K85" s="5"/>
      <c r="L85" s="5"/>
      <c r="M85" s="5"/>
      <c r="N85" s="5"/>
      <c r="O85" s="5"/>
      <c r="P85" s="5"/>
      <c r="Q85" s="5"/>
      <c r="R85" s="51"/>
      <c r="S85" s="51"/>
      <c r="T85" s="51"/>
      <c r="U85" s="51"/>
    </row>
    <row r="86" spans="1:21" ht="15.75" customHeight="1">
      <c r="A86" s="230" t="s">
        <v>133</v>
      </c>
      <c r="B86" s="231"/>
      <c r="C86" s="231"/>
      <c r="D86" s="231"/>
      <c r="E86" s="231"/>
      <c r="F86" s="231"/>
      <c r="G86" s="231"/>
      <c r="H86" s="231"/>
      <c r="I86" s="232"/>
    </row>
    <row r="87" spans="1:21" ht="15.75" customHeight="1">
      <c r="A87" s="29">
        <v>18</v>
      </c>
      <c r="B87" s="107" t="s">
        <v>126</v>
      </c>
      <c r="C87" s="97" t="s">
        <v>54</v>
      </c>
      <c r="D87" s="203"/>
      <c r="E87" s="33">
        <v>5816.5</v>
      </c>
      <c r="F87" s="33">
        <f>SUM(E87*12)</f>
        <v>69798</v>
      </c>
      <c r="G87" s="33">
        <v>3.22</v>
      </c>
      <c r="H87" s="61">
        <f>SUM(F87*G87/1000)</f>
        <v>224.74956000000003</v>
      </c>
      <c r="I87" s="13">
        <f>F87/12*G87</f>
        <v>18729.13</v>
      </c>
      <c r="J87" s="5"/>
      <c r="K87" s="5"/>
      <c r="L87" s="5"/>
      <c r="M87" s="5"/>
      <c r="N87" s="5"/>
      <c r="O87" s="5"/>
      <c r="P87" s="5"/>
      <c r="Q87" s="5"/>
      <c r="R87" s="51"/>
      <c r="S87" s="51"/>
      <c r="T87" s="51"/>
      <c r="U87" s="51"/>
    </row>
    <row r="88" spans="1:21" ht="31.5" customHeight="1">
      <c r="A88" s="29">
        <v>19</v>
      </c>
      <c r="B88" s="88" t="s">
        <v>77</v>
      </c>
      <c r="C88" s="97"/>
      <c r="D88" s="87"/>
      <c r="E88" s="185">
        <f>E86</f>
        <v>0</v>
      </c>
      <c r="F88" s="33">
        <v>69798</v>
      </c>
      <c r="G88" s="33">
        <v>3.64</v>
      </c>
      <c r="H88" s="61">
        <f>F88*G88/1000</f>
        <v>254.06471999999999</v>
      </c>
      <c r="I88" s="13">
        <f>F88/12*G88</f>
        <v>21172.06</v>
      </c>
      <c r="J88" s="5"/>
      <c r="K88" s="5"/>
      <c r="L88" s="5"/>
      <c r="M88" s="5"/>
      <c r="N88" s="5"/>
      <c r="O88" s="5"/>
      <c r="P88" s="5"/>
      <c r="Q88" s="5"/>
      <c r="R88" s="51"/>
      <c r="S88" s="51"/>
      <c r="T88" s="51"/>
      <c r="U88" s="51"/>
    </row>
    <row r="89" spans="1:21" ht="15.75" customHeight="1">
      <c r="A89" s="205"/>
      <c r="B89" s="34" t="s">
        <v>79</v>
      </c>
      <c r="C89" s="35"/>
      <c r="D89" s="15"/>
      <c r="E89" s="15"/>
      <c r="F89" s="15"/>
      <c r="G89" s="18"/>
      <c r="H89" s="18"/>
      <c r="I89" s="31">
        <f>I88+I87+I83+I81+I76+I74+I66+I64+I52+I46+I43+I42+I40+I39+I27+I18+I17+I16+I60</f>
        <v>116373.0534295</v>
      </c>
    </row>
    <row r="90" spans="1:21" ht="15.75" customHeight="1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21" ht="28.5" customHeight="1">
      <c r="A91" s="29">
        <v>20</v>
      </c>
      <c r="B91" s="48" t="s">
        <v>148</v>
      </c>
      <c r="C91" s="86" t="s">
        <v>166</v>
      </c>
      <c r="D91" s="87" t="s">
        <v>241</v>
      </c>
      <c r="E91" s="33"/>
      <c r="F91" s="33">
        <v>4</v>
      </c>
      <c r="G91" s="33">
        <v>295.36</v>
      </c>
      <c r="H91" s="61"/>
      <c r="I91" s="96">
        <v>0</v>
      </c>
      <c r="J91" s="5"/>
      <c r="K91" s="5"/>
      <c r="L91" s="5"/>
      <c r="M91" s="5"/>
      <c r="N91" s="5"/>
      <c r="O91" s="5"/>
      <c r="P91" s="5"/>
      <c r="Q91" s="5"/>
      <c r="R91" s="51"/>
      <c r="S91" s="51"/>
      <c r="T91" s="51"/>
      <c r="U91" s="51"/>
    </row>
    <row r="92" spans="1:21" ht="30" customHeight="1">
      <c r="A92" s="29">
        <v>21</v>
      </c>
      <c r="B92" s="48" t="s">
        <v>232</v>
      </c>
      <c r="C92" s="86" t="s">
        <v>117</v>
      </c>
      <c r="D92" s="87" t="s">
        <v>247</v>
      </c>
      <c r="E92" s="33"/>
      <c r="F92" s="33">
        <v>2</v>
      </c>
      <c r="G92" s="33">
        <v>1226.45</v>
      </c>
      <c r="H92" s="85"/>
      <c r="I92" s="13">
        <f>G92*2</f>
        <v>2452.9</v>
      </c>
      <c r="J92" s="5"/>
      <c r="K92" s="5"/>
      <c r="L92" s="5"/>
      <c r="M92" s="5"/>
      <c r="N92" s="5"/>
      <c r="O92" s="5"/>
      <c r="P92" s="5"/>
      <c r="Q92" s="5"/>
      <c r="R92" s="89"/>
      <c r="S92" s="89"/>
      <c r="T92" s="89"/>
      <c r="U92" s="89"/>
    </row>
    <row r="93" spans="1:21" ht="15.75" customHeight="1">
      <c r="A93" s="29">
        <v>22</v>
      </c>
      <c r="B93" s="48" t="s">
        <v>233</v>
      </c>
      <c r="C93" s="86" t="s">
        <v>117</v>
      </c>
      <c r="D93" s="87"/>
      <c r="E93" s="33"/>
      <c r="F93" s="33">
        <v>1</v>
      </c>
      <c r="G93" s="33">
        <v>74</v>
      </c>
      <c r="H93" s="85"/>
      <c r="I93" s="13">
        <f>G93*1</f>
        <v>74</v>
      </c>
      <c r="J93" s="5"/>
      <c r="K93" s="5"/>
      <c r="L93" s="5"/>
      <c r="M93" s="5"/>
      <c r="N93" s="5"/>
      <c r="O93" s="5"/>
      <c r="P93" s="5"/>
      <c r="Q93" s="5"/>
      <c r="R93" s="89"/>
      <c r="S93" s="89"/>
      <c r="T93" s="89"/>
      <c r="U93" s="89"/>
    </row>
    <row r="94" spans="1:21" ht="15.75" customHeight="1">
      <c r="A94" s="29">
        <v>23</v>
      </c>
      <c r="B94" s="48" t="s">
        <v>201</v>
      </c>
      <c r="C94" s="86" t="s">
        <v>117</v>
      </c>
      <c r="D94" s="87"/>
      <c r="E94" s="33"/>
      <c r="F94" s="33">
        <v>1</v>
      </c>
      <c r="G94" s="33">
        <v>98</v>
      </c>
      <c r="H94" s="85"/>
      <c r="I94" s="13">
        <f>G94*1</f>
        <v>98</v>
      </c>
      <c r="J94" s="5"/>
      <c r="K94" s="5"/>
      <c r="L94" s="5"/>
      <c r="M94" s="5"/>
      <c r="N94" s="5"/>
      <c r="O94" s="5"/>
      <c r="P94" s="5"/>
      <c r="Q94" s="5"/>
      <c r="R94" s="89"/>
      <c r="S94" s="89"/>
      <c r="T94" s="89"/>
      <c r="U94" s="89"/>
    </row>
    <row r="95" spans="1:21" ht="15.75" customHeight="1">
      <c r="A95" s="29">
        <v>24</v>
      </c>
      <c r="B95" s="48" t="s">
        <v>234</v>
      </c>
      <c r="C95" s="86" t="s">
        <v>117</v>
      </c>
      <c r="D95" s="87"/>
      <c r="E95" s="33"/>
      <c r="F95" s="33">
        <v>1</v>
      </c>
      <c r="G95" s="33">
        <v>235</v>
      </c>
      <c r="H95" s="85"/>
      <c r="I95" s="13">
        <f>G95*1</f>
        <v>235</v>
      </c>
      <c r="J95" s="5"/>
      <c r="K95" s="5"/>
      <c r="L95" s="5"/>
      <c r="M95" s="5"/>
      <c r="N95" s="5"/>
      <c r="O95" s="5"/>
      <c r="P95" s="5"/>
      <c r="Q95" s="5"/>
      <c r="R95" s="214"/>
      <c r="S95" s="214"/>
      <c r="T95" s="214"/>
      <c r="U95" s="214"/>
    </row>
    <row r="96" spans="1:21" ht="36" customHeight="1">
      <c r="A96" s="29">
        <v>25</v>
      </c>
      <c r="B96" s="48" t="s">
        <v>139</v>
      </c>
      <c r="C96" s="86" t="s">
        <v>98</v>
      </c>
      <c r="D96" s="87" t="s">
        <v>246</v>
      </c>
      <c r="E96" s="33"/>
      <c r="F96" s="33">
        <v>1</v>
      </c>
      <c r="G96" s="33">
        <v>64.040000000000006</v>
      </c>
      <c r="H96" s="85"/>
      <c r="I96" s="13">
        <f>G96*1</f>
        <v>64.040000000000006</v>
      </c>
      <c r="J96" s="5"/>
      <c r="K96" s="5"/>
      <c r="L96" s="5"/>
      <c r="M96" s="5"/>
      <c r="N96" s="5"/>
      <c r="O96" s="5"/>
      <c r="P96" s="5"/>
      <c r="Q96" s="5"/>
      <c r="R96" s="214"/>
      <c r="S96" s="214"/>
      <c r="T96" s="214"/>
      <c r="U96" s="214"/>
    </row>
    <row r="97" spans="1:21" ht="15.75" customHeight="1">
      <c r="A97" s="29">
        <v>26</v>
      </c>
      <c r="B97" s="223" t="s">
        <v>235</v>
      </c>
      <c r="C97" s="29" t="s">
        <v>207</v>
      </c>
      <c r="D97" s="87"/>
      <c r="E97" s="33"/>
      <c r="F97" s="33">
        <v>1.5</v>
      </c>
      <c r="G97" s="33">
        <v>3537.07</v>
      </c>
      <c r="H97" s="85"/>
      <c r="I97" s="13">
        <f>G97*1.5</f>
        <v>5305.6050000000005</v>
      </c>
      <c r="J97" s="5"/>
      <c r="K97" s="5"/>
      <c r="L97" s="5"/>
      <c r="M97" s="5"/>
      <c r="N97" s="5"/>
      <c r="O97" s="5"/>
      <c r="P97" s="5"/>
      <c r="Q97" s="5"/>
      <c r="R97" s="214"/>
      <c r="S97" s="214"/>
      <c r="T97" s="214"/>
      <c r="U97" s="214"/>
    </row>
    <row r="98" spans="1:21" ht="15.75" customHeight="1">
      <c r="A98" s="29">
        <v>27</v>
      </c>
      <c r="B98" s="48" t="s">
        <v>236</v>
      </c>
      <c r="C98" s="224" t="s">
        <v>237</v>
      </c>
      <c r="D98" s="87" t="s">
        <v>245</v>
      </c>
      <c r="E98" s="33"/>
      <c r="F98" s="33">
        <v>0.1</v>
      </c>
      <c r="G98" s="33">
        <v>5251.09</v>
      </c>
      <c r="H98" s="85"/>
      <c r="I98" s="13">
        <f>G98*0.1</f>
        <v>525.10900000000004</v>
      </c>
      <c r="J98" s="5"/>
      <c r="K98" s="5"/>
      <c r="L98" s="5"/>
      <c r="M98" s="5"/>
      <c r="N98" s="5"/>
      <c r="O98" s="5"/>
      <c r="P98" s="5"/>
      <c r="Q98" s="5"/>
      <c r="R98" s="214"/>
      <c r="S98" s="214"/>
      <c r="T98" s="214"/>
      <c r="U98" s="214"/>
    </row>
    <row r="99" spans="1:21" ht="19.5" customHeight="1">
      <c r="A99" s="29">
        <v>28</v>
      </c>
      <c r="B99" s="48" t="s">
        <v>80</v>
      </c>
      <c r="C99" s="86" t="s">
        <v>117</v>
      </c>
      <c r="D99" s="87"/>
      <c r="E99" s="33"/>
      <c r="F99" s="33">
        <v>1</v>
      </c>
      <c r="G99" s="33">
        <v>224.48</v>
      </c>
      <c r="H99" s="85"/>
      <c r="I99" s="13">
        <f>G99*1</f>
        <v>224.48</v>
      </c>
      <c r="J99" s="5"/>
      <c r="K99" s="5"/>
      <c r="L99" s="5"/>
      <c r="M99" s="5"/>
      <c r="N99" s="5"/>
      <c r="O99" s="5"/>
      <c r="P99" s="5"/>
      <c r="Q99" s="5"/>
      <c r="R99" s="214"/>
      <c r="S99" s="214"/>
      <c r="T99" s="214"/>
      <c r="U99" s="214"/>
    </row>
    <row r="100" spans="1:21" ht="15.75" customHeight="1">
      <c r="A100" s="29">
        <v>29</v>
      </c>
      <c r="B100" s="48" t="s">
        <v>238</v>
      </c>
      <c r="C100" s="86" t="s">
        <v>117</v>
      </c>
      <c r="D100" s="87" t="s">
        <v>244</v>
      </c>
      <c r="E100" s="33"/>
      <c r="F100" s="33">
        <v>1</v>
      </c>
      <c r="G100" s="33">
        <v>228.9</v>
      </c>
      <c r="H100" s="85"/>
      <c r="I100" s="13">
        <f>G100*1</f>
        <v>228.9</v>
      </c>
      <c r="J100" s="5"/>
      <c r="K100" s="5"/>
      <c r="L100" s="5"/>
      <c r="M100" s="5"/>
      <c r="N100" s="5"/>
      <c r="O100" s="5"/>
      <c r="P100" s="5"/>
      <c r="Q100" s="5"/>
      <c r="R100" s="215"/>
      <c r="S100" s="215"/>
      <c r="T100" s="215"/>
      <c r="U100" s="215"/>
    </row>
    <row r="101" spans="1:21" ht="15" customHeight="1">
      <c r="A101" s="29">
        <v>30</v>
      </c>
      <c r="B101" s="48" t="s">
        <v>165</v>
      </c>
      <c r="C101" s="86" t="s">
        <v>117</v>
      </c>
      <c r="D101" s="87" t="s">
        <v>243</v>
      </c>
      <c r="E101" s="33"/>
      <c r="F101" s="33">
        <v>3</v>
      </c>
      <c r="G101" s="33">
        <v>101.85</v>
      </c>
      <c r="H101" s="85"/>
      <c r="I101" s="13">
        <v>0</v>
      </c>
      <c r="J101" s="5"/>
      <c r="K101" s="5"/>
      <c r="L101" s="5"/>
      <c r="M101" s="5"/>
      <c r="N101" s="5"/>
      <c r="O101" s="5"/>
      <c r="P101" s="5"/>
      <c r="Q101" s="5"/>
      <c r="R101" s="215"/>
      <c r="S101" s="215"/>
      <c r="T101" s="215"/>
      <c r="U101" s="215"/>
    </row>
    <row r="102" spans="1:21" ht="15" customHeight="1">
      <c r="A102" s="29">
        <v>31</v>
      </c>
      <c r="B102" s="48" t="s">
        <v>239</v>
      </c>
      <c r="C102" s="86" t="s">
        <v>117</v>
      </c>
      <c r="D102" s="87" t="s">
        <v>242</v>
      </c>
      <c r="E102" s="33"/>
      <c r="F102" s="33">
        <v>1</v>
      </c>
      <c r="G102" s="33">
        <v>218.81</v>
      </c>
      <c r="H102" s="85"/>
      <c r="I102" s="13">
        <v>0</v>
      </c>
      <c r="J102" s="5"/>
      <c r="K102" s="5"/>
      <c r="L102" s="5"/>
      <c r="M102" s="5"/>
      <c r="N102" s="5"/>
      <c r="O102" s="5"/>
      <c r="P102" s="5"/>
      <c r="Q102" s="5"/>
      <c r="R102" s="216"/>
      <c r="S102" s="216"/>
      <c r="T102" s="216"/>
      <c r="U102" s="216"/>
    </row>
    <row r="103" spans="1:21" ht="15" customHeight="1">
      <c r="A103" s="29">
        <v>32</v>
      </c>
      <c r="B103" s="48" t="s">
        <v>195</v>
      </c>
      <c r="C103" s="86" t="s">
        <v>39</v>
      </c>
      <c r="D103" s="87" t="s">
        <v>190</v>
      </c>
      <c r="E103" s="33"/>
      <c r="F103" s="33">
        <v>0.01</v>
      </c>
      <c r="G103" s="33">
        <v>28224.75</v>
      </c>
      <c r="H103" s="85"/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220"/>
      <c r="S103" s="220"/>
      <c r="T103" s="220"/>
      <c r="U103" s="220"/>
    </row>
    <row r="104" spans="1:21" ht="15" customHeight="1">
      <c r="A104" s="29">
        <v>33</v>
      </c>
      <c r="B104" s="48" t="s">
        <v>240</v>
      </c>
      <c r="C104" s="86" t="s">
        <v>52</v>
      </c>
      <c r="D104" s="87"/>
      <c r="E104" s="33"/>
      <c r="F104" s="33">
        <v>0.05</v>
      </c>
      <c r="G104" s="33">
        <v>2399.1</v>
      </c>
      <c r="H104" s="85"/>
      <c r="I104" s="13">
        <f>G104*0.05</f>
        <v>119.955</v>
      </c>
      <c r="J104" s="5"/>
      <c r="K104" s="5"/>
      <c r="L104" s="5"/>
      <c r="M104" s="5"/>
      <c r="N104" s="5"/>
      <c r="O104" s="5"/>
      <c r="P104" s="5"/>
      <c r="Q104" s="5"/>
      <c r="R104" s="220"/>
      <c r="S104" s="220"/>
      <c r="T104" s="220"/>
      <c r="U104" s="220"/>
    </row>
    <row r="105" spans="1:21" ht="15.75" customHeight="1">
      <c r="A105" s="29"/>
      <c r="B105" s="40" t="s">
        <v>51</v>
      </c>
      <c r="C105" s="36"/>
      <c r="D105" s="44"/>
      <c r="E105" s="36">
        <v>1</v>
      </c>
      <c r="F105" s="36"/>
      <c r="G105" s="36"/>
      <c r="H105" s="36"/>
      <c r="I105" s="31">
        <f>SUM(I91:I104)</f>
        <v>9327.9889999999996</v>
      </c>
    </row>
    <row r="106" spans="1:21" ht="15.75" customHeight="1">
      <c r="A106" s="29"/>
      <c r="B106" s="42" t="s">
        <v>78</v>
      </c>
      <c r="C106" s="15"/>
      <c r="D106" s="15"/>
      <c r="E106" s="37"/>
      <c r="F106" s="37"/>
      <c r="G106" s="38"/>
      <c r="H106" s="38"/>
      <c r="I106" s="17">
        <v>0</v>
      </c>
    </row>
    <row r="107" spans="1:21" ht="15.75" customHeight="1">
      <c r="A107" s="45"/>
      <c r="B107" s="41" t="s">
        <v>147</v>
      </c>
      <c r="C107" s="32"/>
      <c r="D107" s="32"/>
      <c r="E107" s="32"/>
      <c r="F107" s="32"/>
      <c r="G107" s="32"/>
      <c r="H107" s="32"/>
      <c r="I107" s="39">
        <f>I89+I105</f>
        <v>125701.0424295</v>
      </c>
    </row>
    <row r="108" spans="1:21" ht="15.75" customHeight="1">
      <c r="A108" s="247" t="s">
        <v>248</v>
      </c>
      <c r="B108" s="247"/>
      <c r="C108" s="247"/>
      <c r="D108" s="247"/>
      <c r="E108" s="247"/>
      <c r="F108" s="247"/>
      <c r="G108" s="247"/>
      <c r="H108" s="247"/>
      <c r="I108" s="247"/>
    </row>
    <row r="109" spans="1:21" ht="15.75" customHeight="1">
      <c r="A109" s="54"/>
      <c r="B109" s="248" t="s">
        <v>249</v>
      </c>
      <c r="C109" s="248"/>
      <c r="D109" s="248"/>
      <c r="E109" s="248"/>
      <c r="F109" s="248"/>
      <c r="G109" s="248"/>
      <c r="H109" s="59"/>
      <c r="I109" s="3"/>
    </row>
    <row r="110" spans="1:21" ht="15.75" customHeight="1">
      <c r="A110" s="51"/>
      <c r="B110" s="249" t="s">
        <v>6</v>
      </c>
      <c r="C110" s="249"/>
      <c r="D110" s="249"/>
      <c r="E110" s="249"/>
      <c r="F110" s="249"/>
      <c r="G110" s="249"/>
      <c r="H110" s="24"/>
      <c r="I110" s="5"/>
    </row>
    <row r="111" spans="1:21" ht="15.75" customHeight="1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21" ht="15.75" customHeight="1">
      <c r="A112" s="250" t="s">
        <v>7</v>
      </c>
      <c r="B112" s="250"/>
      <c r="C112" s="250"/>
      <c r="D112" s="250"/>
      <c r="E112" s="250"/>
      <c r="F112" s="250"/>
      <c r="G112" s="250"/>
      <c r="H112" s="250"/>
      <c r="I112" s="250"/>
    </row>
    <row r="113" spans="1:9" ht="15.75" customHeight="1">
      <c r="A113" s="250" t="s">
        <v>8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15.75" customHeight="1">
      <c r="A114" s="239" t="s">
        <v>60</v>
      </c>
      <c r="B114" s="239"/>
      <c r="C114" s="239"/>
      <c r="D114" s="239"/>
      <c r="E114" s="239"/>
      <c r="F114" s="239"/>
      <c r="G114" s="239"/>
      <c r="H114" s="239"/>
      <c r="I114" s="239"/>
    </row>
    <row r="115" spans="1:9" ht="15.75" customHeight="1">
      <c r="A115" s="11"/>
    </row>
    <row r="116" spans="1:9" ht="15.75" customHeight="1">
      <c r="A116" s="252" t="s">
        <v>9</v>
      </c>
      <c r="B116" s="252"/>
      <c r="C116" s="252"/>
      <c r="D116" s="252"/>
      <c r="E116" s="252"/>
      <c r="F116" s="252"/>
      <c r="G116" s="252"/>
      <c r="H116" s="252"/>
      <c r="I116" s="252"/>
    </row>
    <row r="117" spans="1:9" ht="15.75" customHeight="1">
      <c r="A117" s="4"/>
    </row>
    <row r="118" spans="1:9" ht="15.75" customHeight="1">
      <c r="B118" s="53" t="s">
        <v>10</v>
      </c>
      <c r="C118" s="253" t="s">
        <v>209</v>
      </c>
      <c r="D118" s="253"/>
      <c r="E118" s="253"/>
      <c r="F118" s="57"/>
      <c r="I118" s="50"/>
    </row>
    <row r="119" spans="1:9" ht="15.75" customHeight="1">
      <c r="A119" s="51"/>
      <c r="C119" s="249" t="s">
        <v>11</v>
      </c>
      <c r="D119" s="249"/>
      <c r="E119" s="249"/>
      <c r="F119" s="24"/>
      <c r="I119" s="49" t="s">
        <v>12</v>
      </c>
    </row>
    <row r="120" spans="1:9" ht="15.75" customHeight="1">
      <c r="A120" s="25"/>
      <c r="C120" s="12"/>
      <c r="D120" s="12"/>
      <c r="G120" s="12"/>
      <c r="H120" s="12"/>
    </row>
    <row r="121" spans="1:9" ht="15.75" customHeight="1">
      <c r="B121" s="53" t="s">
        <v>13</v>
      </c>
      <c r="C121" s="254"/>
      <c r="D121" s="254"/>
      <c r="E121" s="254"/>
      <c r="F121" s="58"/>
      <c r="I121" s="50"/>
    </row>
    <row r="122" spans="1:9" ht="15.75" customHeight="1">
      <c r="A122" s="51"/>
      <c r="C122" s="229" t="s">
        <v>11</v>
      </c>
      <c r="D122" s="229"/>
      <c r="E122" s="229"/>
      <c r="F122" s="51"/>
      <c r="I122" s="49" t="s">
        <v>12</v>
      </c>
    </row>
    <row r="123" spans="1:9" ht="15.75" customHeight="1">
      <c r="A123" s="4" t="s">
        <v>14</v>
      </c>
    </row>
    <row r="124" spans="1:9" ht="15.75" customHeight="1">
      <c r="A124" s="255" t="s">
        <v>15</v>
      </c>
      <c r="B124" s="255"/>
      <c r="C124" s="255"/>
      <c r="D124" s="255"/>
      <c r="E124" s="255"/>
      <c r="F124" s="255"/>
      <c r="G124" s="255"/>
      <c r="H124" s="255"/>
      <c r="I124" s="255"/>
    </row>
    <row r="125" spans="1:9" ht="45" customHeight="1">
      <c r="A125" s="251" t="s">
        <v>16</v>
      </c>
      <c r="B125" s="251"/>
      <c r="C125" s="251"/>
      <c r="D125" s="251"/>
      <c r="E125" s="251"/>
      <c r="F125" s="251"/>
      <c r="G125" s="251"/>
      <c r="H125" s="251"/>
      <c r="I125" s="251"/>
    </row>
    <row r="126" spans="1:9" ht="30" customHeight="1">
      <c r="A126" s="251" t="s">
        <v>17</v>
      </c>
      <c r="B126" s="251"/>
      <c r="C126" s="251"/>
      <c r="D126" s="251"/>
      <c r="E126" s="251"/>
      <c r="F126" s="251"/>
      <c r="G126" s="251"/>
      <c r="H126" s="251"/>
      <c r="I126" s="251"/>
    </row>
    <row r="127" spans="1:9" ht="30" customHeight="1">
      <c r="A127" s="251" t="s">
        <v>21</v>
      </c>
      <c r="B127" s="251"/>
      <c r="C127" s="251"/>
      <c r="D127" s="251"/>
      <c r="E127" s="251"/>
      <c r="F127" s="251"/>
      <c r="G127" s="251"/>
      <c r="H127" s="251"/>
      <c r="I127" s="251"/>
    </row>
    <row r="128" spans="1:9" ht="15" customHeight="1">
      <c r="A128" s="251" t="s">
        <v>20</v>
      </c>
      <c r="B128" s="251"/>
      <c r="C128" s="251"/>
      <c r="D128" s="251"/>
      <c r="E128" s="251"/>
      <c r="F128" s="251"/>
      <c r="G128" s="251"/>
      <c r="H128" s="251"/>
      <c r="I128" s="251"/>
    </row>
  </sheetData>
  <autoFilter ref="I12:I62"/>
  <mergeCells count="29"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  <mergeCell ref="A114:I114"/>
    <mergeCell ref="A15:I15"/>
    <mergeCell ref="A28:I28"/>
    <mergeCell ref="A47:I47"/>
    <mergeCell ref="A57:I57"/>
    <mergeCell ref="A90:I90"/>
    <mergeCell ref="A108:I108"/>
    <mergeCell ref="B109:G109"/>
    <mergeCell ref="B110:G110"/>
    <mergeCell ref="A112:I112"/>
    <mergeCell ref="A113:I113"/>
    <mergeCell ref="R67:U67"/>
    <mergeCell ref="A86:I8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31"/>
  <sheetViews>
    <sheetView view="pageBreakPreview" topLeftCell="A90" zoomScale="60" zoomScaleNormal="100" workbookViewId="0">
      <selection activeCell="B113" sqref="B113:G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33" t="s">
        <v>143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13" ht="15.75" customHeight="1">
      <c r="A5" s="233" t="s">
        <v>250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 customHeight="1">
      <c r="A6" s="2"/>
      <c r="B6" s="52"/>
      <c r="C6" s="52"/>
      <c r="D6" s="52"/>
      <c r="E6" s="52"/>
      <c r="F6" s="52"/>
      <c r="G6" s="52"/>
      <c r="H6" s="52"/>
      <c r="I6" s="30">
        <v>44286</v>
      </c>
      <c r="J6" s="2"/>
      <c r="K6" s="2"/>
      <c r="L6" s="2"/>
      <c r="M6" s="2"/>
    </row>
    <row r="7" spans="1:13" ht="15.75" customHeight="1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  <c r="J26" s="22"/>
      <c r="K26" s="8"/>
      <c r="L26" s="8"/>
      <c r="M26" s="8"/>
    </row>
    <row r="27" spans="1:13" ht="15.75" customHeight="1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  <c r="J27" s="22"/>
      <c r="K27" s="8"/>
      <c r="L27" s="8"/>
      <c r="M27" s="8"/>
    </row>
    <row r="28" spans="1:13" ht="15.75" hidden="1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  <c r="J28" s="23"/>
    </row>
    <row r="29" spans="1:13" ht="15.75" hidden="1" customHeight="1">
      <c r="A29" s="29">
        <v>7</v>
      </c>
      <c r="B29" s="62" t="s">
        <v>106</v>
      </c>
      <c r="C29" s="63" t="s">
        <v>107</v>
      </c>
      <c r="D29" s="62" t="s">
        <v>108</v>
      </c>
      <c r="E29" s="65">
        <v>357.22</v>
      </c>
      <c r="F29" s="65">
        <f>SUM(E29*52/1000)</f>
        <v>18.575440000000004</v>
      </c>
      <c r="G29" s="65">
        <v>212.62</v>
      </c>
      <c r="H29" s="66">
        <f t="shared" ref="H29:H35" si="1">SUM(F29*G29/1000)</f>
        <v>3.9495100528000009</v>
      </c>
      <c r="I29" s="13">
        <f>F29/6*G29</f>
        <v>658.25167546666682</v>
      </c>
      <c r="J29" s="23"/>
    </row>
    <row r="30" spans="1:13" ht="31.5" hidden="1" customHeight="1">
      <c r="A30" s="29"/>
      <c r="B30" s="62" t="s">
        <v>140</v>
      </c>
      <c r="C30" s="63" t="s">
        <v>107</v>
      </c>
      <c r="D30" s="62" t="s">
        <v>109</v>
      </c>
      <c r="E30" s="65">
        <v>475.06</v>
      </c>
      <c r="F30" s="65">
        <f>SUM(E30*78/1000)</f>
        <v>37.054679999999998</v>
      </c>
      <c r="G30" s="65">
        <v>352.77</v>
      </c>
      <c r="H30" s="66">
        <f t="shared" si="1"/>
        <v>13.071779463599999</v>
      </c>
      <c r="I30" s="13">
        <f>F30/6*G30</f>
        <v>2178.6299105999997</v>
      </c>
      <c r="J30" s="22"/>
      <c r="K30" s="8"/>
      <c r="L30" s="8"/>
      <c r="M30" s="8"/>
    </row>
    <row r="31" spans="1:13" ht="15.75" hidden="1" customHeight="1">
      <c r="A31" s="29">
        <v>7</v>
      </c>
      <c r="B31" s="62" t="s">
        <v>27</v>
      </c>
      <c r="C31" s="63" t="s">
        <v>107</v>
      </c>
      <c r="D31" s="62" t="s">
        <v>53</v>
      </c>
      <c r="E31" s="65">
        <v>357.22</v>
      </c>
      <c r="F31" s="65">
        <f>SUM(E31/1000)</f>
        <v>0.35722000000000004</v>
      </c>
      <c r="G31" s="65">
        <v>4119.68</v>
      </c>
      <c r="H31" s="66">
        <f t="shared" si="1"/>
        <v>1.4716320896000001</v>
      </c>
      <c r="I31" s="13">
        <f>F31*G31</f>
        <v>1471.6320896000002</v>
      </c>
      <c r="J31" s="22"/>
      <c r="K31" s="8"/>
      <c r="L31" s="8"/>
      <c r="M31" s="8"/>
    </row>
    <row r="32" spans="1:13" ht="15.75" hidden="1" customHeight="1">
      <c r="A32" s="29">
        <v>8</v>
      </c>
      <c r="B32" s="62" t="s">
        <v>135</v>
      </c>
      <c r="C32" s="63" t="s">
        <v>39</v>
      </c>
      <c r="D32" s="62" t="s">
        <v>149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  <c r="J32" s="22"/>
      <c r="K32" s="8"/>
      <c r="L32" s="8"/>
      <c r="M32" s="8"/>
    </row>
    <row r="33" spans="1:14" ht="15.75" hidden="1" customHeight="1">
      <c r="A33" s="29">
        <v>16</v>
      </c>
      <c r="B33" s="62" t="s">
        <v>110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77.33</v>
      </c>
      <c r="H33" s="66">
        <f>SUM(G33*155/3/1000)</f>
        <v>3.9953833333333333</v>
      </c>
      <c r="I33" s="13">
        <f>F33/6*G33</f>
        <v>665.89722222222213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63</v>
      </c>
      <c r="C34" s="63" t="s">
        <v>33</v>
      </c>
      <c r="D34" s="62" t="s">
        <v>65</v>
      </c>
      <c r="E34" s="64"/>
      <c r="F34" s="65">
        <v>2</v>
      </c>
      <c r="G34" s="65">
        <v>260.95</v>
      </c>
      <c r="H34" s="66">
        <f t="shared" si="1"/>
        <v>0.52190000000000003</v>
      </c>
      <c r="I34" s="13">
        <v>0</v>
      </c>
      <c r="J34" s="22"/>
      <c r="K34" s="8"/>
    </row>
    <row r="35" spans="1:14" ht="15.75" hidden="1" customHeight="1">
      <c r="A35" s="29"/>
      <c r="B35" s="62" t="s">
        <v>64</v>
      </c>
      <c r="C35" s="63" t="s">
        <v>32</v>
      </c>
      <c r="D35" s="62" t="s">
        <v>65</v>
      </c>
      <c r="E35" s="64"/>
      <c r="F35" s="65">
        <v>1</v>
      </c>
      <c r="G35" s="65">
        <v>1549.92</v>
      </c>
      <c r="H35" s="66">
        <f t="shared" si="1"/>
        <v>1.54992</v>
      </c>
      <c r="I35" s="13">
        <v>0</v>
      </c>
      <c r="J35" s="23"/>
    </row>
    <row r="36" spans="1:14" ht="15.75" customHeight="1">
      <c r="A36" s="29"/>
      <c r="B36" s="82" t="s">
        <v>5</v>
      </c>
      <c r="C36" s="63"/>
      <c r="D36" s="62"/>
      <c r="E36" s="64"/>
      <c r="F36" s="65"/>
      <c r="G36" s="65"/>
      <c r="H36" s="66" t="s">
        <v>124</v>
      </c>
      <c r="I36" s="13"/>
      <c r="J36" s="23"/>
    </row>
    <row r="37" spans="1:14" ht="15.75" customHeight="1">
      <c r="A37" s="29">
        <v>4</v>
      </c>
      <c r="B37" s="187" t="s">
        <v>26</v>
      </c>
      <c r="C37" s="108" t="s">
        <v>32</v>
      </c>
      <c r="D37" s="107" t="s">
        <v>251</v>
      </c>
      <c r="E37" s="185"/>
      <c r="F37" s="109">
        <v>5</v>
      </c>
      <c r="G37" s="109">
        <v>2083</v>
      </c>
      <c r="H37" s="66">
        <f t="shared" ref="H37:H44" si="2">SUM(F37*G37/1000)</f>
        <v>10.414999999999999</v>
      </c>
      <c r="I37" s="13">
        <f>G37*4</f>
        <v>8332</v>
      </c>
      <c r="J37" s="23"/>
      <c r="L37" s="19"/>
      <c r="M37" s="20"/>
      <c r="N37" s="21"/>
    </row>
    <row r="38" spans="1:14" ht="15.75" customHeight="1">
      <c r="A38" s="29">
        <v>5</v>
      </c>
      <c r="B38" s="187" t="s">
        <v>66</v>
      </c>
      <c r="C38" s="188" t="s">
        <v>29</v>
      </c>
      <c r="D38" s="187" t="s">
        <v>185</v>
      </c>
      <c r="E38" s="189">
        <v>469.73</v>
      </c>
      <c r="F38" s="189">
        <f>SUM(E38*30/1000)</f>
        <v>14.091900000000001</v>
      </c>
      <c r="G38" s="189">
        <v>2868.09</v>
      </c>
      <c r="H38" s="66">
        <f t="shared" si="2"/>
        <v>40.416837471000008</v>
      </c>
      <c r="I38" s="13">
        <f t="shared" ref="I38:I44" si="3">F38/6*G38</f>
        <v>6736.1395785000004</v>
      </c>
      <c r="J38" s="23"/>
      <c r="L38" s="19"/>
      <c r="M38" s="20"/>
      <c r="N38" s="21"/>
    </row>
    <row r="39" spans="1:14" ht="15.75" customHeight="1">
      <c r="A39" s="29">
        <v>6</v>
      </c>
      <c r="B39" s="107" t="s">
        <v>67</v>
      </c>
      <c r="C39" s="108" t="s">
        <v>29</v>
      </c>
      <c r="D39" s="107" t="s">
        <v>186</v>
      </c>
      <c r="E39" s="109">
        <v>475.06</v>
      </c>
      <c r="F39" s="189">
        <f>SUM(E39*155/1000)</f>
        <v>73.634299999999996</v>
      </c>
      <c r="G39" s="109">
        <v>478.42</v>
      </c>
      <c r="H39" s="66">
        <f t="shared" si="2"/>
        <v>35.228121806000004</v>
      </c>
      <c r="I39" s="13">
        <f t="shared" si="3"/>
        <v>5871.3536343333326</v>
      </c>
      <c r="J39" s="23"/>
      <c r="L39" s="19"/>
      <c r="M39" s="20"/>
      <c r="N39" s="21"/>
    </row>
    <row r="40" spans="1:14" ht="15.75" hidden="1" customHeight="1">
      <c r="A40" s="29">
        <v>9</v>
      </c>
      <c r="B40" s="107" t="s">
        <v>89</v>
      </c>
      <c r="C40" s="108" t="s">
        <v>128</v>
      </c>
      <c r="D40" s="107" t="s">
        <v>186</v>
      </c>
      <c r="E40" s="185"/>
      <c r="F40" s="189">
        <v>39</v>
      </c>
      <c r="G40" s="109">
        <v>314</v>
      </c>
      <c r="H40" s="66">
        <f>SUM(F40*G40/1000)</f>
        <v>12.246</v>
      </c>
      <c r="I40" s="13">
        <v>0</v>
      </c>
      <c r="J40" s="23"/>
      <c r="L40" s="19"/>
      <c r="M40" s="20"/>
      <c r="N40" s="21"/>
    </row>
    <row r="41" spans="1:14" ht="47.25" customHeight="1">
      <c r="A41" s="29">
        <v>7</v>
      </c>
      <c r="B41" s="107" t="s">
        <v>81</v>
      </c>
      <c r="C41" s="108" t="s">
        <v>107</v>
      </c>
      <c r="D41" s="107" t="s">
        <v>187</v>
      </c>
      <c r="E41" s="109">
        <v>40.6</v>
      </c>
      <c r="F41" s="189">
        <f>SUM(E41*35/1000)</f>
        <v>1.421</v>
      </c>
      <c r="G41" s="109">
        <v>7915.6</v>
      </c>
      <c r="H41" s="66">
        <f t="shared" si="2"/>
        <v>11.248067600000001</v>
      </c>
      <c r="I41" s="13">
        <f t="shared" si="3"/>
        <v>1874.6779333333334</v>
      </c>
      <c r="J41" s="23"/>
      <c r="L41" s="19"/>
      <c r="M41" s="20"/>
      <c r="N41" s="21"/>
    </row>
    <row r="42" spans="1:14" ht="15.75" hidden="1" customHeight="1">
      <c r="A42" s="29">
        <v>9</v>
      </c>
      <c r="B42" s="107" t="s">
        <v>113</v>
      </c>
      <c r="C42" s="108" t="s">
        <v>107</v>
      </c>
      <c r="D42" s="107" t="s">
        <v>196</v>
      </c>
      <c r="E42" s="109">
        <v>167.03</v>
      </c>
      <c r="F42" s="189">
        <f>SUM(E42*45/1000)</f>
        <v>7.5163500000000001</v>
      </c>
      <c r="G42" s="109">
        <v>584.74</v>
      </c>
      <c r="H42" s="66">
        <f t="shared" si="2"/>
        <v>4.3951104990000003</v>
      </c>
      <c r="I42" s="13">
        <f>G42*F42/45*2</f>
        <v>195.33824440000001</v>
      </c>
      <c r="J42" s="23"/>
      <c r="L42" s="19"/>
      <c r="M42" s="20"/>
      <c r="N42" s="21"/>
    </row>
    <row r="43" spans="1:14" ht="15.75" hidden="1" customHeight="1">
      <c r="A43" s="29">
        <v>10</v>
      </c>
      <c r="B43" s="187" t="s">
        <v>69</v>
      </c>
      <c r="C43" s="188" t="s">
        <v>33</v>
      </c>
      <c r="D43" s="190"/>
      <c r="E43" s="186"/>
      <c r="F43" s="189">
        <v>1.2</v>
      </c>
      <c r="G43" s="189">
        <v>800</v>
      </c>
      <c r="H43" s="66">
        <f t="shared" si="2"/>
        <v>0.96</v>
      </c>
      <c r="I43" s="13">
        <f>G43*F43/45*2</f>
        <v>42.666666666666664</v>
      </c>
      <c r="J43" s="23"/>
      <c r="L43" s="19"/>
      <c r="M43" s="20"/>
      <c r="N43" s="21"/>
    </row>
    <row r="44" spans="1:14" ht="31.5" customHeight="1">
      <c r="A44" s="29">
        <v>8</v>
      </c>
      <c r="B44" s="46" t="s">
        <v>151</v>
      </c>
      <c r="C44" s="60" t="s">
        <v>29</v>
      </c>
      <c r="D44" s="187" t="s">
        <v>189</v>
      </c>
      <c r="E44" s="64">
        <v>4.2</v>
      </c>
      <c r="F44" s="65">
        <f>SUM(E44*12/1000)</f>
        <v>5.0400000000000007E-2</v>
      </c>
      <c r="G44" s="65">
        <v>270.61</v>
      </c>
      <c r="H44" s="66">
        <f t="shared" si="2"/>
        <v>1.3638744000000003E-2</v>
      </c>
      <c r="I44" s="13">
        <f t="shared" si="3"/>
        <v>2.2731240000000006</v>
      </c>
      <c r="J44" s="23"/>
      <c r="L44" s="19"/>
      <c r="M44" s="20"/>
      <c r="N44" s="21"/>
    </row>
    <row r="45" spans="1:14" ht="15.75" customHeight="1">
      <c r="A45" s="256" t="s">
        <v>164</v>
      </c>
      <c r="B45" s="257"/>
      <c r="C45" s="257"/>
      <c r="D45" s="257"/>
      <c r="E45" s="257"/>
      <c r="F45" s="257"/>
      <c r="G45" s="257"/>
      <c r="H45" s="257"/>
      <c r="I45" s="258"/>
      <c r="J45" s="23"/>
      <c r="L45" s="19"/>
      <c r="M45" s="20"/>
      <c r="N45" s="21"/>
    </row>
    <row r="46" spans="1:14" ht="15.75" hidden="1" customHeight="1">
      <c r="A46" s="29"/>
      <c r="B46" s="62" t="s">
        <v>114</v>
      </c>
      <c r="C46" s="63" t="s">
        <v>107</v>
      </c>
      <c r="D46" s="62" t="s">
        <v>41</v>
      </c>
      <c r="E46" s="64">
        <v>1603.6</v>
      </c>
      <c r="F46" s="65">
        <f>SUM(E46*2/1000)</f>
        <v>3.2071999999999998</v>
      </c>
      <c r="G46" s="13">
        <v>1158.7</v>
      </c>
      <c r="H46" s="66">
        <f t="shared" ref="H46:H54" si="4">SUM(F46*G46/1000)</f>
        <v>3.71618264</v>
      </c>
      <c r="I46" s="13">
        <f>F46/2*G46</f>
        <v>1858.09132</v>
      </c>
      <c r="J46" s="23"/>
      <c r="L46" s="19"/>
      <c r="M46" s="20"/>
      <c r="N46" s="21"/>
    </row>
    <row r="47" spans="1:14" ht="15.75" hidden="1" customHeight="1">
      <c r="A47" s="29">
        <v>14</v>
      </c>
      <c r="B47" s="62" t="s">
        <v>34</v>
      </c>
      <c r="C47" s="63" t="s">
        <v>107</v>
      </c>
      <c r="D47" s="62" t="s">
        <v>41</v>
      </c>
      <c r="E47" s="64">
        <v>65</v>
      </c>
      <c r="F47" s="65">
        <f>SUM(E47*2/1000)</f>
        <v>0.13</v>
      </c>
      <c r="G47" s="13">
        <v>790.38</v>
      </c>
      <c r="H47" s="66">
        <f t="shared" si="4"/>
        <v>0.1027494</v>
      </c>
      <c r="I47" s="13">
        <f>F47/2*G47</f>
        <v>51.374700000000004</v>
      </c>
      <c r="J47" s="23"/>
      <c r="L47" s="19"/>
      <c r="M47" s="20"/>
      <c r="N47" s="21"/>
    </row>
    <row r="48" spans="1:14" ht="15.75" hidden="1" customHeight="1">
      <c r="A48" s="29"/>
      <c r="B48" s="62" t="s">
        <v>35</v>
      </c>
      <c r="C48" s="63" t="s">
        <v>107</v>
      </c>
      <c r="D48" s="62" t="s">
        <v>41</v>
      </c>
      <c r="E48" s="64">
        <v>1825.8</v>
      </c>
      <c r="F48" s="65">
        <f>SUM(E48*2/1000)</f>
        <v>3.6515999999999997</v>
      </c>
      <c r="G48" s="13">
        <v>790.38</v>
      </c>
      <c r="H48" s="66">
        <f t="shared" si="4"/>
        <v>2.8861516079999996</v>
      </c>
      <c r="I48" s="13">
        <f t="shared" ref="I48:I53" si="5">F48/2*G48</f>
        <v>1443.0758039999998</v>
      </c>
      <c r="J48" s="23"/>
      <c r="L48" s="19"/>
      <c r="M48" s="20"/>
      <c r="N48" s="21"/>
    </row>
    <row r="49" spans="1:22" ht="15.75" hidden="1" customHeight="1">
      <c r="A49" s="29"/>
      <c r="B49" s="62" t="s">
        <v>36</v>
      </c>
      <c r="C49" s="63" t="s">
        <v>107</v>
      </c>
      <c r="D49" s="62" t="s">
        <v>41</v>
      </c>
      <c r="E49" s="64">
        <v>3163.96</v>
      </c>
      <c r="F49" s="65">
        <f>SUM(E49*2/1000)</f>
        <v>6.3279199999999998</v>
      </c>
      <c r="G49" s="13">
        <v>827.65</v>
      </c>
      <c r="H49" s="66">
        <f t="shared" si="4"/>
        <v>5.2373029879999997</v>
      </c>
      <c r="I49" s="13">
        <f t="shared" si="5"/>
        <v>2618.6514939999997</v>
      </c>
      <c r="J49" s="23"/>
      <c r="L49" s="19"/>
      <c r="M49" s="20"/>
      <c r="N49" s="21"/>
    </row>
    <row r="50" spans="1:22" ht="15.75" hidden="1" customHeight="1">
      <c r="A50" s="29"/>
      <c r="B50" s="62" t="s">
        <v>55</v>
      </c>
      <c r="C50" s="63" t="s">
        <v>107</v>
      </c>
      <c r="D50" s="62" t="s">
        <v>141</v>
      </c>
      <c r="E50" s="64">
        <v>5816.5</v>
      </c>
      <c r="F50" s="65">
        <f>SUM(E50*5/1000)</f>
        <v>29.0825</v>
      </c>
      <c r="G50" s="13">
        <v>1655.27</v>
      </c>
      <c r="H50" s="66">
        <f t="shared" si="4"/>
        <v>48.139389774999998</v>
      </c>
      <c r="I50" s="13">
        <f>F50/5*G50</f>
        <v>9627.8779549999999</v>
      </c>
      <c r="J50" s="23"/>
      <c r="L50" s="19"/>
      <c r="M50" s="20"/>
      <c r="N50" s="21"/>
    </row>
    <row r="51" spans="1:22" ht="31.5" hidden="1" customHeight="1">
      <c r="A51" s="29">
        <v>15</v>
      </c>
      <c r="B51" s="62" t="s">
        <v>115</v>
      </c>
      <c r="C51" s="63" t="s">
        <v>107</v>
      </c>
      <c r="D51" s="62" t="s">
        <v>41</v>
      </c>
      <c r="E51" s="64">
        <v>5816.5</v>
      </c>
      <c r="F51" s="65">
        <f>SUM(E51*2/1000)</f>
        <v>11.632999999999999</v>
      </c>
      <c r="G51" s="13">
        <v>1655.27</v>
      </c>
      <c r="H51" s="66">
        <f t="shared" si="4"/>
        <v>19.255755910000001</v>
      </c>
      <c r="I51" s="13">
        <f t="shared" si="5"/>
        <v>9627.8779549999999</v>
      </c>
      <c r="J51" s="23"/>
      <c r="L51" s="19"/>
      <c r="M51" s="20"/>
      <c r="N51" s="21"/>
    </row>
    <row r="52" spans="1:22" ht="31.5" hidden="1" customHeight="1">
      <c r="A52" s="29"/>
      <c r="B52" s="62" t="s">
        <v>116</v>
      </c>
      <c r="C52" s="63" t="s">
        <v>37</v>
      </c>
      <c r="D52" s="62" t="s">
        <v>41</v>
      </c>
      <c r="E52" s="64">
        <v>25</v>
      </c>
      <c r="F52" s="65">
        <f>SUM(E52*2/100)</f>
        <v>0.5</v>
      </c>
      <c r="G52" s="13">
        <v>3724.37</v>
      </c>
      <c r="H52" s="66">
        <f t="shared" si="4"/>
        <v>1.862185</v>
      </c>
      <c r="I52" s="13">
        <f t="shared" si="5"/>
        <v>931.09249999999997</v>
      </c>
      <c r="J52" s="23"/>
      <c r="L52" s="19"/>
      <c r="M52" s="20"/>
      <c r="N52" s="21"/>
    </row>
    <row r="53" spans="1:22" ht="15.75" hidden="1" customHeight="1">
      <c r="A53" s="29">
        <v>14</v>
      </c>
      <c r="B53" s="62" t="s">
        <v>38</v>
      </c>
      <c r="C53" s="63" t="s">
        <v>39</v>
      </c>
      <c r="D53" s="62" t="s">
        <v>41</v>
      </c>
      <c r="E53" s="64">
        <v>1</v>
      </c>
      <c r="F53" s="65">
        <v>0.02</v>
      </c>
      <c r="G53" s="13">
        <v>7709.44</v>
      </c>
      <c r="H53" s="66">
        <f t="shared" si="4"/>
        <v>0.15418879999999999</v>
      </c>
      <c r="I53" s="13">
        <f t="shared" si="5"/>
        <v>77.094399999999993</v>
      </c>
      <c r="J53" s="23"/>
      <c r="L53" s="19"/>
      <c r="M53" s="20"/>
      <c r="N53" s="21"/>
    </row>
    <row r="54" spans="1:22" ht="15.75" customHeight="1">
      <c r="A54" s="29">
        <v>9</v>
      </c>
      <c r="B54" s="62" t="s">
        <v>40</v>
      </c>
      <c r="C54" s="63" t="s">
        <v>30</v>
      </c>
      <c r="D54" s="212">
        <v>44273</v>
      </c>
      <c r="E54" s="64">
        <v>198</v>
      </c>
      <c r="F54" s="65">
        <f>SUM(E54)*3</f>
        <v>594</v>
      </c>
      <c r="G54" s="13">
        <v>89.59</v>
      </c>
      <c r="H54" s="66">
        <f t="shared" si="4"/>
        <v>53.216459999999998</v>
      </c>
      <c r="I54" s="13">
        <f>F54/3*G54</f>
        <v>17738.82</v>
      </c>
      <c r="J54" s="23"/>
      <c r="L54" s="19"/>
    </row>
    <row r="55" spans="1:22" ht="15.75" customHeight="1">
      <c r="A55" s="241" t="s">
        <v>132</v>
      </c>
      <c r="B55" s="242"/>
      <c r="C55" s="242"/>
      <c r="D55" s="242"/>
      <c r="E55" s="242"/>
      <c r="F55" s="242"/>
      <c r="G55" s="242"/>
      <c r="H55" s="242"/>
      <c r="I55" s="243"/>
      <c r="J55" s="23"/>
      <c r="L55" s="19"/>
    </row>
    <row r="56" spans="1:22" ht="15.75" customHeight="1">
      <c r="A56" s="29"/>
      <c r="B56" s="82" t="s">
        <v>42</v>
      </c>
      <c r="C56" s="63"/>
      <c r="D56" s="62"/>
      <c r="E56" s="64"/>
      <c r="F56" s="65"/>
      <c r="G56" s="65"/>
      <c r="H56" s="66"/>
      <c r="I56" s="13"/>
    </row>
    <row r="57" spans="1:22" ht="31.5" customHeight="1">
      <c r="A57" s="29">
        <v>10</v>
      </c>
      <c r="B57" s="62" t="s">
        <v>118</v>
      </c>
      <c r="C57" s="63" t="s">
        <v>99</v>
      </c>
      <c r="D57" s="62"/>
      <c r="E57" s="64">
        <v>118.3</v>
      </c>
      <c r="F57" s="65">
        <f>E57*6/100</f>
        <v>7.0979999999999999</v>
      </c>
      <c r="G57" s="72">
        <v>2110.4699999999998</v>
      </c>
      <c r="H57" s="66">
        <f>F57*G57/1000</f>
        <v>14.980116059999999</v>
      </c>
      <c r="I57" s="13">
        <f>G57*0.28</f>
        <v>590.9316</v>
      </c>
    </row>
    <row r="58" spans="1:22" ht="15.75" hidden="1" customHeight="1">
      <c r="A58" s="29">
        <v>12</v>
      </c>
      <c r="B58" s="107" t="s">
        <v>153</v>
      </c>
      <c r="C58" s="108" t="s">
        <v>99</v>
      </c>
      <c r="D58" s="107" t="s">
        <v>190</v>
      </c>
      <c r="E58" s="195">
        <v>3.78</v>
      </c>
      <c r="F58" s="33">
        <f>E58*6/100</f>
        <v>0.2268</v>
      </c>
      <c r="G58" s="189">
        <v>2110.4699999999998</v>
      </c>
      <c r="H58" s="66">
        <f>SUM(F58*G58/1000)</f>
        <v>0.47865459599999999</v>
      </c>
      <c r="I58" s="13">
        <f>F58/6*G58</f>
        <v>79.77576599999999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>
        <v>14</v>
      </c>
      <c r="B59" s="73" t="s">
        <v>94</v>
      </c>
      <c r="C59" s="63" t="s">
        <v>95</v>
      </c>
      <c r="D59" s="73" t="s">
        <v>41</v>
      </c>
      <c r="E59" s="74">
        <v>5</v>
      </c>
      <c r="F59" s="75">
        <v>10</v>
      </c>
      <c r="G59" s="72">
        <v>246.58</v>
      </c>
      <c r="H59" s="76">
        <v>0.99099999999999999</v>
      </c>
      <c r="I59" s="13">
        <f>F59/2*G59</f>
        <v>1232.9000000000001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29">
        <v>11</v>
      </c>
      <c r="B60" s="73" t="s">
        <v>154</v>
      </c>
      <c r="C60" s="77" t="s">
        <v>32</v>
      </c>
      <c r="D60" s="73" t="s">
        <v>203</v>
      </c>
      <c r="E60" s="74"/>
      <c r="F60" s="76">
        <v>5</v>
      </c>
      <c r="G60" s="96">
        <v>1645</v>
      </c>
      <c r="H60" s="76">
        <f>SUM(F60*G60/1000)</f>
        <v>8.2249999999999996</v>
      </c>
      <c r="I60" s="96">
        <f>G60*2</f>
        <v>3290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/>
      <c r="B61" s="83" t="s">
        <v>43</v>
      </c>
      <c r="C61" s="77"/>
      <c r="D61" s="62"/>
      <c r="E61" s="64"/>
      <c r="F61" s="65"/>
      <c r="G61" s="65"/>
      <c r="H61" s="65"/>
      <c r="I61" s="119"/>
      <c r="J61" s="5"/>
      <c r="K61" s="5"/>
      <c r="L61" s="5"/>
      <c r="M61" s="5"/>
      <c r="N61" s="5"/>
      <c r="O61" s="5"/>
      <c r="P61" s="5"/>
      <c r="Q61" s="5"/>
      <c r="R61" s="229"/>
      <c r="S61" s="229"/>
      <c r="T61" s="229"/>
      <c r="U61" s="229"/>
    </row>
    <row r="62" spans="1:22" ht="15.75" customHeight="1">
      <c r="A62" s="29">
        <v>12</v>
      </c>
      <c r="B62" s="73" t="s">
        <v>44</v>
      </c>
      <c r="C62" s="77" t="s">
        <v>52</v>
      </c>
      <c r="D62" s="62" t="s">
        <v>252</v>
      </c>
      <c r="E62" s="64">
        <v>352</v>
      </c>
      <c r="F62" s="65">
        <f>E62/100</f>
        <v>3.52</v>
      </c>
      <c r="G62" s="65">
        <v>1082.47</v>
      </c>
      <c r="H62" s="65">
        <f>G62*F62/1000</f>
        <v>3.8102944000000001</v>
      </c>
      <c r="I62" s="119">
        <f>G62*F62</f>
        <v>3810.2944000000002</v>
      </c>
    </row>
    <row r="63" spans="1:22" ht="15.75" customHeight="1">
      <c r="A63" s="29">
        <v>13</v>
      </c>
      <c r="B63" s="73" t="s">
        <v>90</v>
      </c>
      <c r="C63" s="77" t="s">
        <v>25</v>
      </c>
      <c r="D63" s="62" t="s">
        <v>190</v>
      </c>
      <c r="E63" s="64">
        <v>200</v>
      </c>
      <c r="F63" s="65">
        <f>E63*12</f>
        <v>2400</v>
      </c>
      <c r="G63" s="65">
        <v>1.4</v>
      </c>
      <c r="H63" s="65">
        <f>G63*F63/1000</f>
        <v>3.36</v>
      </c>
      <c r="I63" s="13">
        <f>F63/12*G63</f>
        <v>280</v>
      </c>
    </row>
    <row r="64" spans="1:22" ht="15.75" customHeight="1">
      <c r="A64" s="29"/>
      <c r="B64" s="83" t="s">
        <v>45</v>
      </c>
      <c r="C64" s="77"/>
      <c r="D64" s="116"/>
      <c r="E64" s="67"/>
      <c r="F64" s="111"/>
      <c r="G64" s="111"/>
      <c r="H64" s="117" t="s">
        <v>124</v>
      </c>
      <c r="I64" s="118"/>
    </row>
    <row r="65" spans="1:21" ht="15.75" customHeight="1">
      <c r="A65" s="29">
        <v>14</v>
      </c>
      <c r="B65" s="209" t="s">
        <v>46</v>
      </c>
      <c r="C65" s="97" t="s">
        <v>117</v>
      </c>
      <c r="D65" s="88" t="s">
        <v>192</v>
      </c>
      <c r="E65" s="17">
        <v>14</v>
      </c>
      <c r="F65" s="110">
        <f>SUM(E65)</f>
        <v>14</v>
      </c>
      <c r="G65" s="33">
        <v>303.35000000000002</v>
      </c>
      <c r="H65" s="61">
        <f t="shared" ref="H65:H84" si="6">SUM(F65*G65/1000)</f>
        <v>4.2469000000000001</v>
      </c>
      <c r="I65" s="13">
        <f>G65*2</f>
        <v>606.70000000000005</v>
      </c>
    </row>
    <row r="66" spans="1:21" ht="15.75" hidden="1" customHeight="1">
      <c r="A66" s="29"/>
      <c r="B66" s="14" t="s">
        <v>47</v>
      </c>
      <c r="C66" s="16" t="s">
        <v>117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1">
        <f t="shared" si="6"/>
        <v>0.72806999999999999</v>
      </c>
      <c r="I66" s="13">
        <v>0</v>
      </c>
    </row>
    <row r="67" spans="1:21" ht="15.75" hidden="1" customHeight="1">
      <c r="A67" s="29"/>
      <c r="B67" s="14" t="s">
        <v>48</v>
      </c>
      <c r="C67" s="16" t="s">
        <v>119</v>
      </c>
      <c r="D67" s="14" t="s">
        <v>53</v>
      </c>
      <c r="E67" s="64">
        <v>23808</v>
      </c>
      <c r="F67" s="13">
        <f>SUM(E67/100)</f>
        <v>238.08</v>
      </c>
      <c r="G67" s="13">
        <v>289.37</v>
      </c>
      <c r="H67" s="61">
        <f t="shared" si="6"/>
        <v>68.893209600000006</v>
      </c>
      <c r="I67" s="13">
        <f t="shared" ref="I67:I72" si="7">F67*G67</f>
        <v>68893.209600000002</v>
      </c>
    </row>
    <row r="68" spans="1:21" ht="15.75" hidden="1" customHeight="1">
      <c r="A68" s="29">
        <v>19</v>
      </c>
      <c r="B68" s="14" t="s">
        <v>49</v>
      </c>
      <c r="C68" s="16" t="s">
        <v>120</v>
      </c>
      <c r="D68" s="14"/>
      <c r="E68" s="64">
        <v>23808</v>
      </c>
      <c r="F68" s="13">
        <f>SUM(E68/1000)</f>
        <v>23.808</v>
      </c>
      <c r="G68" s="13">
        <v>225.35</v>
      </c>
      <c r="H68" s="61">
        <f t="shared" si="6"/>
        <v>5.3651327999999996</v>
      </c>
      <c r="I68" s="13">
        <f t="shared" si="7"/>
        <v>5365.1327999999994</v>
      </c>
    </row>
    <row r="69" spans="1:21" ht="15.75" hidden="1" customHeight="1">
      <c r="A69" s="29"/>
      <c r="B69" s="14" t="s">
        <v>50</v>
      </c>
      <c r="C69" s="16" t="s">
        <v>76</v>
      </c>
      <c r="D69" s="14" t="s">
        <v>53</v>
      </c>
      <c r="E69" s="64">
        <v>3810</v>
      </c>
      <c r="F69" s="13">
        <f>SUM(E69/100)</f>
        <v>38.1</v>
      </c>
      <c r="G69" s="13">
        <v>2829.78</v>
      </c>
      <c r="H69" s="61">
        <f t="shared" si="6"/>
        <v>107.81461800000001</v>
      </c>
      <c r="I69" s="13">
        <f t="shared" si="7"/>
        <v>107814.61800000002</v>
      </c>
    </row>
    <row r="70" spans="1:21" ht="15.75" hidden="1" customHeight="1">
      <c r="A70" s="29">
        <v>20</v>
      </c>
      <c r="B70" s="79" t="s">
        <v>121</v>
      </c>
      <c r="C70" s="16" t="s">
        <v>33</v>
      </c>
      <c r="D70" s="14"/>
      <c r="E70" s="64">
        <v>12.8</v>
      </c>
      <c r="F70" s="13">
        <f>SUM(E70)</f>
        <v>12.8</v>
      </c>
      <c r="G70" s="13">
        <v>44.31</v>
      </c>
      <c r="H70" s="61">
        <f t="shared" si="6"/>
        <v>0.56716800000000001</v>
      </c>
      <c r="I70" s="13">
        <f t="shared" si="7"/>
        <v>567.16800000000001</v>
      </c>
    </row>
    <row r="71" spans="1:21" ht="15.75" hidden="1" customHeight="1">
      <c r="A71" s="29"/>
      <c r="B71" s="79" t="s">
        <v>130</v>
      </c>
      <c r="C71" s="16" t="s">
        <v>33</v>
      </c>
      <c r="D71" s="14"/>
      <c r="E71" s="64">
        <v>12.8</v>
      </c>
      <c r="F71" s="13">
        <f>SUM(E71)</f>
        <v>12.8</v>
      </c>
      <c r="G71" s="13">
        <v>47.79</v>
      </c>
      <c r="H71" s="61">
        <f t="shared" si="6"/>
        <v>0.61171200000000003</v>
      </c>
      <c r="I71" s="13">
        <f t="shared" si="7"/>
        <v>611.71199999999999</v>
      </c>
    </row>
    <row r="72" spans="1:21" ht="15.75" hidden="1" customHeight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5">
        <f>SUM(E72)</f>
        <v>6</v>
      </c>
      <c r="G72" s="13">
        <v>68.040000000000006</v>
      </c>
      <c r="H72" s="61">
        <f t="shared" si="6"/>
        <v>0.40823999999999999</v>
      </c>
      <c r="I72" s="13">
        <f t="shared" si="7"/>
        <v>408.24</v>
      </c>
    </row>
    <row r="73" spans="1:21" ht="15.75" customHeight="1">
      <c r="A73" s="29">
        <v>15</v>
      </c>
      <c r="B73" s="79" t="s">
        <v>155</v>
      </c>
      <c r="C73" s="16"/>
      <c r="D73" s="14" t="s">
        <v>191</v>
      </c>
      <c r="E73" s="18">
        <v>1</v>
      </c>
      <c r="F73" s="13">
        <v>12</v>
      </c>
      <c r="G73" s="13">
        <v>1194</v>
      </c>
      <c r="H73" s="61">
        <f t="shared" si="6"/>
        <v>14.327999999999999</v>
      </c>
      <c r="I73" s="13">
        <f>F73/12*G73</f>
        <v>1194</v>
      </c>
    </row>
    <row r="74" spans="1:21" ht="15.75" customHeight="1">
      <c r="A74" s="29"/>
      <c r="B74" s="207" t="s">
        <v>156</v>
      </c>
      <c r="C74" s="16"/>
      <c r="D74" s="14"/>
      <c r="E74" s="18"/>
      <c r="F74" s="55"/>
      <c r="G74" s="13"/>
      <c r="H74" s="61"/>
      <c r="I74" s="13"/>
      <c r="J74" s="5"/>
      <c r="K74" s="5"/>
      <c r="L74" s="5"/>
      <c r="M74" s="5"/>
      <c r="N74" s="5"/>
      <c r="O74" s="5"/>
      <c r="P74" s="5"/>
      <c r="Q74" s="5"/>
      <c r="R74" s="51"/>
      <c r="S74" s="51"/>
      <c r="T74" s="51"/>
      <c r="U74" s="51"/>
    </row>
    <row r="75" spans="1:21" ht="15.75" customHeight="1">
      <c r="A75" s="29">
        <v>16</v>
      </c>
      <c r="B75" s="14" t="s">
        <v>157</v>
      </c>
      <c r="C75" s="29" t="s">
        <v>158</v>
      </c>
      <c r="D75" s="14"/>
      <c r="E75" s="18">
        <v>5816.5</v>
      </c>
      <c r="F75" s="65">
        <f>SUM(E75)*12</f>
        <v>69798</v>
      </c>
      <c r="G75" s="13">
        <v>2.37</v>
      </c>
      <c r="H75" s="61">
        <f>SUM(F75*G75/1000)</f>
        <v>165.42126000000002</v>
      </c>
      <c r="I75" s="13">
        <f>F75/12*G75</f>
        <v>13785.105000000001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31.5" customHeight="1">
      <c r="A76" s="29">
        <v>17</v>
      </c>
      <c r="B76" s="46" t="s">
        <v>159</v>
      </c>
      <c r="C76" s="60" t="s">
        <v>117</v>
      </c>
      <c r="D76" s="14" t="s">
        <v>191</v>
      </c>
      <c r="E76" s="113">
        <v>1</v>
      </c>
      <c r="F76" s="75">
        <f>E76*12</f>
        <v>12</v>
      </c>
      <c r="G76" s="96">
        <v>55.55</v>
      </c>
      <c r="H76" s="61">
        <f>SUM(F76*G76/1000)</f>
        <v>0.66659999999999986</v>
      </c>
      <c r="I76" s="13">
        <f>F76/12*G76</f>
        <v>55.55</v>
      </c>
      <c r="J76" s="5"/>
      <c r="K76" s="5"/>
      <c r="L76" s="5"/>
      <c r="M76" s="5"/>
      <c r="N76" s="5"/>
      <c r="O76" s="5"/>
      <c r="P76" s="5"/>
      <c r="Q76" s="5"/>
      <c r="R76" s="51"/>
      <c r="S76" s="51"/>
      <c r="T76" s="51"/>
      <c r="U76" s="51"/>
    </row>
    <row r="77" spans="1:21" ht="16.5" hidden="1" customHeight="1">
      <c r="A77" s="105"/>
      <c r="B77" s="207" t="s">
        <v>72</v>
      </c>
      <c r="C77" s="16"/>
      <c r="D77" s="14"/>
      <c r="E77" s="18"/>
      <c r="F77" s="13"/>
      <c r="G77" s="13"/>
      <c r="H77" s="61" t="s">
        <v>124</v>
      </c>
      <c r="I77" s="106"/>
      <c r="J77" s="5"/>
      <c r="K77" s="5"/>
      <c r="L77" s="5"/>
      <c r="M77" s="5"/>
      <c r="N77" s="5"/>
      <c r="O77" s="5"/>
      <c r="P77" s="5"/>
      <c r="Q77" s="5"/>
      <c r="R77" s="90"/>
      <c r="S77" s="90"/>
      <c r="T77" s="90"/>
      <c r="U77" s="90"/>
    </row>
    <row r="78" spans="1:21" ht="32.25" hidden="1" customHeight="1">
      <c r="A78" s="105">
        <v>18</v>
      </c>
      <c r="B78" s="14" t="s">
        <v>160</v>
      </c>
      <c r="C78" s="16" t="s">
        <v>30</v>
      </c>
      <c r="D78" s="14" t="s">
        <v>86</v>
      </c>
      <c r="E78" s="18">
        <v>2</v>
      </c>
      <c r="F78" s="65">
        <f>E78</f>
        <v>2</v>
      </c>
      <c r="G78" s="13">
        <v>2112.2800000000002</v>
      </c>
      <c r="H78" s="61">
        <f>G78*F78/1000</f>
        <v>4.2245600000000003</v>
      </c>
      <c r="I78" s="106">
        <f>G78*1</f>
        <v>2112.2800000000002</v>
      </c>
      <c r="J78" s="5"/>
      <c r="K78" s="5"/>
      <c r="L78" s="5"/>
      <c r="M78" s="5"/>
      <c r="N78" s="5"/>
      <c r="O78" s="5"/>
      <c r="P78" s="5"/>
      <c r="Q78" s="5"/>
      <c r="R78" s="90"/>
      <c r="S78" s="90"/>
      <c r="T78" s="90"/>
      <c r="U78" s="90"/>
    </row>
    <row r="79" spans="1:21" ht="16.5" hidden="1" customHeight="1">
      <c r="A79" s="105"/>
      <c r="B79" s="46" t="s">
        <v>161</v>
      </c>
      <c r="C79" s="60" t="s">
        <v>117</v>
      </c>
      <c r="D79" s="14" t="s">
        <v>65</v>
      </c>
      <c r="E79" s="18">
        <v>5</v>
      </c>
      <c r="F79" s="13">
        <v>5</v>
      </c>
      <c r="G79" s="13">
        <v>136.19999999999999</v>
      </c>
      <c r="H79" s="61">
        <f>SUM(F79*G79/1000)</f>
        <v>0.68100000000000005</v>
      </c>
      <c r="I79" s="106">
        <v>0</v>
      </c>
      <c r="J79" s="5"/>
      <c r="K79" s="5"/>
      <c r="L79" s="5"/>
      <c r="M79" s="5"/>
      <c r="N79" s="5"/>
      <c r="O79" s="5"/>
      <c r="P79" s="5"/>
      <c r="Q79" s="5"/>
      <c r="R79" s="90"/>
      <c r="S79" s="90"/>
      <c r="T79" s="90"/>
      <c r="U79" s="90"/>
    </row>
    <row r="80" spans="1:21" ht="15.75" hidden="1" customHeight="1">
      <c r="A80" s="105"/>
      <c r="B80" s="14" t="s">
        <v>73</v>
      </c>
      <c r="C80" s="16" t="s">
        <v>162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1">
        <f>SUM(F80*G80/1000)</f>
        <v>0.41051399999999999</v>
      </c>
      <c r="I80" s="106">
        <v>0</v>
      </c>
      <c r="J80" s="5"/>
      <c r="K80" s="5"/>
      <c r="L80" s="5"/>
      <c r="M80" s="5"/>
      <c r="N80" s="5"/>
      <c r="O80" s="5"/>
      <c r="P80" s="5"/>
      <c r="Q80" s="5"/>
      <c r="R80" s="90"/>
      <c r="S80" s="90"/>
      <c r="T80" s="90"/>
      <c r="U80" s="90"/>
    </row>
    <row r="81" spans="1:21" ht="18.75" hidden="1" customHeight="1">
      <c r="A81" s="105"/>
      <c r="B81" s="14" t="s">
        <v>74</v>
      </c>
      <c r="C81" s="16" t="s">
        <v>30</v>
      </c>
      <c r="D81" s="14" t="s">
        <v>65</v>
      </c>
      <c r="E81" s="18">
        <v>1</v>
      </c>
      <c r="F81" s="55">
        <v>1</v>
      </c>
      <c r="G81" s="13">
        <v>1163.47</v>
      </c>
      <c r="H81" s="61">
        <f>SUM(F81*G81/1000)</f>
        <v>1.16347</v>
      </c>
      <c r="I81" s="106">
        <v>0</v>
      </c>
      <c r="J81" s="5"/>
      <c r="K81" s="5"/>
      <c r="L81" s="5"/>
      <c r="M81" s="5"/>
      <c r="N81" s="5"/>
      <c r="O81" s="5"/>
      <c r="P81" s="5"/>
      <c r="Q81" s="5"/>
      <c r="R81" s="90"/>
      <c r="S81" s="90"/>
      <c r="T81" s="90"/>
      <c r="U81" s="90"/>
    </row>
    <row r="82" spans="1:21" ht="18" hidden="1" customHeight="1">
      <c r="A82" s="105"/>
      <c r="B82" s="46" t="s">
        <v>163</v>
      </c>
      <c r="C82" s="60" t="s">
        <v>117</v>
      </c>
      <c r="D82" s="14" t="s">
        <v>65</v>
      </c>
      <c r="E82" s="18">
        <v>1</v>
      </c>
      <c r="F82" s="65">
        <f>E82</f>
        <v>1</v>
      </c>
      <c r="G82" s="13">
        <v>1670.07</v>
      </c>
      <c r="H82" s="61">
        <f>SUM(F82*G82/1000)</f>
        <v>1.6700699999999999</v>
      </c>
      <c r="I82" s="106">
        <v>0</v>
      </c>
      <c r="J82" s="5"/>
      <c r="K82" s="5"/>
      <c r="L82" s="5"/>
      <c r="M82" s="5"/>
      <c r="N82" s="5"/>
      <c r="O82" s="5"/>
      <c r="P82" s="5"/>
      <c r="Q82" s="5"/>
      <c r="R82" s="90"/>
      <c r="S82" s="90"/>
      <c r="T82" s="90"/>
      <c r="U82" s="90"/>
    </row>
    <row r="83" spans="1:21" ht="17.25" hidden="1" customHeight="1">
      <c r="A83" s="105"/>
      <c r="B83" s="80" t="s">
        <v>75</v>
      </c>
      <c r="C83" s="16"/>
      <c r="D83" s="14"/>
      <c r="E83" s="18"/>
      <c r="F83" s="13"/>
      <c r="G83" s="13" t="s">
        <v>124</v>
      </c>
      <c r="H83" s="61" t="s">
        <v>124</v>
      </c>
      <c r="I83" s="106"/>
      <c r="J83" s="5"/>
      <c r="K83" s="5"/>
      <c r="L83" s="5"/>
      <c r="M83" s="5"/>
      <c r="N83" s="5"/>
      <c r="O83" s="5"/>
      <c r="P83" s="5"/>
      <c r="Q83" s="5"/>
      <c r="R83" s="90"/>
      <c r="S83" s="90"/>
      <c r="T83" s="90"/>
      <c r="U83" s="90"/>
    </row>
    <row r="84" spans="1:21" ht="15" hidden="1" customHeight="1">
      <c r="A84" s="105"/>
      <c r="B84" s="42" t="s">
        <v>125</v>
      </c>
      <c r="C84" s="16" t="s">
        <v>76</v>
      </c>
      <c r="D84" s="14"/>
      <c r="E84" s="18"/>
      <c r="F84" s="13">
        <v>0.6</v>
      </c>
      <c r="G84" s="13">
        <v>4144.28</v>
      </c>
      <c r="H84" s="61">
        <f t="shared" si="6"/>
        <v>2.4865679999999997</v>
      </c>
      <c r="I84" s="106">
        <v>0</v>
      </c>
      <c r="J84" s="5"/>
      <c r="K84" s="5"/>
      <c r="L84" s="5"/>
      <c r="M84" s="5"/>
      <c r="N84" s="5"/>
      <c r="O84" s="5"/>
      <c r="P84" s="5"/>
      <c r="Q84" s="5"/>
      <c r="R84" s="90"/>
      <c r="S84" s="90"/>
      <c r="T84" s="90"/>
      <c r="U84" s="90"/>
    </row>
    <row r="85" spans="1:21" ht="17.25" hidden="1" customHeight="1">
      <c r="A85" s="105"/>
      <c r="B85" s="207" t="s">
        <v>122</v>
      </c>
      <c r="C85" s="80"/>
      <c r="D85" s="112"/>
      <c r="E85" s="31"/>
      <c r="F85" s="114"/>
      <c r="G85" s="114"/>
      <c r="H85" s="115">
        <f>SUM(H57:H84)</f>
        <v>411.53215745600005</v>
      </c>
      <c r="I85" s="106"/>
      <c r="J85" s="5"/>
      <c r="K85" s="5"/>
      <c r="L85" s="5"/>
      <c r="M85" s="5"/>
      <c r="N85" s="5"/>
      <c r="O85" s="5"/>
      <c r="P85" s="5"/>
      <c r="Q85" s="5"/>
      <c r="R85" s="90"/>
      <c r="S85" s="90"/>
      <c r="T85" s="90"/>
      <c r="U85" s="90"/>
    </row>
    <row r="86" spans="1:21" ht="22.5" hidden="1" customHeight="1">
      <c r="A86" s="105"/>
      <c r="B86" s="62" t="s">
        <v>123</v>
      </c>
      <c r="C86" s="16"/>
      <c r="D86" s="14"/>
      <c r="E86" s="56"/>
      <c r="F86" s="13">
        <v>1</v>
      </c>
      <c r="G86" s="13">
        <v>24117.599999999999</v>
      </c>
      <c r="H86" s="61">
        <f>G86*F86/1000</f>
        <v>24.117599999999999</v>
      </c>
      <c r="I86" s="106">
        <v>0</v>
      </c>
      <c r="J86" s="5"/>
      <c r="K86" s="5"/>
      <c r="L86" s="5"/>
      <c r="M86" s="5"/>
      <c r="N86" s="5"/>
      <c r="O86" s="5"/>
      <c r="P86" s="5"/>
      <c r="Q86" s="5"/>
      <c r="R86" s="90"/>
      <c r="S86" s="90"/>
      <c r="T86" s="90"/>
      <c r="U86" s="90"/>
    </row>
    <row r="87" spans="1:21" ht="15.75" customHeight="1">
      <c r="A87" s="230" t="s">
        <v>133</v>
      </c>
      <c r="B87" s="231"/>
      <c r="C87" s="231"/>
      <c r="D87" s="231"/>
      <c r="E87" s="231"/>
      <c r="F87" s="231"/>
      <c r="G87" s="231"/>
      <c r="H87" s="231"/>
      <c r="I87" s="232"/>
      <c r="J87" s="5"/>
      <c r="K87" s="5"/>
      <c r="L87" s="5"/>
      <c r="M87" s="5"/>
      <c r="N87" s="5"/>
      <c r="O87" s="5"/>
      <c r="P87" s="5"/>
      <c r="Q87" s="5"/>
      <c r="R87" s="90"/>
      <c r="S87" s="90"/>
      <c r="T87" s="90"/>
      <c r="U87" s="90"/>
    </row>
    <row r="88" spans="1:21" ht="15.75" customHeight="1">
      <c r="A88" s="105">
        <v>18</v>
      </c>
      <c r="B88" s="107" t="s">
        <v>126</v>
      </c>
      <c r="C88" s="97" t="s">
        <v>54</v>
      </c>
      <c r="D88" s="203"/>
      <c r="E88" s="33">
        <v>5816.5</v>
      </c>
      <c r="F88" s="33">
        <f>SUM(E88*12)</f>
        <v>69798</v>
      </c>
      <c r="G88" s="33">
        <v>3.22</v>
      </c>
      <c r="H88" s="61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1"/>
      <c r="S88" s="51"/>
      <c r="T88" s="51"/>
      <c r="U88" s="51"/>
    </row>
    <row r="89" spans="1:21" ht="31.5" customHeight="1">
      <c r="A89" s="29">
        <v>19</v>
      </c>
      <c r="B89" s="88" t="s">
        <v>77</v>
      </c>
      <c r="C89" s="97"/>
      <c r="D89" s="87"/>
      <c r="E89" s="185">
        <f>E87</f>
        <v>0</v>
      </c>
      <c r="F89" s="33">
        <v>69798</v>
      </c>
      <c r="G89" s="33">
        <v>3.64</v>
      </c>
      <c r="H89" s="61">
        <f>F89*G89/1000</f>
        <v>254.06471999999999</v>
      </c>
      <c r="I89" s="13">
        <f>F89/12*G89</f>
        <v>21172.06</v>
      </c>
    </row>
    <row r="90" spans="1:21" ht="15.75" customHeight="1">
      <c r="A90" s="43"/>
      <c r="B90" s="34" t="s">
        <v>79</v>
      </c>
      <c r="C90" s="35"/>
      <c r="D90" s="15"/>
      <c r="E90" s="15"/>
      <c r="F90" s="15"/>
      <c r="G90" s="18"/>
      <c r="H90" s="18"/>
      <c r="I90" s="31">
        <f>I89+I88+I76+I75+I73+I65+I63+I62+I60+I57+I44+I41+I39+I38+I37+I18+I17+I16+I54</f>
        <v>136291.46444350001</v>
      </c>
    </row>
    <row r="91" spans="1:21" ht="15.75" customHeight="1">
      <c r="A91" s="244" t="s">
        <v>59</v>
      </c>
      <c r="B91" s="245"/>
      <c r="C91" s="245"/>
      <c r="D91" s="245"/>
      <c r="E91" s="245"/>
      <c r="F91" s="245"/>
      <c r="G91" s="245"/>
      <c r="H91" s="245"/>
      <c r="I91" s="246"/>
    </row>
    <row r="92" spans="1:21" ht="15.75" customHeight="1">
      <c r="A92" s="29">
        <v>20</v>
      </c>
      <c r="B92" s="48" t="s">
        <v>148</v>
      </c>
      <c r="C92" s="86" t="s">
        <v>166</v>
      </c>
      <c r="D92" s="87" t="s">
        <v>271</v>
      </c>
      <c r="E92" s="33"/>
      <c r="F92" s="33">
        <v>19</v>
      </c>
      <c r="G92" s="33">
        <v>295.36</v>
      </c>
      <c r="H92" s="85"/>
      <c r="I92" s="47">
        <v>0</v>
      </c>
    </row>
    <row r="93" spans="1:21" ht="29.25" customHeight="1">
      <c r="A93" s="29">
        <v>21</v>
      </c>
      <c r="B93" s="48" t="s">
        <v>232</v>
      </c>
      <c r="C93" s="86" t="s">
        <v>117</v>
      </c>
      <c r="D93" s="87" t="s">
        <v>272</v>
      </c>
      <c r="E93" s="33"/>
      <c r="F93" s="33">
        <v>3</v>
      </c>
      <c r="G93" s="33">
        <v>1226.45</v>
      </c>
      <c r="H93" s="85"/>
      <c r="I93" s="47">
        <f>G93*1</f>
        <v>1226.45</v>
      </c>
    </row>
    <row r="94" spans="1:21" ht="28.5" customHeight="1">
      <c r="A94" s="29">
        <v>22</v>
      </c>
      <c r="B94" s="48" t="s">
        <v>253</v>
      </c>
      <c r="C94" s="86" t="s">
        <v>117</v>
      </c>
      <c r="D94" s="87" t="s">
        <v>263</v>
      </c>
      <c r="E94" s="33"/>
      <c r="F94" s="33">
        <v>3</v>
      </c>
      <c r="G94" s="33">
        <v>983.17</v>
      </c>
      <c r="H94" s="85"/>
      <c r="I94" s="47">
        <f>G94*3</f>
        <v>2949.5099999999998</v>
      </c>
    </row>
    <row r="95" spans="1:21" ht="30" customHeight="1">
      <c r="A95" s="29">
        <v>23</v>
      </c>
      <c r="B95" s="48" t="s">
        <v>254</v>
      </c>
      <c r="C95" s="86" t="s">
        <v>117</v>
      </c>
      <c r="D95" s="87" t="s">
        <v>264</v>
      </c>
      <c r="E95" s="33"/>
      <c r="F95" s="33">
        <v>1</v>
      </c>
      <c r="G95" s="33">
        <v>795.42</v>
      </c>
      <c r="H95" s="85"/>
      <c r="I95" s="47">
        <f>G95*1</f>
        <v>795.42</v>
      </c>
    </row>
    <row r="96" spans="1:21" ht="15.75" customHeight="1">
      <c r="A96" s="29">
        <v>24</v>
      </c>
      <c r="B96" s="48" t="s">
        <v>234</v>
      </c>
      <c r="C96" s="86" t="s">
        <v>117</v>
      </c>
      <c r="D96" s="87"/>
      <c r="E96" s="33"/>
      <c r="F96" s="33">
        <v>3</v>
      </c>
      <c r="G96" s="33">
        <v>235</v>
      </c>
      <c r="H96" s="85"/>
      <c r="I96" s="47">
        <f>G96*2</f>
        <v>470</v>
      </c>
    </row>
    <row r="97" spans="1:9" ht="17.25" customHeight="1">
      <c r="A97" s="29">
        <v>25</v>
      </c>
      <c r="B97" s="48" t="s">
        <v>255</v>
      </c>
      <c r="C97" s="86" t="s">
        <v>117</v>
      </c>
      <c r="D97" s="87"/>
      <c r="E97" s="33"/>
      <c r="F97" s="33">
        <v>1</v>
      </c>
      <c r="G97" s="33">
        <v>49</v>
      </c>
      <c r="H97" s="85"/>
      <c r="I97" s="47">
        <f>G97*1</f>
        <v>49</v>
      </c>
    </row>
    <row r="98" spans="1:9" ht="18.75" customHeight="1">
      <c r="A98" s="29">
        <v>26</v>
      </c>
      <c r="B98" s="48" t="s">
        <v>256</v>
      </c>
      <c r="C98" s="86" t="s">
        <v>117</v>
      </c>
      <c r="D98" s="87"/>
      <c r="E98" s="33"/>
      <c r="F98" s="33">
        <v>1</v>
      </c>
      <c r="G98" s="33">
        <v>91.58</v>
      </c>
      <c r="H98" s="85"/>
      <c r="I98" s="47">
        <f>G98*1</f>
        <v>91.58</v>
      </c>
    </row>
    <row r="99" spans="1:9" ht="18.75" customHeight="1">
      <c r="A99" s="29">
        <v>27</v>
      </c>
      <c r="B99" s="48" t="s">
        <v>257</v>
      </c>
      <c r="C99" s="86" t="s">
        <v>117</v>
      </c>
      <c r="D99" s="87"/>
      <c r="E99" s="33"/>
      <c r="F99" s="33">
        <v>1</v>
      </c>
      <c r="G99" s="33">
        <v>211</v>
      </c>
      <c r="H99" s="85"/>
      <c r="I99" s="47">
        <f>G99*1</f>
        <v>211</v>
      </c>
    </row>
    <row r="100" spans="1:9" ht="20.25" customHeight="1">
      <c r="A100" s="29">
        <v>28</v>
      </c>
      <c r="B100" s="48" t="s">
        <v>258</v>
      </c>
      <c r="C100" s="86" t="s">
        <v>117</v>
      </c>
      <c r="D100" s="87"/>
      <c r="E100" s="33"/>
      <c r="F100" s="33">
        <v>1</v>
      </c>
      <c r="G100" s="33">
        <v>22</v>
      </c>
      <c r="H100" s="85"/>
      <c r="I100" s="47">
        <f>G100*1</f>
        <v>22</v>
      </c>
    </row>
    <row r="101" spans="1:9" ht="16.5" customHeight="1">
      <c r="A101" s="29">
        <v>29</v>
      </c>
      <c r="B101" s="48" t="s">
        <v>259</v>
      </c>
      <c r="C101" s="86" t="s">
        <v>117</v>
      </c>
      <c r="D101" s="87"/>
      <c r="E101" s="33"/>
      <c r="F101" s="33">
        <v>2</v>
      </c>
      <c r="G101" s="33">
        <v>12</v>
      </c>
      <c r="H101" s="85"/>
      <c r="I101" s="47">
        <f>G101*2</f>
        <v>24</v>
      </c>
    </row>
    <row r="102" spans="1:9" ht="34.5" customHeight="1">
      <c r="A102" s="29">
        <v>30</v>
      </c>
      <c r="B102" s="223" t="s">
        <v>178</v>
      </c>
      <c r="C102" s="29" t="s">
        <v>166</v>
      </c>
      <c r="D102" s="88" t="s">
        <v>269</v>
      </c>
      <c r="E102" s="33"/>
      <c r="F102" s="33">
        <v>10</v>
      </c>
      <c r="G102" s="33">
        <v>1584.54</v>
      </c>
      <c r="H102" s="85"/>
      <c r="I102" s="47">
        <f>G102*10</f>
        <v>15845.4</v>
      </c>
    </row>
    <row r="103" spans="1:9" ht="28.5" customHeight="1">
      <c r="A103" s="29">
        <v>31</v>
      </c>
      <c r="B103" s="223" t="s">
        <v>260</v>
      </c>
      <c r="C103" s="29" t="s">
        <v>166</v>
      </c>
      <c r="D103" s="88" t="s">
        <v>270</v>
      </c>
      <c r="E103" s="33"/>
      <c r="F103" s="33">
        <v>2</v>
      </c>
      <c r="G103" s="33">
        <v>1380.91</v>
      </c>
      <c r="H103" s="85"/>
      <c r="I103" s="47">
        <f>G103*2</f>
        <v>2761.82</v>
      </c>
    </row>
    <row r="104" spans="1:9" ht="34.5" customHeight="1">
      <c r="A104" s="29">
        <v>32</v>
      </c>
      <c r="B104" s="48" t="s">
        <v>174</v>
      </c>
      <c r="C104" s="86" t="s">
        <v>86</v>
      </c>
      <c r="D104" s="87" t="s">
        <v>265</v>
      </c>
      <c r="E104" s="33"/>
      <c r="F104" s="33">
        <v>1</v>
      </c>
      <c r="G104" s="33">
        <v>697.33</v>
      </c>
      <c r="H104" s="85"/>
      <c r="I104" s="47">
        <f>G104*1</f>
        <v>697.33</v>
      </c>
    </row>
    <row r="105" spans="1:9" ht="33.75" customHeight="1">
      <c r="A105" s="29">
        <v>33</v>
      </c>
      <c r="B105" s="48" t="s">
        <v>261</v>
      </c>
      <c r="C105" s="86" t="s">
        <v>82</v>
      </c>
      <c r="D105" s="87" t="s">
        <v>268</v>
      </c>
      <c r="E105" s="33"/>
      <c r="F105" s="33">
        <v>1</v>
      </c>
      <c r="G105" s="33">
        <v>231.54</v>
      </c>
      <c r="H105" s="85"/>
      <c r="I105" s="47">
        <f>G105*1</f>
        <v>231.54</v>
      </c>
    </row>
    <row r="106" spans="1:9" ht="16.5" customHeight="1">
      <c r="A106" s="29">
        <v>34</v>
      </c>
      <c r="B106" s="48" t="s">
        <v>262</v>
      </c>
      <c r="C106" s="86" t="s">
        <v>117</v>
      </c>
      <c r="D106" s="87" t="s">
        <v>267</v>
      </c>
      <c r="E106" s="33"/>
      <c r="F106" s="33">
        <v>2</v>
      </c>
      <c r="G106" s="33">
        <v>611.91999999999996</v>
      </c>
      <c r="H106" s="85"/>
      <c r="I106" s="47">
        <f>G106*2</f>
        <v>1223.8399999999999</v>
      </c>
    </row>
    <row r="107" spans="1:9" ht="33" customHeight="1">
      <c r="A107" s="29">
        <v>35</v>
      </c>
      <c r="B107" s="177" t="s">
        <v>221</v>
      </c>
      <c r="C107" s="35" t="s">
        <v>222</v>
      </c>
      <c r="D107" s="87" t="s">
        <v>266</v>
      </c>
      <c r="E107" s="33"/>
      <c r="F107" s="33">
        <v>1</v>
      </c>
      <c r="G107" s="33">
        <v>2287.54</v>
      </c>
      <c r="H107" s="85"/>
      <c r="I107" s="47">
        <f>G107*1</f>
        <v>2287.54</v>
      </c>
    </row>
    <row r="108" spans="1:9" ht="15.75" customHeight="1">
      <c r="A108" s="29"/>
      <c r="B108" s="40" t="s">
        <v>51</v>
      </c>
      <c r="C108" s="36"/>
      <c r="D108" s="44"/>
      <c r="E108" s="36">
        <v>1</v>
      </c>
      <c r="F108" s="36"/>
      <c r="G108" s="36"/>
      <c r="H108" s="36"/>
      <c r="I108" s="31">
        <f>SUM(I92:I107)</f>
        <v>28886.430000000004</v>
      </c>
    </row>
    <row r="109" spans="1:9" ht="15.75" customHeight="1">
      <c r="A109" s="29"/>
      <c r="B109" s="42" t="s">
        <v>78</v>
      </c>
      <c r="C109" s="15"/>
      <c r="D109" s="15"/>
      <c r="E109" s="37"/>
      <c r="F109" s="37"/>
      <c r="G109" s="38"/>
      <c r="H109" s="38"/>
      <c r="I109" s="17">
        <v>0</v>
      </c>
    </row>
    <row r="110" spans="1:9" ht="15.75" customHeight="1">
      <c r="A110" s="45"/>
      <c r="B110" s="41" t="s">
        <v>147</v>
      </c>
      <c r="C110" s="32"/>
      <c r="D110" s="32"/>
      <c r="E110" s="32"/>
      <c r="F110" s="32"/>
      <c r="G110" s="32"/>
      <c r="H110" s="32"/>
      <c r="I110" s="39">
        <f>I90+I108</f>
        <v>165177.8944435</v>
      </c>
    </row>
    <row r="111" spans="1:9" ht="15.75" customHeight="1">
      <c r="A111" s="247" t="s">
        <v>346</v>
      </c>
      <c r="B111" s="247"/>
      <c r="C111" s="247"/>
      <c r="D111" s="247"/>
      <c r="E111" s="247"/>
      <c r="F111" s="247"/>
      <c r="G111" s="247"/>
      <c r="H111" s="247"/>
      <c r="I111" s="247"/>
    </row>
    <row r="112" spans="1:9" ht="15.75" customHeight="1">
      <c r="A112" s="54"/>
      <c r="B112" s="248" t="s">
        <v>347</v>
      </c>
      <c r="C112" s="248"/>
      <c r="D112" s="248"/>
      <c r="E112" s="248"/>
      <c r="F112" s="248"/>
      <c r="G112" s="248"/>
      <c r="H112" s="59"/>
      <c r="I112" s="3"/>
    </row>
    <row r="113" spans="1:9" ht="15.75" customHeight="1">
      <c r="A113" s="51"/>
      <c r="B113" s="249" t="s">
        <v>6</v>
      </c>
      <c r="C113" s="249"/>
      <c r="D113" s="249"/>
      <c r="E113" s="249"/>
      <c r="F113" s="249"/>
      <c r="G113" s="249"/>
      <c r="H113" s="24"/>
      <c r="I113" s="5"/>
    </row>
    <row r="114" spans="1:9" ht="15.75" customHeight="1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250" t="s">
        <v>7</v>
      </c>
      <c r="B115" s="250"/>
      <c r="C115" s="250"/>
      <c r="D115" s="250"/>
      <c r="E115" s="250"/>
      <c r="F115" s="250"/>
      <c r="G115" s="250"/>
      <c r="H115" s="250"/>
      <c r="I115" s="250"/>
    </row>
    <row r="116" spans="1:9" ht="15.75" customHeight="1">
      <c r="A116" s="250" t="s">
        <v>8</v>
      </c>
      <c r="B116" s="250"/>
      <c r="C116" s="250"/>
      <c r="D116" s="250"/>
      <c r="E116" s="250"/>
      <c r="F116" s="250"/>
      <c r="G116" s="250"/>
      <c r="H116" s="250"/>
      <c r="I116" s="250"/>
    </row>
    <row r="117" spans="1:9" ht="15.75" customHeight="1">
      <c r="A117" s="239" t="s">
        <v>60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15.75" customHeight="1">
      <c r="A118" s="11"/>
    </row>
    <row r="119" spans="1:9" ht="15.75" customHeight="1">
      <c r="A119" s="252" t="s">
        <v>9</v>
      </c>
      <c r="B119" s="252"/>
      <c r="C119" s="252"/>
      <c r="D119" s="252"/>
      <c r="E119" s="252"/>
      <c r="F119" s="252"/>
      <c r="G119" s="252"/>
      <c r="H119" s="252"/>
      <c r="I119" s="252"/>
    </row>
    <row r="120" spans="1:9" ht="15.75" customHeight="1">
      <c r="A120" s="4"/>
    </row>
    <row r="121" spans="1:9" ht="15.75" customHeight="1">
      <c r="B121" s="53" t="s">
        <v>10</v>
      </c>
      <c r="C121" s="253" t="s">
        <v>209</v>
      </c>
      <c r="D121" s="253"/>
      <c r="E121" s="253"/>
      <c r="F121" s="57"/>
      <c r="I121" s="50"/>
    </row>
    <row r="122" spans="1:9" ht="15.75" customHeight="1">
      <c r="A122" s="51"/>
      <c r="C122" s="249" t="s">
        <v>11</v>
      </c>
      <c r="D122" s="249"/>
      <c r="E122" s="249"/>
      <c r="F122" s="24"/>
      <c r="I122" s="49" t="s">
        <v>12</v>
      </c>
    </row>
    <row r="123" spans="1:9" ht="15.75" customHeight="1">
      <c r="A123" s="25"/>
      <c r="C123" s="12"/>
      <c r="D123" s="12"/>
      <c r="G123" s="12"/>
      <c r="H123" s="12"/>
    </row>
    <row r="124" spans="1:9" ht="15.75" customHeight="1">
      <c r="B124" s="53" t="s">
        <v>13</v>
      </c>
      <c r="C124" s="254"/>
      <c r="D124" s="254"/>
      <c r="E124" s="254"/>
      <c r="F124" s="58"/>
      <c r="I124" s="50"/>
    </row>
    <row r="125" spans="1:9" ht="15.75" customHeight="1">
      <c r="A125" s="51"/>
      <c r="C125" s="229" t="s">
        <v>11</v>
      </c>
      <c r="D125" s="229"/>
      <c r="E125" s="229"/>
      <c r="F125" s="51"/>
      <c r="I125" s="49" t="s">
        <v>12</v>
      </c>
    </row>
    <row r="126" spans="1:9" ht="15.75" customHeight="1">
      <c r="A126" s="4" t="s">
        <v>14</v>
      </c>
    </row>
    <row r="127" spans="1:9" ht="15" customHeight="1">
      <c r="A127" s="255" t="s">
        <v>15</v>
      </c>
      <c r="B127" s="255"/>
      <c r="C127" s="255"/>
      <c r="D127" s="255"/>
      <c r="E127" s="255"/>
      <c r="F127" s="255"/>
      <c r="G127" s="255"/>
      <c r="H127" s="255"/>
      <c r="I127" s="255"/>
    </row>
    <row r="128" spans="1:9" ht="45" customHeight="1">
      <c r="A128" s="251" t="s">
        <v>16</v>
      </c>
      <c r="B128" s="251"/>
      <c r="C128" s="251"/>
      <c r="D128" s="251"/>
      <c r="E128" s="251"/>
      <c r="F128" s="251"/>
      <c r="G128" s="251"/>
      <c r="H128" s="251"/>
      <c r="I128" s="251"/>
    </row>
    <row r="129" spans="1:9" ht="30" customHeight="1">
      <c r="A129" s="251" t="s">
        <v>17</v>
      </c>
      <c r="B129" s="251"/>
      <c r="C129" s="251"/>
      <c r="D129" s="251"/>
      <c r="E129" s="251"/>
      <c r="F129" s="251"/>
      <c r="G129" s="251"/>
      <c r="H129" s="251"/>
      <c r="I129" s="251"/>
    </row>
    <row r="130" spans="1:9" ht="30" customHeight="1">
      <c r="A130" s="251" t="s">
        <v>21</v>
      </c>
      <c r="B130" s="251"/>
      <c r="C130" s="251"/>
      <c r="D130" s="251"/>
      <c r="E130" s="251"/>
      <c r="F130" s="251"/>
      <c r="G130" s="251"/>
      <c r="H130" s="251"/>
      <c r="I130" s="251"/>
    </row>
    <row r="131" spans="1:9" ht="15" customHeight="1">
      <c r="A131" s="251" t="s">
        <v>20</v>
      </c>
      <c r="B131" s="251"/>
      <c r="C131" s="251"/>
      <c r="D131" s="251"/>
      <c r="E131" s="251"/>
      <c r="F131" s="251"/>
      <c r="G131" s="251"/>
      <c r="H131" s="251"/>
      <c r="I131" s="251"/>
    </row>
  </sheetData>
  <autoFilter ref="I12:I56"/>
  <mergeCells count="29">
    <mergeCell ref="A128:I128"/>
    <mergeCell ref="A129:I129"/>
    <mergeCell ref="A130:I130"/>
    <mergeCell ref="A131:I131"/>
    <mergeCell ref="A119:I119"/>
    <mergeCell ref="C121:E121"/>
    <mergeCell ref="C122:E122"/>
    <mergeCell ref="C124:E124"/>
    <mergeCell ref="C125:E125"/>
    <mergeCell ref="A127:I127"/>
    <mergeCell ref="A117:I117"/>
    <mergeCell ref="A15:I15"/>
    <mergeCell ref="A45:I45"/>
    <mergeCell ref="A91:I91"/>
    <mergeCell ref="A111:I111"/>
    <mergeCell ref="B112:G112"/>
    <mergeCell ref="B113:G113"/>
    <mergeCell ref="A115:I115"/>
    <mergeCell ref="A116:I116"/>
    <mergeCell ref="A87:I87"/>
    <mergeCell ref="R61:U61"/>
    <mergeCell ref="A3:I3"/>
    <mergeCell ref="A4:I4"/>
    <mergeCell ref="A5:I5"/>
    <mergeCell ref="A8:I8"/>
    <mergeCell ref="A10:I10"/>
    <mergeCell ref="A14:I14"/>
    <mergeCell ref="A27:I27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27" zoomScale="60" zoomScaleNormal="100" workbookViewId="0">
      <selection activeCell="B95" sqref="B95"/>
    </sheetView>
  </sheetViews>
  <sheetFormatPr defaultRowHeight="15"/>
  <cols>
    <col min="2" max="2" width="51.140625" customWidth="1"/>
    <col min="3" max="3" width="17.85546875" customWidth="1"/>
    <col min="4" max="4" width="18.42578125" customWidth="1"/>
    <col min="5" max="6" width="0" hidden="1" customWidth="1"/>
    <col min="7" max="7" width="18.140625" customWidth="1"/>
    <col min="8" max="8" width="0" hidden="1" customWidth="1"/>
    <col min="9" max="9" width="23.8554687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167</v>
      </c>
      <c r="B3" s="233"/>
      <c r="C3" s="233"/>
      <c r="D3" s="233"/>
      <c r="E3" s="233"/>
      <c r="F3" s="233"/>
      <c r="G3" s="233"/>
      <c r="H3" s="233"/>
      <c r="I3" s="233"/>
    </row>
    <row r="4" spans="1:9" ht="36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273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03"/>
      <c r="C6" s="103"/>
      <c r="D6" s="103"/>
      <c r="E6" s="103"/>
      <c r="F6" s="103"/>
      <c r="G6" s="103"/>
      <c r="H6" s="103"/>
      <c r="I6" s="134">
        <v>44316</v>
      </c>
    </row>
    <row r="7" spans="1:9" ht="15.75">
      <c r="B7" s="101"/>
      <c r="C7" s="101"/>
      <c r="D7" s="101"/>
      <c r="E7" s="3"/>
      <c r="F7" s="3"/>
      <c r="G7" s="3"/>
      <c r="H7" s="3"/>
    </row>
    <row r="8" spans="1:9" ht="10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51.7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</row>
    <row r="26" spans="1:9" hidden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idden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idden="1">
      <c r="A29" s="29">
        <v>7</v>
      </c>
      <c r="B29" s="62" t="s">
        <v>106</v>
      </c>
      <c r="C29" s="63" t="s">
        <v>107</v>
      </c>
      <c r="D29" s="62" t="s">
        <v>108</v>
      </c>
      <c r="E29" s="65">
        <v>357.22</v>
      </c>
      <c r="F29" s="65">
        <f>SUM(E29*52/1000)</f>
        <v>18.575440000000004</v>
      </c>
      <c r="G29" s="65">
        <v>212.62</v>
      </c>
      <c r="H29" s="66">
        <f t="shared" ref="H29:H35" si="1">SUM(F29*G29/1000)</f>
        <v>3.9495100528000009</v>
      </c>
      <c r="I29" s="13">
        <f>F29/6*G29</f>
        <v>658.25167546666682</v>
      </c>
    </row>
    <row r="30" spans="1:9" ht="45" hidden="1">
      <c r="A30" s="29"/>
      <c r="B30" s="62" t="s">
        <v>140</v>
      </c>
      <c r="C30" s="63" t="s">
        <v>107</v>
      </c>
      <c r="D30" s="62" t="s">
        <v>109</v>
      </c>
      <c r="E30" s="65">
        <v>475.06</v>
      </c>
      <c r="F30" s="65">
        <f>SUM(E30*78/1000)</f>
        <v>37.054679999999998</v>
      </c>
      <c r="G30" s="65">
        <v>352.77</v>
      </c>
      <c r="H30" s="66">
        <f t="shared" si="1"/>
        <v>13.071779463599999</v>
      </c>
      <c r="I30" s="13">
        <f>F30/6*G30</f>
        <v>2178.6299105999997</v>
      </c>
    </row>
    <row r="31" spans="1:9" hidden="1">
      <c r="A31" s="29">
        <v>7</v>
      </c>
      <c r="B31" s="62" t="s">
        <v>27</v>
      </c>
      <c r="C31" s="63" t="s">
        <v>107</v>
      </c>
      <c r="D31" s="62" t="s">
        <v>53</v>
      </c>
      <c r="E31" s="65">
        <v>357.22</v>
      </c>
      <c r="F31" s="65">
        <f>SUM(E31/1000)</f>
        <v>0.35722000000000004</v>
      </c>
      <c r="G31" s="65">
        <v>4119.68</v>
      </c>
      <c r="H31" s="66">
        <f t="shared" si="1"/>
        <v>1.4716320896000001</v>
      </c>
      <c r="I31" s="13">
        <f>F31*G31</f>
        <v>1471.6320896000002</v>
      </c>
    </row>
    <row r="32" spans="1:9" hidden="1">
      <c r="A32" s="29">
        <v>8</v>
      </c>
      <c r="B32" s="62" t="s">
        <v>135</v>
      </c>
      <c r="C32" s="63" t="s">
        <v>39</v>
      </c>
      <c r="D32" s="62" t="s">
        <v>149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16</v>
      </c>
      <c r="B33" s="62" t="s">
        <v>110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77.33</v>
      </c>
      <c r="H33" s="66">
        <f>SUM(G33*155/3/1000)</f>
        <v>3.9953833333333333</v>
      </c>
      <c r="I33" s="13">
        <f>F33/6*G33</f>
        <v>665.89722222222213</v>
      </c>
    </row>
    <row r="34" spans="1:9" hidden="1">
      <c r="A34" s="29">
        <v>10</v>
      </c>
      <c r="B34" s="62" t="s">
        <v>63</v>
      </c>
      <c r="C34" s="63" t="s">
        <v>33</v>
      </c>
      <c r="D34" s="62" t="s">
        <v>65</v>
      </c>
      <c r="E34" s="64"/>
      <c r="F34" s="65">
        <v>2</v>
      </c>
      <c r="G34" s="65">
        <v>260.95</v>
      </c>
      <c r="H34" s="66">
        <f t="shared" si="1"/>
        <v>0.52190000000000003</v>
      </c>
      <c r="I34" s="13">
        <v>0</v>
      </c>
    </row>
    <row r="35" spans="1:9" hidden="1">
      <c r="A35" s="29"/>
      <c r="B35" s="62" t="s">
        <v>64</v>
      </c>
      <c r="C35" s="63" t="s">
        <v>32</v>
      </c>
      <c r="D35" s="62" t="s">
        <v>65</v>
      </c>
      <c r="E35" s="64"/>
      <c r="F35" s="65">
        <v>1</v>
      </c>
      <c r="G35" s="65">
        <v>1549.92</v>
      </c>
      <c r="H35" s="66">
        <f t="shared" si="1"/>
        <v>1.54992</v>
      </c>
      <c r="I35" s="13">
        <v>0</v>
      </c>
    </row>
    <row r="36" spans="1:9">
      <c r="A36" s="29"/>
      <c r="B36" s="82" t="s">
        <v>5</v>
      </c>
      <c r="C36" s="63"/>
      <c r="D36" s="62"/>
      <c r="E36" s="64"/>
      <c r="F36" s="65"/>
      <c r="G36" s="65"/>
      <c r="H36" s="66" t="s">
        <v>124</v>
      </c>
      <c r="I36" s="13"/>
    </row>
    <row r="37" spans="1:9" hidden="1">
      <c r="A37" s="29">
        <v>5</v>
      </c>
      <c r="B37" s="62" t="s">
        <v>26</v>
      </c>
      <c r="C37" s="63" t="s">
        <v>32</v>
      </c>
      <c r="D37" s="62"/>
      <c r="E37" s="64"/>
      <c r="F37" s="65">
        <v>5</v>
      </c>
      <c r="G37" s="65">
        <v>2083</v>
      </c>
      <c r="H37" s="66">
        <f t="shared" ref="H37:H44" si="2">SUM(F37*G37/1000)</f>
        <v>10.414999999999999</v>
      </c>
      <c r="I37" s="13">
        <f>G37*1.3</f>
        <v>2707.9</v>
      </c>
    </row>
    <row r="38" spans="1:9">
      <c r="A38" s="29">
        <v>4</v>
      </c>
      <c r="B38" s="62" t="s">
        <v>66</v>
      </c>
      <c r="C38" s="63" t="s">
        <v>29</v>
      </c>
      <c r="D38" s="187" t="s">
        <v>185</v>
      </c>
      <c r="E38" s="65">
        <v>469.73</v>
      </c>
      <c r="F38" s="65">
        <f>SUM(E38*30/1000)</f>
        <v>14.091900000000001</v>
      </c>
      <c r="G38" s="65">
        <v>2868.09</v>
      </c>
      <c r="H38" s="66">
        <f t="shared" si="2"/>
        <v>40.416837471000008</v>
      </c>
      <c r="I38" s="13">
        <f t="shared" ref="I38:I44" si="3">F38/6*G38</f>
        <v>6736.1395785000004</v>
      </c>
    </row>
    <row r="39" spans="1:9" ht="15.75" customHeight="1">
      <c r="A39" s="29">
        <v>5</v>
      </c>
      <c r="B39" s="62" t="s">
        <v>67</v>
      </c>
      <c r="C39" s="63" t="s">
        <v>29</v>
      </c>
      <c r="D39" s="107" t="s">
        <v>186</v>
      </c>
      <c r="E39" s="65">
        <v>475.06</v>
      </c>
      <c r="F39" s="65">
        <f>SUM(E39*155/1000)</f>
        <v>73.634299999999996</v>
      </c>
      <c r="G39" s="65">
        <v>478.42</v>
      </c>
      <c r="H39" s="66">
        <f t="shared" si="2"/>
        <v>35.228121806000004</v>
      </c>
      <c r="I39" s="13">
        <f t="shared" si="3"/>
        <v>5871.3536343333326</v>
      </c>
    </row>
    <row r="40" spans="1:9" ht="21" customHeight="1">
      <c r="A40" s="29">
        <v>6</v>
      </c>
      <c r="B40" s="62" t="s">
        <v>89</v>
      </c>
      <c r="C40" s="63" t="s">
        <v>128</v>
      </c>
      <c r="D40" s="107" t="s">
        <v>274</v>
      </c>
      <c r="E40" s="64"/>
      <c r="F40" s="65">
        <v>39</v>
      </c>
      <c r="G40" s="65">
        <v>314</v>
      </c>
      <c r="H40" s="66">
        <f>SUM(F40*G40/1000)</f>
        <v>12.246</v>
      </c>
      <c r="I40" s="13">
        <f>G40*91</f>
        <v>28574</v>
      </c>
    </row>
    <row r="41" spans="1:9" ht="45.75" customHeight="1">
      <c r="A41" s="29">
        <v>7</v>
      </c>
      <c r="B41" s="62" t="s">
        <v>81</v>
      </c>
      <c r="C41" s="63" t="s">
        <v>107</v>
      </c>
      <c r="D41" s="107" t="s">
        <v>187</v>
      </c>
      <c r="E41" s="65">
        <v>40.6</v>
      </c>
      <c r="F41" s="65">
        <f>SUM(E41*35/1000)</f>
        <v>1.421</v>
      </c>
      <c r="G41" s="65">
        <v>7915.6</v>
      </c>
      <c r="H41" s="66">
        <f t="shared" si="2"/>
        <v>11.248067600000001</v>
      </c>
      <c r="I41" s="13">
        <f t="shared" si="3"/>
        <v>1874.6779333333334</v>
      </c>
    </row>
    <row r="42" spans="1:9" hidden="1">
      <c r="A42" s="29">
        <v>10</v>
      </c>
      <c r="B42" s="62" t="s">
        <v>113</v>
      </c>
      <c r="C42" s="63" t="s">
        <v>107</v>
      </c>
      <c r="D42" s="107" t="s">
        <v>188</v>
      </c>
      <c r="E42" s="65">
        <v>167.03</v>
      </c>
      <c r="F42" s="65">
        <f>SUM(E42*45/1000)</f>
        <v>7.5163500000000001</v>
      </c>
      <c r="G42" s="65">
        <v>584.74</v>
      </c>
      <c r="H42" s="66">
        <f t="shared" si="2"/>
        <v>4.3951104990000003</v>
      </c>
      <c r="I42" s="13">
        <f>(F42/7.5*1.5)*G42</f>
        <v>879.02209980000009</v>
      </c>
    </row>
    <row r="43" spans="1:9" hidden="1">
      <c r="A43" s="29">
        <v>11</v>
      </c>
      <c r="B43" s="62" t="s">
        <v>69</v>
      </c>
      <c r="C43" s="63" t="s">
        <v>33</v>
      </c>
      <c r="D43" s="190"/>
      <c r="E43" s="64"/>
      <c r="F43" s="65">
        <v>1.2</v>
      </c>
      <c r="G43" s="65">
        <v>800</v>
      </c>
      <c r="H43" s="66">
        <f t="shared" si="2"/>
        <v>0.96</v>
      </c>
      <c r="I43" s="13">
        <f>(F43/7.5*1.5)*G43</f>
        <v>192</v>
      </c>
    </row>
    <row r="44" spans="1:9" ht="30">
      <c r="A44" s="29">
        <v>8</v>
      </c>
      <c r="B44" s="46" t="s">
        <v>151</v>
      </c>
      <c r="C44" s="60" t="s">
        <v>29</v>
      </c>
      <c r="D44" s="187" t="s">
        <v>189</v>
      </c>
      <c r="E44" s="64">
        <v>4.2</v>
      </c>
      <c r="F44" s="65">
        <f>SUM(E44*12/1000)</f>
        <v>5.0400000000000007E-2</v>
      </c>
      <c r="G44" s="65">
        <v>270.61</v>
      </c>
      <c r="H44" s="66">
        <f t="shared" si="2"/>
        <v>1.3638744000000003E-2</v>
      </c>
      <c r="I44" s="13">
        <f t="shared" si="3"/>
        <v>2.2731240000000006</v>
      </c>
    </row>
    <row r="45" spans="1:9" ht="19.5" hidden="1" customHeight="1">
      <c r="A45" s="256" t="s">
        <v>164</v>
      </c>
      <c r="B45" s="257"/>
      <c r="C45" s="257"/>
      <c r="D45" s="257"/>
      <c r="E45" s="257"/>
      <c r="F45" s="257"/>
      <c r="G45" s="257"/>
      <c r="H45" s="257"/>
      <c r="I45" s="258"/>
    </row>
    <row r="46" spans="1:9" ht="26.25" hidden="1" customHeight="1">
      <c r="A46" s="29"/>
      <c r="B46" s="62" t="s">
        <v>114</v>
      </c>
      <c r="C46" s="63" t="s">
        <v>107</v>
      </c>
      <c r="D46" s="62" t="s">
        <v>41</v>
      </c>
      <c r="E46" s="64">
        <v>1603.6</v>
      </c>
      <c r="F46" s="65">
        <f>SUM(E46*2/1000)</f>
        <v>3.2071999999999998</v>
      </c>
      <c r="G46" s="13">
        <v>1158.7</v>
      </c>
      <c r="H46" s="66">
        <f t="shared" ref="H46:H54" si="4">SUM(F46*G46/1000)</f>
        <v>3.71618264</v>
      </c>
      <c r="I46" s="13">
        <f>F46/2*G46</f>
        <v>1858.09132</v>
      </c>
    </row>
    <row r="47" spans="1:9" ht="24.75" hidden="1" customHeight="1">
      <c r="A47" s="29">
        <v>14</v>
      </c>
      <c r="B47" s="62" t="s">
        <v>34</v>
      </c>
      <c r="C47" s="63" t="s">
        <v>107</v>
      </c>
      <c r="D47" s="62" t="s">
        <v>41</v>
      </c>
      <c r="E47" s="64">
        <v>65</v>
      </c>
      <c r="F47" s="65">
        <f>SUM(E47*2/1000)</f>
        <v>0.13</v>
      </c>
      <c r="G47" s="13">
        <v>790.38</v>
      </c>
      <c r="H47" s="66">
        <f t="shared" si="4"/>
        <v>0.1027494</v>
      </c>
      <c r="I47" s="13">
        <f>F47/2*G47</f>
        <v>51.374700000000004</v>
      </c>
    </row>
    <row r="48" spans="1:9" ht="25.5" hidden="1" customHeight="1">
      <c r="A48" s="29"/>
      <c r="B48" s="62" t="s">
        <v>35</v>
      </c>
      <c r="C48" s="63" t="s">
        <v>107</v>
      </c>
      <c r="D48" s="62" t="s">
        <v>41</v>
      </c>
      <c r="E48" s="64">
        <v>1825.8</v>
      </c>
      <c r="F48" s="65">
        <f>SUM(E48*2/1000)</f>
        <v>3.6515999999999997</v>
      </c>
      <c r="G48" s="13">
        <v>790.38</v>
      </c>
      <c r="H48" s="66">
        <f t="shared" si="4"/>
        <v>2.8861516079999996</v>
      </c>
      <c r="I48" s="13">
        <f t="shared" ref="I48:I53" si="5">F48/2*G48</f>
        <v>1443.0758039999998</v>
      </c>
    </row>
    <row r="49" spans="1:9" ht="21" hidden="1" customHeight="1">
      <c r="A49" s="29"/>
      <c r="B49" s="62" t="s">
        <v>36</v>
      </c>
      <c r="C49" s="63" t="s">
        <v>107</v>
      </c>
      <c r="D49" s="62" t="s">
        <v>41</v>
      </c>
      <c r="E49" s="64">
        <v>3163.96</v>
      </c>
      <c r="F49" s="65">
        <f>SUM(E49*2/1000)</f>
        <v>6.3279199999999998</v>
      </c>
      <c r="G49" s="13">
        <v>827.65</v>
      </c>
      <c r="H49" s="66">
        <f t="shared" si="4"/>
        <v>5.2373029879999997</v>
      </c>
      <c r="I49" s="13">
        <f t="shared" si="5"/>
        <v>2618.6514939999997</v>
      </c>
    </row>
    <row r="50" spans="1:9" ht="19.5" hidden="1" customHeight="1">
      <c r="A50" s="29"/>
      <c r="B50" s="62" t="s">
        <v>55</v>
      </c>
      <c r="C50" s="63" t="s">
        <v>107</v>
      </c>
      <c r="D50" s="62" t="s">
        <v>141</v>
      </c>
      <c r="E50" s="64">
        <v>5816.5</v>
      </c>
      <c r="F50" s="65">
        <f>SUM(E50*5/1000)</f>
        <v>29.0825</v>
      </c>
      <c r="G50" s="13">
        <v>1655.27</v>
      </c>
      <c r="H50" s="66">
        <f t="shared" si="4"/>
        <v>48.139389774999998</v>
      </c>
      <c r="I50" s="13">
        <f>F50/5*G50</f>
        <v>9627.8779549999999</v>
      </c>
    </row>
    <row r="51" spans="1:9" ht="36.75" hidden="1" customHeight="1">
      <c r="A51" s="29">
        <v>13</v>
      </c>
      <c r="B51" s="62" t="s">
        <v>115</v>
      </c>
      <c r="C51" s="63" t="s">
        <v>107</v>
      </c>
      <c r="D51" s="62" t="s">
        <v>41</v>
      </c>
      <c r="E51" s="64">
        <v>5816.5</v>
      </c>
      <c r="F51" s="65">
        <f>SUM(E51*2/1000)</f>
        <v>11.632999999999999</v>
      </c>
      <c r="G51" s="13">
        <v>1655.27</v>
      </c>
      <c r="H51" s="66">
        <f t="shared" si="4"/>
        <v>19.255755910000001</v>
      </c>
      <c r="I51" s="13">
        <f t="shared" si="5"/>
        <v>9627.8779549999999</v>
      </c>
    </row>
    <row r="52" spans="1:9" ht="39" hidden="1" customHeight="1">
      <c r="A52" s="29">
        <v>14</v>
      </c>
      <c r="B52" s="62" t="s">
        <v>116</v>
      </c>
      <c r="C52" s="63" t="s">
        <v>37</v>
      </c>
      <c r="D52" s="62" t="s">
        <v>41</v>
      </c>
      <c r="E52" s="64">
        <v>25</v>
      </c>
      <c r="F52" s="65">
        <f>SUM(E52*2/100)</f>
        <v>0.5</v>
      </c>
      <c r="G52" s="13">
        <v>3724.37</v>
      </c>
      <c r="H52" s="66">
        <f t="shared" si="4"/>
        <v>1.862185</v>
      </c>
      <c r="I52" s="13">
        <f t="shared" si="5"/>
        <v>931.09249999999997</v>
      </c>
    </row>
    <row r="53" spans="1:9" ht="21.75" hidden="1" customHeight="1">
      <c r="A53" s="29">
        <v>15</v>
      </c>
      <c r="B53" s="62" t="s">
        <v>38</v>
      </c>
      <c r="C53" s="63" t="s">
        <v>39</v>
      </c>
      <c r="D53" s="62" t="s">
        <v>41</v>
      </c>
      <c r="E53" s="64">
        <v>1</v>
      </c>
      <c r="F53" s="65">
        <v>0.02</v>
      </c>
      <c r="G53" s="13">
        <v>7709.44</v>
      </c>
      <c r="H53" s="66">
        <f t="shared" si="4"/>
        <v>0.15418879999999999</v>
      </c>
      <c r="I53" s="13">
        <f t="shared" si="5"/>
        <v>77.094399999999993</v>
      </c>
    </row>
    <row r="54" spans="1:9" ht="20.25" hidden="1" customHeight="1">
      <c r="A54" s="29">
        <v>15</v>
      </c>
      <c r="B54" s="62" t="s">
        <v>40</v>
      </c>
      <c r="C54" s="63" t="s">
        <v>30</v>
      </c>
      <c r="D54" s="62" t="s">
        <v>70</v>
      </c>
      <c r="E54" s="64">
        <v>198</v>
      </c>
      <c r="F54" s="65">
        <f>SUM(E54)*3</f>
        <v>594</v>
      </c>
      <c r="G54" s="13">
        <v>89.59</v>
      </c>
      <c r="H54" s="66">
        <f t="shared" si="4"/>
        <v>53.216459999999998</v>
      </c>
      <c r="I54" s="13">
        <f>F54/3*G54</f>
        <v>17738.82</v>
      </c>
    </row>
    <row r="55" spans="1:9">
      <c r="A55" s="241" t="s">
        <v>144</v>
      </c>
      <c r="B55" s="242"/>
      <c r="C55" s="242"/>
      <c r="D55" s="242"/>
      <c r="E55" s="242"/>
      <c r="F55" s="242"/>
      <c r="G55" s="242"/>
      <c r="H55" s="242"/>
      <c r="I55" s="243"/>
    </row>
    <row r="56" spans="1:9">
      <c r="A56" s="29"/>
      <c r="B56" s="82" t="s">
        <v>42</v>
      </c>
      <c r="C56" s="63"/>
      <c r="D56" s="62"/>
      <c r="E56" s="64"/>
      <c r="F56" s="65"/>
      <c r="G56" s="65"/>
      <c r="H56" s="66"/>
      <c r="I56" s="13"/>
    </row>
    <row r="57" spans="1:9" ht="33.75" customHeight="1">
      <c r="A57" s="29">
        <v>9</v>
      </c>
      <c r="B57" s="62" t="s">
        <v>118</v>
      </c>
      <c r="C57" s="63" t="s">
        <v>99</v>
      </c>
      <c r="D57" s="62"/>
      <c r="E57" s="64">
        <v>118.3</v>
      </c>
      <c r="F57" s="65">
        <f>E57*6/100</f>
        <v>7.0979999999999999</v>
      </c>
      <c r="G57" s="72">
        <v>2110.4699999999998</v>
      </c>
      <c r="H57" s="66">
        <f>F57*G57/1000</f>
        <v>14.980116059999999</v>
      </c>
      <c r="I57" s="13">
        <f>G57*0.1</f>
        <v>211.047</v>
      </c>
    </row>
    <row r="58" spans="1:9" ht="19.5" hidden="1" customHeight="1">
      <c r="A58" s="29">
        <v>13</v>
      </c>
      <c r="B58" s="62" t="s">
        <v>153</v>
      </c>
      <c r="C58" s="63" t="s">
        <v>99</v>
      </c>
      <c r="D58" s="62" t="s">
        <v>190</v>
      </c>
      <c r="E58" s="71">
        <v>3.78</v>
      </c>
      <c r="F58" s="13">
        <f>E58*6/100</f>
        <v>0.2268</v>
      </c>
      <c r="G58" s="65">
        <v>2110.4699999999998</v>
      </c>
      <c r="H58" s="66">
        <f>SUM(F58*G58/1000)</f>
        <v>0.47865459599999999</v>
      </c>
      <c r="I58" s="13">
        <f>F58/6*G58</f>
        <v>79.77576599999999</v>
      </c>
    </row>
    <row r="59" spans="1:9" ht="18.75" hidden="1" customHeight="1">
      <c r="A59" s="29">
        <v>15</v>
      </c>
      <c r="B59" s="73" t="s">
        <v>94</v>
      </c>
      <c r="C59" s="63" t="s">
        <v>95</v>
      </c>
      <c r="D59" s="73" t="s">
        <v>41</v>
      </c>
      <c r="E59" s="74">
        <v>5</v>
      </c>
      <c r="F59" s="75">
        <v>10</v>
      </c>
      <c r="G59" s="72">
        <v>246.58</v>
      </c>
      <c r="H59" s="76">
        <v>0.99099999999999999</v>
      </c>
      <c r="I59" s="13">
        <f>F59/2*G59</f>
        <v>1232.9000000000001</v>
      </c>
    </row>
    <row r="60" spans="1:9">
      <c r="A60" s="29">
        <v>10</v>
      </c>
      <c r="B60" s="73" t="s">
        <v>154</v>
      </c>
      <c r="C60" s="77" t="s">
        <v>32</v>
      </c>
      <c r="D60" s="73" t="s">
        <v>208</v>
      </c>
      <c r="E60" s="74"/>
      <c r="F60" s="76">
        <v>5</v>
      </c>
      <c r="G60" s="96">
        <v>1645</v>
      </c>
      <c r="H60" s="76">
        <f>SUM(F60*G60/1000)</f>
        <v>8.2249999999999996</v>
      </c>
      <c r="I60" s="96">
        <f>G60*1</f>
        <v>1645</v>
      </c>
    </row>
    <row r="61" spans="1:9">
      <c r="A61" s="29"/>
      <c r="B61" s="83" t="s">
        <v>43</v>
      </c>
      <c r="C61" s="77"/>
      <c r="D61" s="62"/>
      <c r="E61" s="64"/>
      <c r="F61" s="65"/>
      <c r="G61" s="65"/>
      <c r="H61" s="65"/>
      <c r="I61" s="119"/>
    </row>
    <row r="62" spans="1:9" hidden="1">
      <c r="A62" s="29"/>
      <c r="B62" s="73" t="s">
        <v>44</v>
      </c>
      <c r="C62" s="77" t="s">
        <v>52</v>
      </c>
      <c r="D62" s="62" t="s">
        <v>53</v>
      </c>
      <c r="E62" s="64">
        <v>352</v>
      </c>
      <c r="F62" s="65">
        <f>E62/100</f>
        <v>3.52</v>
      </c>
      <c r="G62" s="65">
        <v>1082.47</v>
      </c>
      <c r="H62" s="65">
        <f>G62*F62/1000</f>
        <v>3.8102944000000001</v>
      </c>
      <c r="I62" s="119">
        <v>0</v>
      </c>
    </row>
    <row r="63" spans="1:9">
      <c r="A63" s="29">
        <v>11</v>
      </c>
      <c r="B63" s="73" t="s">
        <v>90</v>
      </c>
      <c r="C63" s="77" t="s">
        <v>25</v>
      </c>
      <c r="D63" s="62" t="s">
        <v>190</v>
      </c>
      <c r="E63" s="64">
        <v>200</v>
      </c>
      <c r="F63" s="65">
        <f>E63*12</f>
        <v>2400</v>
      </c>
      <c r="G63" s="65">
        <v>1.4</v>
      </c>
      <c r="H63" s="65">
        <f>G63*F63/1000</f>
        <v>3.36</v>
      </c>
      <c r="I63" s="13">
        <f>F63/12*G63</f>
        <v>280</v>
      </c>
    </row>
    <row r="64" spans="1:9">
      <c r="A64" s="29"/>
      <c r="B64" s="83" t="s">
        <v>45</v>
      </c>
      <c r="C64" s="77"/>
      <c r="D64" s="116"/>
      <c r="E64" s="67"/>
      <c r="F64" s="111"/>
      <c r="G64" s="111"/>
      <c r="H64" s="117" t="s">
        <v>124</v>
      </c>
      <c r="I64" s="118"/>
    </row>
    <row r="65" spans="1:9">
      <c r="A65" s="29">
        <v>12</v>
      </c>
      <c r="B65" s="14" t="s">
        <v>46</v>
      </c>
      <c r="C65" s="16" t="s">
        <v>117</v>
      </c>
      <c r="D65" s="14" t="s">
        <v>204</v>
      </c>
      <c r="E65" s="18">
        <v>14</v>
      </c>
      <c r="F65" s="13">
        <f>SUM(E65)</f>
        <v>14</v>
      </c>
      <c r="G65" s="13">
        <v>303.35000000000002</v>
      </c>
      <c r="H65" s="61">
        <f t="shared" ref="H65:H84" si="6">SUM(F65*G65/1000)</f>
        <v>4.2469000000000001</v>
      </c>
      <c r="I65" s="13">
        <f>G65*4</f>
        <v>1213.4000000000001</v>
      </c>
    </row>
    <row r="66" spans="1:9" hidden="1">
      <c r="A66" s="29"/>
      <c r="B66" s="14" t="s">
        <v>47</v>
      </c>
      <c r="C66" s="16" t="s">
        <v>117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1">
        <f t="shared" si="6"/>
        <v>0.72806999999999999</v>
      </c>
      <c r="I66" s="13">
        <v>0</v>
      </c>
    </row>
    <row r="67" spans="1:9" hidden="1">
      <c r="A67" s="29"/>
      <c r="B67" s="14" t="s">
        <v>48</v>
      </c>
      <c r="C67" s="16" t="s">
        <v>119</v>
      </c>
      <c r="D67" s="14" t="s">
        <v>53</v>
      </c>
      <c r="E67" s="64">
        <v>23808</v>
      </c>
      <c r="F67" s="13">
        <f>SUM(E67/100)</f>
        <v>238.08</v>
      </c>
      <c r="G67" s="13">
        <v>289.37</v>
      </c>
      <c r="H67" s="61">
        <f t="shared" si="6"/>
        <v>68.893209600000006</v>
      </c>
      <c r="I67" s="13">
        <f t="shared" ref="I67:I72" si="7">F67*G67</f>
        <v>68893.209600000002</v>
      </c>
    </row>
    <row r="68" spans="1:9" hidden="1">
      <c r="A68" s="29">
        <v>19</v>
      </c>
      <c r="B68" s="14" t="s">
        <v>49</v>
      </c>
      <c r="C68" s="16" t="s">
        <v>120</v>
      </c>
      <c r="D68" s="14"/>
      <c r="E68" s="64">
        <v>23808</v>
      </c>
      <c r="F68" s="13">
        <f>SUM(E68/1000)</f>
        <v>23.808</v>
      </c>
      <c r="G68" s="13">
        <v>225.35</v>
      </c>
      <c r="H68" s="61">
        <f t="shared" si="6"/>
        <v>5.3651327999999996</v>
      </c>
      <c r="I68" s="13">
        <f t="shared" si="7"/>
        <v>5365.1327999999994</v>
      </c>
    </row>
    <row r="69" spans="1:9" hidden="1">
      <c r="A69" s="29"/>
      <c r="B69" s="14" t="s">
        <v>50</v>
      </c>
      <c r="C69" s="16" t="s">
        <v>76</v>
      </c>
      <c r="D69" s="14" t="s">
        <v>53</v>
      </c>
      <c r="E69" s="64">
        <v>3810</v>
      </c>
      <c r="F69" s="13">
        <f>SUM(E69/100)</f>
        <v>38.1</v>
      </c>
      <c r="G69" s="13">
        <v>2829.78</v>
      </c>
      <c r="H69" s="61">
        <f t="shared" si="6"/>
        <v>107.81461800000001</v>
      </c>
      <c r="I69" s="13">
        <f t="shared" si="7"/>
        <v>107814.61800000002</v>
      </c>
    </row>
    <row r="70" spans="1:9" hidden="1">
      <c r="A70" s="29">
        <v>20</v>
      </c>
      <c r="B70" s="79" t="s">
        <v>121</v>
      </c>
      <c r="C70" s="16" t="s">
        <v>33</v>
      </c>
      <c r="D70" s="14"/>
      <c r="E70" s="64">
        <v>12.8</v>
      </c>
      <c r="F70" s="13">
        <f>SUM(E70)</f>
        <v>12.8</v>
      </c>
      <c r="G70" s="13">
        <v>44.31</v>
      </c>
      <c r="H70" s="61">
        <f t="shared" si="6"/>
        <v>0.56716800000000001</v>
      </c>
      <c r="I70" s="13">
        <f t="shared" si="7"/>
        <v>567.16800000000001</v>
      </c>
    </row>
    <row r="71" spans="1:9" hidden="1">
      <c r="A71" s="29"/>
      <c r="B71" s="79" t="s">
        <v>130</v>
      </c>
      <c r="C71" s="16" t="s">
        <v>33</v>
      </c>
      <c r="D71" s="14"/>
      <c r="E71" s="64">
        <v>12.8</v>
      </c>
      <c r="F71" s="13">
        <f>SUM(E71)</f>
        <v>12.8</v>
      </c>
      <c r="G71" s="13">
        <v>47.79</v>
      </c>
      <c r="H71" s="61">
        <f t="shared" si="6"/>
        <v>0.61171200000000003</v>
      </c>
      <c r="I71" s="13">
        <f t="shared" si="7"/>
        <v>611.71199999999999</v>
      </c>
    </row>
    <row r="72" spans="1:9" hidden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5">
        <f>SUM(E72)</f>
        <v>6</v>
      </c>
      <c r="G72" s="13">
        <v>68.040000000000006</v>
      </c>
      <c r="H72" s="61">
        <f t="shared" si="6"/>
        <v>0.40823999999999999</v>
      </c>
      <c r="I72" s="13">
        <f t="shared" si="7"/>
        <v>408.24</v>
      </c>
    </row>
    <row r="73" spans="1:9" ht="29.25" customHeight="1">
      <c r="A73" s="29">
        <v>13</v>
      </c>
      <c r="B73" s="79" t="s">
        <v>155</v>
      </c>
      <c r="C73" s="16"/>
      <c r="D73" s="14" t="s">
        <v>191</v>
      </c>
      <c r="E73" s="18">
        <v>1</v>
      </c>
      <c r="F73" s="13">
        <v>12</v>
      </c>
      <c r="G73" s="13">
        <v>1194</v>
      </c>
      <c r="H73" s="61">
        <f t="shared" si="6"/>
        <v>14.327999999999999</v>
      </c>
      <c r="I73" s="13">
        <f>F73/12*G73</f>
        <v>1194</v>
      </c>
    </row>
    <row r="74" spans="1:9">
      <c r="A74" s="29"/>
      <c r="B74" s="104" t="s">
        <v>156</v>
      </c>
      <c r="C74" s="16"/>
      <c r="D74" s="14"/>
      <c r="E74" s="18"/>
      <c r="F74" s="55"/>
      <c r="G74" s="13"/>
      <c r="H74" s="61"/>
      <c r="I74" s="13"/>
    </row>
    <row r="75" spans="1:9" ht="30.75" customHeight="1">
      <c r="A75" s="29">
        <v>14</v>
      </c>
      <c r="B75" s="14" t="s">
        <v>157</v>
      </c>
      <c r="C75" s="29" t="s">
        <v>158</v>
      </c>
      <c r="D75" s="14"/>
      <c r="E75" s="18">
        <v>5816.5</v>
      </c>
      <c r="F75" s="65">
        <f>SUM(E75)*12</f>
        <v>69798</v>
      </c>
      <c r="G75" s="13">
        <v>2.37</v>
      </c>
      <c r="H75" s="61">
        <f>SUM(F75*G75/1000)</f>
        <v>165.42126000000002</v>
      </c>
      <c r="I75" s="13">
        <f>F75/12*G75</f>
        <v>13785.105000000001</v>
      </c>
    </row>
    <row r="76" spans="1:9" ht="30">
      <c r="A76" s="29">
        <v>15</v>
      </c>
      <c r="B76" s="46" t="s">
        <v>159</v>
      </c>
      <c r="C76" s="60" t="s">
        <v>117</v>
      </c>
      <c r="D76" s="14" t="s">
        <v>191</v>
      </c>
      <c r="E76" s="113">
        <v>1</v>
      </c>
      <c r="F76" s="75">
        <f>E76*12</f>
        <v>12</v>
      </c>
      <c r="G76" s="96">
        <v>55.55</v>
      </c>
      <c r="H76" s="61">
        <f>SUM(F76*G76/1000)</f>
        <v>0.66659999999999986</v>
      </c>
      <c r="I76" s="13">
        <f>F76/12*G76</f>
        <v>55.55</v>
      </c>
    </row>
    <row r="77" spans="1:9" ht="17.25" customHeight="1">
      <c r="A77" s="105"/>
      <c r="B77" s="104" t="s">
        <v>72</v>
      </c>
      <c r="C77" s="16"/>
      <c r="D77" s="14"/>
      <c r="E77" s="18"/>
      <c r="F77" s="13"/>
      <c r="G77" s="13"/>
      <c r="H77" s="61" t="s">
        <v>124</v>
      </c>
      <c r="I77" s="106"/>
    </row>
    <row r="78" spans="1:9" ht="31.5" customHeight="1">
      <c r="A78" s="105">
        <v>16</v>
      </c>
      <c r="B78" s="14" t="s">
        <v>160</v>
      </c>
      <c r="C78" s="16" t="s">
        <v>30</v>
      </c>
      <c r="D78" s="29" t="s">
        <v>279</v>
      </c>
      <c r="E78" s="18">
        <v>2</v>
      </c>
      <c r="F78" s="65">
        <f>E78</f>
        <v>2</v>
      </c>
      <c r="G78" s="13">
        <v>2112.2800000000002</v>
      </c>
      <c r="H78" s="61">
        <f>G78*F78/1000</f>
        <v>4.2245600000000003</v>
      </c>
      <c r="I78" s="106">
        <f>G78*1</f>
        <v>2112.2800000000002</v>
      </c>
    </row>
    <row r="79" spans="1:9" ht="20.25" hidden="1" customHeight="1">
      <c r="A79" s="105"/>
      <c r="B79" s="46" t="s">
        <v>161</v>
      </c>
      <c r="C79" s="60" t="s">
        <v>117</v>
      </c>
      <c r="D79" s="14" t="s">
        <v>65</v>
      </c>
      <c r="E79" s="18">
        <v>5</v>
      </c>
      <c r="F79" s="13">
        <v>5</v>
      </c>
      <c r="G79" s="13">
        <v>136.19999999999999</v>
      </c>
      <c r="H79" s="61">
        <f>SUM(F79*G79/1000)</f>
        <v>0.68100000000000005</v>
      </c>
      <c r="I79" s="106">
        <v>0</v>
      </c>
    </row>
    <row r="80" spans="1:9" ht="20.25" hidden="1" customHeight="1">
      <c r="A80" s="105"/>
      <c r="B80" s="14" t="s">
        <v>73</v>
      </c>
      <c r="C80" s="16" t="s">
        <v>162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1">
        <f>SUM(F80*G80/1000)</f>
        <v>0.41051399999999999</v>
      </c>
      <c r="I80" s="106">
        <v>0</v>
      </c>
    </row>
    <row r="81" spans="1:9" ht="15" hidden="1" customHeight="1">
      <c r="A81" s="105"/>
      <c r="B81" s="14" t="s">
        <v>74</v>
      </c>
      <c r="C81" s="16" t="s">
        <v>30</v>
      </c>
      <c r="D81" s="14" t="s">
        <v>65</v>
      </c>
      <c r="E81" s="18">
        <v>1</v>
      </c>
      <c r="F81" s="55">
        <v>1</v>
      </c>
      <c r="G81" s="13">
        <v>1163.47</v>
      </c>
      <c r="H81" s="61">
        <f>SUM(F81*G81/1000)</f>
        <v>1.16347</v>
      </c>
      <c r="I81" s="106">
        <v>0</v>
      </c>
    </row>
    <row r="82" spans="1:9" ht="13.5" hidden="1" customHeight="1">
      <c r="A82" s="105"/>
      <c r="B82" s="46" t="s">
        <v>163</v>
      </c>
      <c r="C82" s="60" t="s">
        <v>117</v>
      </c>
      <c r="D82" s="14" t="s">
        <v>65</v>
      </c>
      <c r="E82" s="18">
        <v>1</v>
      </c>
      <c r="F82" s="65">
        <f>E82</f>
        <v>1</v>
      </c>
      <c r="G82" s="13">
        <v>1670.07</v>
      </c>
      <c r="H82" s="61">
        <f>SUM(F82*G82/1000)</f>
        <v>1.6700699999999999</v>
      </c>
      <c r="I82" s="106">
        <v>0</v>
      </c>
    </row>
    <row r="83" spans="1:9" ht="17.25" hidden="1" customHeight="1">
      <c r="A83" s="105"/>
      <c r="B83" s="80" t="s">
        <v>75</v>
      </c>
      <c r="C83" s="16"/>
      <c r="D83" s="14"/>
      <c r="E83" s="18"/>
      <c r="F83" s="13"/>
      <c r="G83" s="13" t="s">
        <v>124</v>
      </c>
      <c r="H83" s="61" t="s">
        <v>124</v>
      </c>
      <c r="I83" s="106"/>
    </row>
    <row r="84" spans="1:9" ht="15.75" hidden="1" customHeight="1">
      <c r="A84" s="105"/>
      <c r="B84" s="42" t="s">
        <v>125</v>
      </c>
      <c r="C84" s="16" t="s">
        <v>76</v>
      </c>
      <c r="D84" s="14"/>
      <c r="E84" s="18"/>
      <c r="F84" s="13">
        <v>0.6</v>
      </c>
      <c r="G84" s="13">
        <v>4144.28</v>
      </c>
      <c r="H84" s="61">
        <f t="shared" si="6"/>
        <v>2.4865679999999997</v>
      </c>
      <c r="I84" s="106">
        <v>0</v>
      </c>
    </row>
    <row r="85" spans="1:9" ht="16.5" hidden="1" customHeight="1">
      <c r="A85" s="105"/>
      <c r="B85" s="104" t="s">
        <v>122</v>
      </c>
      <c r="C85" s="80"/>
      <c r="D85" s="112"/>
      <c r="E85" s="31"/>
      <c r="F85" s="114"/>
      <c r="G85" s="114"/>
      <c r="H85" s="115">
        <f>SUM(H57:H84)</f>
        <v>411.53215745600005</v>
      </c>
      <c r="I85" s="106"/>
    </row>
    <row r="86" spans="1:9" ht="18" hidden="1" customHeight="1">
      <c r="A86" s="105"/>
      <c r="B86" s="62" t="s">
        <v>123</v>
      </c>
      <c r="C86" s="16"/>
      <c r="D86" s="14"/>
      <c r="E86" s="56"/>
      <c r="F86" s="13">
        <v>1</v>
      </c>
      <c r="G86" s="13">
        <v>24117.599999999999</v>
      </c>
      <c r="H86" s="61">
        <f>G86*F86/1000</f>
        <v>24.117599999999999</v>
      </c>
      <c r="I86" s="106">
        <v>0</v>
      </c>
    </row>
    <row r="87" spans="1:9">
      <c r="A87" s="230" t="s">
        <v>145</v>
      </c>
      <c r="B87" s="231"/>
      <c r="C87" s="231"/>
      <c r="D87" s="231"/>
      <c r="E87" s="231"/>
      <c r="F87" s="231"/>
      <c r="G87" s="231"/>
      <c r="H87" s="231"/>
      <c r="I87" s="232"/>
    </row>
    <row r="88" spans="1:9">
      <c r="A88" s="105">
        <v>17</v>
      </c>
      <c r="B88" s="62" t="s">
        <v>126</v>
      </c>
      <c r="C88" s="16" t="s">
        <v>54</v>
      </c>
      <c r="D88" s="81"/>
      <c r="E88" s="13">
        <v>5816.5</v>
      </c>
      <c r="F88" s="13">
        <f>SUM(E88*12)</f>
        <v>69798</v>
      </c>
      <c r="G88" s="13">
        <v>3.22</v>
      </c>
      <c r="H88" s="61">
        <f>SUM(F88*G88/1000)</f>
        <v>224.74956000000003</v>
      </c>
      <c r="I88" s="13">
        <f>F88/12*G88</f>
        <v>18729.13</v>
      </c>
    </row>
    <row r="89" spans="1:9" ht="30">
      <c r="A89" s="29">
        <v>18</v>
      </c>
      <c r="B89" s="14" t="s">
        <v>77</v>
      </c>
      <c r="C89" s="16"/>
      <c r="D89" s="81"/>
      <c r="E89" s="64">
        <f>E88</f>
        <v>5816.5</v>
      </c>
      <c r="F89" s="13">
        <f>E89*12</f>
        <v>69798</v>
      </c>
      <c r="G89" s="13">
        <v>3.64</v>
      </c>
      <c r="H89" s="61">
        <f>F89*G89/1000</f>
        <v>254.06471999999999</v>
      </c>
      <c r="I89" s="13">
        <f>F89/12*G89</f>
        <v>21172.06</v>
      </c>
    </row>
    <row r="90" spans="1:9">
      <c r="A90" s="102"/>
      <c r="B90" s="34" t="s">
        <v>79</v>
      </c>
      <c r="C90" s="35"/>
      <c r="D90" s="15"/>
      <c r="E90" s="15"/>
      <c r="F90" s="15"/>
      <c r="G90" s="18"/>
      <c r="H90" s="18"/>
      <c r="I90" s="31">
        <f>I89+I88+I78+I76+I75+I73+I65+I63+I60+I57+I44+I41+I40+I39+I38+I18+I17+I16</f>
        <v>135678.44544350001</v>
      </c>
    </row>
    <row r="91" spans="1:9">
      <c r="A91" s="244" t="s">
        <v>59</v>
      </c>
      <c r="B91" s="245"/>
      <c r="C91" s="245"/>
      <c r="D91" s="245"/>
      <c r="E91" s="245"/>
      <c r="F91" s="245"/>
      <c r="G91" s="245"/>
      <c r="H91" s="245"/>
      <c r="I91" s="246"/>
    </row>
    <row r="92" spans="1:9">
      <c r="A92" s="29">
        <v>19</v>
      </c>
      <c r="B92" s="48" t="s">
        <v>138</v>
      </c>
      <c r="C92" s="86" t="s">
        <v>82</v>
      </c>
      <c r="D92" s="87" t="s">
        <v>211</v>
      </c>
      <c r="E92" s="33"/>
      <c r="F92" s="33">
        <v>2</v>
      </c>
      <c r="G92" s="33">
        <v>231.54</v>
      </c>
      <c r="H92" s="85"/>
      <c r="I92" s="47">
        <f>G92*1</f>
        <v>231.54</v>
      </c>
    </row>
    <row r="93" spans="1:9" ht="30">
      <c r="A93" s="29">
        <v>20</v>
      </c>
      <c r="B93" s="48" t="s">
        <v>174</v>
      </c>
      <c r="C93" s="86" t="s">
        <v>86</v>
      </c>
      <c r="D93" s="87" t="s">
        <v>278</v>
      </c>
      <c r="E93" s="33"/>
      <c r="F93" s="33">
        <v>2</v>
      </c>
      <c r="G93" s="33">
        <v>697.33</v>
      </c>
      <c r="H93" s="85"/>
      <c r="I93" s="47">
        <f>G93*1</f>
        <v>697.33</v>
      </c>
    </row>
    <row r="94" spans="1:9">
      <c r="A94" s="29">
        <v>21</v>
      </c>
      <c r="B94" s="48" t="s">
        <v>275</v>
      </c>
      <c r="C94" s="86" t="s">
        <v>276</v>
      </c>
      <c r="D94" s="87"/>
      <c r="E94" s="33"/>
      <c r="F94" s="33">
        <v>0.1</v>
      </c>
      <c r="G94" s="33">
        <v>723.09</v>
      </c>
      <c r="H94" s="85"/>
      <c r="I94" s="47">
        <f>G94*0.1</f>
        <v>72.309000000000012</v>
      </c>
    </row>
    <row r="95" spans="1:9">
      <c r="A95" s="29">
        <v>22</v>
      </c>
      <c r="B95" s="48" t="s">
        <v>277</v>
      </c>
      <c r="C95" s="86" t="s">
        <v>117</v>
      </c>
      <c r="D95" s="87" t="s">
        <v>281</v>
      </c>
      <c r="E95" s="33"/>
      <c r="F95" s="33">
        <v>1</v>
      </c>
      <c r="G95" s="33">
        <v>2627.94</v>
      </c>
      <c r="H95" s="85"/>
      <c r="I95" s="47">
        <f>G95*1</f>
        <v>2627.94</v>
      </c>
    </row>
    <row r="96" spans="1:9">
      <c r="A96" s="29">
        <v>23</v>
      </c>
      <c r="B96" s="48" t="s">
        <v>148</v>
      </c>
      <c r="C96" s="86" t="s">
        <v>166</v>
      </c>
      <c r="D96" s="87" t="s">
        <v>280</v>
      </c>
      <c r="E96" s="33"/>
      <c r="F96" s="33">
        <v>22</v>
      </c>
      <c r="G96" s="33">
        <v>295.36</v>
      </c>
      <c r="H96" s="85"/>
      <c r="I96" s="47">
        <v>0</v>
      </c>
    </row>
    <row r="97" spans="1:9">
      <c r="A97" s="29"/>
      <c r="B97" s="40" t="s">
        <v>51</v>
      </c>
      <c r="C97" s="36"/>
      <c r="D97" s="44"/>
      <c r="E97" s="36">
        <v>1</v>
      </c>
      <c r="F97" s="36"/>
      <c r="G97" s="36"/>
      <c r="H97" s="36"/>
      <c r="I97" s="31">
        <f>SUM(I92:I95)</f>
        <v>3629.1190000000001</v>
      </c>
    </row>
    <row r="98" spans="1:9">
      <c r="A98" s="29"/>
      <c r="B98" s="42" t="s">
        <v>78</v>
      </c>
      <c r="C98" s="15"/>
      <c r="D98" s="15"/>
      <c r="E98" s="37"/>
      <c r="F98" s="37"/>
      <c r="G98" s="38"/>
      <c r="H98" s="38"/>
      <c r="I98" s="17">
        <v>0</v>
      </c>
    </row>
    <row r="99" spans="1:9">
      <c r="A99" s="45"/>
      <c r="B99" s="41" t="s">
        <v>147</v>
      </c>
      <c r="C99" s="32"/>
      <c r="D99" s="32"/>
      <c r="E99" s="32"/>
      <c r="F99" s="32"/>
      <c r="G99" s="32"/>
      <c r="H99" s="32"/>
      <c r="I99" s="39">
        <f>I90+I97</f>
        <v>139307.56444350001</v>
      </c>
    </row>
    <row r="100" spans="1:9" ht="15.75">
      <c r="A100" s="247" t="s">
        <v>290</v>
      </c>
      <c r="B100" s="247"/>
      <c r="C100" s="247"/>
      <c r="D100" s="247"/>
      <c r="E100" s="247"/>
      <c r="F100" s="247"/>
      <c r="G100" s="247"/>
      <c r="H100" s="247"/>
      <c r="I100" s="247"/>
    </row>
    <row r="101" spans="1:9" ht="15.75">
      <c r="A101" s="54"/>
      <c r="B101" s="248" t="s">
        <v>291</v>
      </c>
      <c r="C101" s="248"/>
      <c r="D101" s="248"/>
      <c r="E101" s="248"/>
      <c r="F101" s="248"/>
      <c r="G101" s="248"/>
      <c r="H101" s="59"/>
      <c r="I101" s="3"/>
    </row>
    <row r="102" spans="1:9">
      <c r="A102" s="100"/>
      <c r="B102" s="249" t="s">
        <v>6</v>
      </c>
      <c r="C102" s="249"/>
      <c r="D102" s="249"/>
      <c r="E102" s="249"/>
      <c r="F102" s="249"/>
      <c r="G102" s="249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50" t="s">
        <v>7</v>
      </c>
      <c r="B104" s="250"/>
      <c r="C104" s="250"/>
      <c r="D104" s="250"/>
      <c r="E104" s="250"/>
      <c r="F104" s="250"/>
      <c r="G104" s="250"/>
      <c r="H104" s="250"/>
      <c r="I104" s="250"/>
    </row>
    <row r="105" spans="1:9" ht="15.75">
      <c r="A105" s="250" t="s">
        <v>8</v>
      </c>
      <c r="B105" s="250"/>
      <c r="C105" s="250"/>
      <c r="D105" s="250"/>
      <c r="E105" s="250"/>
      <c r="F105" s="250"/>
      <c r="G105" s="250"/>
      <c r="H105" s="250"/>
      <c r="I105" s="250"/>
    </row>
    <row r="106" spans="1:9" ht="15.75">
      <c r="A106" s="239" t="s">
        <v>60</v>
      </c>
      <c r="B106" s="239"/>
      <c r="C106" s="239"/>
      <c r="D106" s="239"/>
      <c r="E106" s="239"/>
      <c r="F106" s="239"/>
      <c r="G106" s="239"/>
      <c r="H106" s="239"/>
      <c r="I106" s="239"/>
    </row>
    <row r="107" spans="1:9" ht="15.75">
      <c r="A107" s="11"/>
    </row>
    <row r="108" spans="1:9" ht="15.75">
      <c r="A108" s="252" t="s">
        <v>9</v>
      </c>
      <c r="B108" s="252"/>
      <c r="C108" s="252"/>
      <c r="D108" s="252"/>
      <c r="E108" s="252"/>
      <c r="F108" s="252"/>
      <c r="G108" s="252"/>
      <c r="H108" s="252"/>
      <c r="I108" s="252"/>
    </row>
    <row r="109" spans="1:9" ht="15.75">
      <c r="A109" s="4"/>
    </row>
    <row r="110" spans="1:9" ht="15.75">
      <c r="B110" s="101" t="s">
        <v>10</v>
      </c>
      <c r="C110" s="253" t="s">
        <v>209</v>
      </c>
      <c r="D110" s="253"/>
      <c r="E110" s="253"/>
      <c r="F110" s="57"/>
      <c r="I110" s="99"/>
    </row>
    <row r="111" spans="1:9">
      <c r="A111" s="100"/>
      <c r="C111" s="249" t="s">
        <v>11</v>
      </c>
      <c r="D111" s="249"/>
      <c r="E111" s="249"/>
      <c r="F111" s="24"/>
      <c r="I111" s="98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01" t="s">
        <v>13</v>
      </c>
      <c r="C113" s="254"/>
      <c r="D113" s="254"/>
      <c r="E113" s="254"/>
      <c r="F113" s="58"/>
      <c r="I113" s="99"/>
    </row>
    <row r="114" spans="1:9">
      <c r="A114" s="100"/>
      <c r="C114" s="229" t="s">
        <v>11</v>
      </c>
      <c r="D114" s="229"/>
      <c r="E114" s="229"/>
      <c r="F114" s="100"/>
      <c r="I114" s="98" t="s">
        <v>12</v>
      </c>
    </row>
    <row r="115" spans="1:9" ht="15.75">
      <c r="A115" s="4" t="s">
        <v>14</v>
      </c>
    </row>
    <row r="116" spans="1:9">
      <c r="A116" s="255" t="s">
        <v>15</v>
      </c>
      <c r="B116" s="255"/>
      <c r="C116" s="255"/>
      <c r="D116" s="255"/>
      <c r="E116" s="255"/>
      <c r="F116" s="255"/>
      <c r="G116" s="255"/>
      <c r="H116" s="255"/>
      <c r="I116" s="255"/>
    </row>
    <row r="117" spans="1:9" ht="50.25" customHeight="1">
      <c r="A117" s="251" t="s">
        <v>16</v>
      </c>
      <c r="B117" s="251"/>
      <c r="C117" s="251"/>
      <c r="D117" s="251"/>
      <c r="E117" s="251"/>
      <c r="F117" s="251"/>
      <c r="G117" s="251"/>
      <c r="H117" s="251"/>
      <c r="I117" s="251"/>
    </row>
    <row r="118" spans="1:9" ht="42.75" customHeight="1">
      <c r="A118" s="251" t="s">
        <v>17</v>
      </c>
      <c r="B118" s="251"/>
      <c r="C118" s="251"/>
      <c r="D118" s="251"/>
      <c r="E118" s="251"/>
      <c r="F118" s="251"/>
      <c r="G118" s="251"/>
      <c r="H118" s="251"/>
      <c r="I118" s="251"/>
    </row>
    <row r="119" spans="1:9" ht="40.5" customHeight="1">
      <c r="A119" s="251" t="s">
        <v>21</v>
      </c>
      <c r="B119" s="251"/>
      <c r="C119" s="251"/>
      <c r="D119" s="251"/>
      <c r="E119" s="251"/>
      <c r="F119" s="251"/>
      <c r="G119" s="251"/>
      <c r="H119" s="251"/>
      <c r="I119" s="251"/>
    </row>
    <row r="120" spans="1:9" ht="15.75">
      <c r="A120" s="251" t="s">
        <v>20</v>
      </c>
      <c r="B120" s="251"/>
      <c r="C120" s="251"/>
      <c r="D120" s="251"/>
      <c r="E120" s="251"/>
      <c r="F120" s="251"/>
      <c r="G120" s="251"/>
      <c r="H120" s="251"/>
      <c r="I120" s="251"/>
    </row>
  </sheetData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5:I45"/>
    <mergeCell ref="A55:I55"/>
    <mergeCell ref="A87:I87"/>
    <mergeCell ref="A91:I91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topLeftCell="A51" workbookViewId="0">
      <selection activeCell="D95" sqref="D95"/>
    </sheetView>
  </sheetViews>
  <sheetFormatPr defaultRowHeight="15"/>
  <cols>
    <col min="1" max="1" width="10.140625" customWidth="1"/>
    <col min="2" max="2" width="46.85546875" customWidth="1"/>
    <col min="3" max="3" width="17.5703125" customWidth="1"/>
    <col min="4" max="4" width="18.5703125" customWidth="1"/>
    <col min="5" max="5" width="0" hidden="1" customWidth="1"/>
    <col min="6" max="6" width="8.85546875" hidden="1" customWidth="1"/>
    <col min="7" max="7" width="18.140625" customWidth="1"/>
    <col min="8" max="8" width="0" hidden="1" customWidth="1"/>
    <col min="9" max="9" width="18.4257812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168</v>
      </c>
      <c r="B3" s="233"/>
      <c r="C3" s="233"/>
      <c r="D3" s="233"/>
      <c r="E3" s="233"/>
      <c r="F3" s="233"/>
      <c r="G3" s="233"/>
      <c r="H3" s="233"/>
      <c r="I3" s="233"/>
    </row>
    <row r="4" spans="1:9" ht="33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282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25"/>
      <c r="C6" s="125"/>
      <c r="D6" s="125"/>
      <c r="E6" s="125"/>
      <c r="F6" s="125"/>
      <c r="G6" s="125"/>
      <c r="H6" s="125"/>
      <c r="I6" s="134">
        <v>44347</v>
      </c>
    </row>
    <row r="7" spans="1:9" ht="15.75">
      <c r="B7" s="123"/>
      <c r="C7" s="123"/>
      <c r="D7" s="123"/>
      <c r="E7" s="3"/>
      <c r="F7" s="3"/>
      <c r="G7" s="3"/>
      <c r="H7" s="3"/>
    </row>
    <row r="8" spans="1:9" ht="102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5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9.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5.7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7.2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t="15.75" hidden="1" customHeight="1">
      <c r="A19" s="29">
        <v>4</v>
      </c>
      <c r="B19" s="62" t="s">
        <v>100</v>
      </c>
      <c r="C19" s="63" t="s">
        <v>101</v>
      </c>
      <c r="D19" s="62" t="s">
        <v>190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f>F19*G19</f>
        <v>668.44799999999998</v>
      </c>
    </row>
    <row r="20" spans="1:9" ht="18.75" hidden="1" customHeight="1">
      <c r="A20" s="29">
        <v>5</v>
      </c>
      <c r="B20" s="62" t="s">
        <v>92</v>
      </c>
      <c r="C20" s="63" t="s">
        <v>99</v>
      </c>
      <c r="D20" s="62" t="s">
        <v>190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t="17.25" hidden="1" customHeight="1">
      <c r="A21" s="29">
        <v>6</v>
      </c>
      <c r="B21" s="62" t="s">
        <v>93</v>
      </c>
      <c r="C21" s="63" t="s">
        <v>99</v>
      </c>
      <c r="D21" s="73" t="s">
        <v>190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t="14.25" hidden="1" customHeight="1">
      <c r="A22" s="29">
        <v>7</v>
      </c>
      <c r="B22" s="62" t="s">
        <v>103</v>
      </c>
      <c r="C22" s="63" t="s">
        <v>52</v>
      </c>
      <c r="D22" s="62" t="s">
        <v>190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f>F22*G22</f>
        <v>1380.9351999999999</v>
      </c>
    </row>
    <row r="23" spans="1:9" ht="17.25" hidden="1" customHeight="1">
      <c r="A23" s="29">
        <v>8</v>
      </c>
      <c r="B23" s="62" t="s">
        <v>104</v>
      </c>
      <c r="C23" s="63" t="s">
        <v>52</v>
      </c>
      <c r="D23" s="62" t="s">
        <v>190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f>F23*G23</f>
        <v>36.487639999999999</v>
      </c>
    </row>
    <row r="24" spans="1:9" ht="32.25" hidden="1" customHeight="1">
      <c r="A24" s="29">
        <v>9</v>
      </c>
      <c r="B24" s="62" t="s">
        <v>105</v>
      </c>
      <c r="C24" s="63" t="s">
        <v>52</v>
      </c>
      <c r="D24" s="62" t="s">
        <v>190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f>F24*G24</f>
        <v>70.010249999999985</v>
      </c>
    </row>
    <row r="25" spans="1:9" ht="18.75" hidden="1" customHeight="1">
      <c r="A25" s="29">
        <v>10</v>
      </c>
      <c r="B25" s="62" t="s">
        <v>97</v>
      </c>
      <c r="C25" s="63" t="s">
        <v>52</v>
      </c>
      <c r="D25" s="62" t="s">
        <v>190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f>F25*G25</f>
        <v>75.512331000000003</v>
      </c>
    </row>
    <row r="26" spans="1:9" ht="17.25" hidden="1" customHeight="1">
      <c r="A26" s="29">
        <v>11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t="18.75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8.75" customHeight="1">
      <c r="A29" s="29">
        <v>4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 t="shared" ref="H29:H34" si="1">SUM(F29*G29/1000)</f>
        <v>3.9495100528000009</v>
      </c>
      <c r="I29" s="13">
        <f>F29/6*G29</f>
        <v>658.25167546666682</v>
      </c>
    </row>
    <row r="30" spans="1:9" ht="46.5" customHeight="1">
      <c r="A30" s="29">
        <v>5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 t="shared" si="1"/>
        <v>13.071779463599999</v>
      </c>
      <c r="I30" s="13">
        <f>F30/6*G30</f>
        <v>2178.6299105999997</v>
      </c>
    </row>
    <row r="31" spans="1:9" ht="19.5" customHeight="1">
      <c r="A31" s="29">
        <v>6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 t="shared" si="1"/>
        <v>1.4716320896000001</v>
      </c>
      <c r="I31" s="13">
        <f>F31*G31</f>
        <v>1471.6320896000002</v>
      </c>
    </row>
    <row r="32" spans="1:9" ht="15.75" customHeight="1">
      <c r="A32" s="29">
        <v>7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t="16.5" hidden="1" customHeight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 t="shared" si="1"/>
        <v>0.52190000000000003</v>
      </c>
      <c r="I33" s="13">
        <v>0</v>
      </c>
    </row>
    <row r="34" spans="1:9" ht="18" hidden="1" customHeight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 t="shared" si="1"/>
        <v>1.54992</v>
      </c>
      <c r="I34" s="13">
        <v>0</v>
      </c>
    </row>
    <row r="35" spans="1:9" ht="19.5" hidden="1" customHeight="1">
      <c r="A35" s="29"/>
      <c r="B35" s="82" t="s">
        <v>5</v>
      </c>
      <c r="C35" s="63"/>
      <c r="D35" s="62"/>
      <c r="E35" s="64"/>
      <c r="F35" s="65"/>
      <c r="G35" s="65"/>
      <c r="H35" s="66" t="s">
        <v>124</v>
      </c>
      <c r="I35" s="13"/>
    </row>
    <row r="36" spans="1:9" ht="20.25" hidden="1" customHeight="1">
      <c r="A36" s="29">
        <v>6</v>
      </c>
      <c r="B36" s="62" t="s">
        <v>26</v>
      </c>
      <c r="C36" s="63" t="s">
        <v>32</v>
      </c>
      <c r="D36" s="62"/>
      <c r="E36" s="64"/>
      <c r="F36" s="65">
        <v>5</v>
      </c>
      <c r="G36" s="65">
        <v>2083</v>
      </c>
      <c r="H36" s="66">
        <f t="shared" ref="H36:H43" si="2">SUM(F36*G36/1000)</f>
        <v>10.414999999999999</v>
      </c>
      <c r="I36" s="13">
        <f>F36/6*G36</f>
        <v>1735.8333333333335</v>
      </c>
    </row>
    <row r="37" spans="1:9" ht="18.75" hidden="1" customHeight="1">
      <c r="A37" s="29">
        <v>7</v>
      </c>
      <c r="B37" s="62" t="s">
        <v>66</v>
      </c>
      <c r="C37" s="63" t="s">
        <v>29</v>
      </c>
      <c r="D37" s="62" t="s">
        <v>111</v>
      </c>
      <c r="E37" s="65">
        <v>469.73</v>
      </c>
      <c r="F37" s="65">
        <f>SUM(E37*30/1000)</f>
        <v>14.091900000000001</v>
      </c>
      <c r="G37" s="65">
        <v>2868.09</v>
      </c>
      <c r="H37" s="66">
        <f t="shared" si="2"/>
        <v>40.416837471000008</v>
      </c>
      <c r="I37" s="13">
        <f t="shared" ref="I37:I43" si="3">F37/6*G37</f>
        <v>6736.1395785000004</v>
      </c>
    </row>
    <row r="38" spans="1:9" ht="30.75" hidden="1" customHeight="1">
      <c r="A38" s="29">
        <v>8</v>
      </c>
      <c r="B38" s="62" t="s">
        <v>67</v>
      </c>
      <c r="C38" s="63" t="s">
        <v>29</v>
      </c>
      <c r="D38" s="62" t="s">
        <v>112</v>
      </c>
      <c r="E38" s="65">
        <v>475.06</v>
      </c>
      <c r="F38" s="65">
        <f>SUM(E38*155/1000)</f>
        <v>73.634299999999996</v>
      </c>
      <c r="G38" s="65">
        <v>478.42</v>
      </c>
      <c r="H38" s="66">
        <f t="shared" si="2"/>
        <v>35.228121806000004</v>
      </c>
      <c r="I38" s="13">
        <f t="shared" si="3"/>
        <v>5871.3536343333326</v>
      </c>
    </row>
    <row r="39" spans="1:9" ht="20.25" hidden="1" customHeight="1">
      <c r="A39" s="29">
        <v>9</v>
      </c>
      <c r="B39" s="62" t="s">
        <v>89</v>
      </c>
      <c r="C39" s="63" t="s">
        <v>128</v>
      </c>
      <c r="D39" s="62" t="s">
        <v>150</v>
      </c>
      <c r="E39" s="64"/>
      <c r="F39" s="65">
        <v>39</v>
      </c>
      <c r="G39" s="65">
        <v>314</v>
      </c>
      <c r="H39" s="66">
        <f>SUM(F39*G39/1000)</f>
        <v>12.246</v>
      </c>
      <c r="I39" s="13">
        <v>0</v>
      </c>
    </row>
    <row r="40" spans="1:9" ht="60" hidden="1">
      <c r="A40" s="29">
        <v>9</v>
      </c>
      <c r="B40" s="62" t="s">
        <v>81</v>
      </c>
      <c r="C40" s="63" t="s">
        <v>107</v>
      </c>
      <c r="D40" s="62" t="s">
        <v>129</v>
      </c>
      <c r="E40" s="65">
        <v>40.6</v>
      </c>
      <c r="F40" s="65">
        <f>SUM(E40*35/1000)</f>
        <v>1.421</v>
      </c>
      <c r="G40" s="65">
        <v>7915.6</v>
      </c>
      <c r="H40" s="66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2" t="s">
        <v>113</v>
      </c>
      <c r="C41" s="63" t="s">
        <v>107</v>
      </c>
      <c r="D41" s="62" t="s">
        <v>68</v>
      </c>
      <c r="E41" s="65">
        <v>167.03</v>
      </c>
      <c r="F41" s="65">
        <f>SUM(E41*45/1000)</f>
        <v>7.5163500000000001</v>
      </c>
      <c r="G41" s="65">
        <v>584.74</v>
      </c>
      <c r="H41" s="66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2" t="s">
        <v>69</v>
      </c>
      <c r="C42" s="63" t="s">
        <v>33</v>
      </c>
      <c r="D42" s="62"/>
      <c r="E42" s="64"/>
      <c r="F42" s="65">
        <v>1.2</v>
      </c>
      <c r="G42" s="65">
        <v>800</v>
      </c>
      <c r="H42" s="66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151</v>
      </c>
      <c r="C43" s="60" t="s">
        <v>29</v>
      </c>
      <c r="D43" s="62" t="s">
        <v>152</v>
      </c>
      <c r="E43" s="64">
        <v>4.2</v>
      </c>
      <c r="F43" s="65">
        <f>SUM(E43*12/1000)</f>
        <v>5.0400000000000007E-2</v>
      </c>
      <c r="G43" s="65">
        <v>270.61</v>
      </c>
      <c r="H43" s="66">
        <f t="shared" si="2"/>
        <v>1.3638744000000003E-2</v>
      </c>
      <c r="I43" s="13">
        <f t="shared" si="3"/>
        <v>2.2731240000000006</v>
      </c>
    </row>
    <row r="44" spans="1:9">
      <c r="A44" s="256" t="s">
        <v>164</v>
      </c>
      <c r="B44" s="257"/>
      <c r="C44" s="257"/>
      <c r="D44" s="257"/>
      <c r="E44" s="257"/>
      <c r="F44" s="257"/>
      <c r="G44" s="257"/>
      <c r="H44" s="257"/>
      <c r="I44" s="258"/>
    </row>
    <row r="45" spans="1:9" ht="18.75" customHeight="1">
      <c r="A45" s="29">
        <v>8</v>
      </c>
      <c r="B45" s="62" t="s">
        <v>114</v>
      </c>
      <c r="C45" s="63" t="s">
        <v>107</v>
      </c>
      <c r="D45" s="62" t="s">
        <v>190</v>
      </c>
      <c r="E45" s="64">
        <v>1603.6</v>
      </c>
      <c r="F45" s="65">
        <f>SUM(E45*2/1000)</f>
        <v>3.2071999999999998</v>
      </c>
      <c r="G45" s="13">
        <v>1158.7</v>
      </c>
      <c r="H45" s="66">
        <f t="shared" ref="H45:H53" si="4">SUM(F45*G45/1000)</f>
        <v>3.71618264</v>
      </c>
      <c r="I45" s="13">
        <f>F45/2*G45</f>
        <v>1858.09132</v>
      </c>
    </row>
    <row r="46" spans="1:9">
      <c r="A46" s="29">
        <v>9</v>
      </c>
      <c r="B46" s="62" t="s">
        <v>34</v>
      </c>
      <c r="C46" s="63" t="s">
        <v>107</v>
      </c>
      <c r="D46" s="62" t="s">
        <v>190</v>
      </c>
      <c r="E46" s="64">
        <v>65</v>
      </c>
      <c r="F46" s="65">
        <f>SUM(E46*2/1000)</f>
        <v>0.13</v>
      </c>
      <c r="G46" s="13">
        <v>790.38</v>
      </c>
      <c r="H46" s="66">
        <f t="shared" si="4"/>
        <v>0.1027494</v>
      </c>
      <c r="I46" s="13">
        <f>F46/2*G46</f>
        <v>51.374700000000004</v>
      </c>
    </row>
    <row r="47" spans="1:9">
      <c r="A47" s="29">
        <v>10</v>
      </c>
      <c r="B47" s="62" t="s">
        <v>35</v>
      </c>
      <c r="C47" s="63" t="s">
        <v>107</v>
      </c>
      <c r="D47" s="62" t="s">
        <v>190</v>
      </c>
      <c r="E47" s="64">
        <v>1825.8</v>
      </c>
      <c r="F47" s="65">
        <f>SUM(E47*2/1000)</f>
        <v>3.6515999999999997</v>
      </c>
      <c r="G47" s="13">
        <v>790.38</v>
      </c>
      <c r="H47" s="66">
        <f t="shared" si="4"/>
        <v>2.8861516079999996</v>
      </c>
      <c r="I47" s="13">
        <f t="shared" ref="I47:I52" si="5">F47/2*G47</f>
        <v>1443.0758039999998</v>
      </c>
    </row>
    <row r="48" spans="1:9" ht="21" customHeight="1">
      <c r="A48" s="29">
        <v>11</v>
      </c>
      <c r="B48" s="62" t="s">
        <v>36</v>
      </c>
      <c r="C48" s="63" t="s">
        <v>107</v>
      </c>
      <c r="D48" s="62" t="s">
        <v>190</v>
      </c>
      <c r="E48" s="64">
        <v>3163.96</v>
      </c>
      <c r="F48" s="65">
        <f>SUM(E48*2/1000)</f>
        <v>6.3279199999999998</v>
      </c>
      <c r="G48" s="13">
        <v>827.65</v>
      </c>
      <c r="H48" s="66">
        <f t="shared" si="4"/>
        <v>5.2373029879999997</v>
      </c>
      <c r="I48" s="13">
        <f t="shared" si="5"/>
        <v>2618.6514939999997</v>
      </c>
    </row>
    <row r="49" spans="1:9" ht="21" customHeight="1">
      <c r="A49" s="29">
        <v>12</v>
      </c>
      <c r="B49" s="62" t="s">
        <v>55</v>
      </c>
      <c r="C49" s="63" t="s">
        <v>107</v>
      </c>
      <c r="D49" s="62" t="s">
        <v>190</v>
      </c>
      <c r="E49" s="64">
        <v>5816.5</v>
      </c>
      <c r="F49" s="65">
        <f>SUM(E49*5/1000)</f>
        <v>29.0825</v>
      </c>
      <c r="G49" s="13">
        <v>1655.27</v>
      </c>
      <c r="H49" s="66">
        <f t="shared" si="4"/>
        <v>48.139389774999998</v>
      </c>
      <c r="I49" s="13">
        <f>F49/5*G49</f>
        <v>9627.8779549999999</v>
      </c>
    </row>
    <row r="50" spans="1:9" ht="32.25" customHeight="1">
      <c r="A50" s="29">
        <v>13</v>
      </c>
      <c r="B50" s="62" t="s">
        <v>115</v>
      </c>
      <c r="C50" s="63" t="s">
        <v>107</v>
      </c>
      <c r="D50" s="62" t="s">
        <v>190</v>
      </c>
      <c r="E50" s="64">
        <v>5816.5</v>
      </c>
      <c r="F50" s="65">
        <f>SUM(E50*2/1000)</f>
        <v>11.632999999999999</v>
      </c>
      <c r="G50" s="13">
        <v>1655.27</v>
      </c>
      <c r="H50" s="66">
        <f t="shared" si="4"/>
        <v>19.255755910000001</v>
      </c>
      <c r="I50" s="13">
        <f t="shared" si="5"/>
        <v>9627.8779549999999</v>
      </c>
    </row>
    <row r="51" spans="1:9" ht="30" customHeight="1">
      <c r="A51" s="29">
        <v>14</v>
      </c>
      <c r="B51" s="62" t="s">
        <v>116</v>
      </c>
      <c r="C51" s="63" t="s">
        <v>37</v>
      </c>
      <c r="D51" s="62" t="s">
        <v>190</v>
      </c>
      <c r="E51" s="64">
        <v>25</v>
      </c>
      <c r="F51" s="65">
        <f>SUM(E51*2/100)</f>
        <v>0.5</v>
      </c>
      <c r="G51" s="13">
        <v>3724.37</v>
      </c>
      <c r="H51" s="66">
        <f t="shared" si="4"/>
        <v>1.862185</v>
      </c>
      <c r="I51" s="13">
        <f t="shared" si="5"/>
        <v>931.09249999999997</v>
      </c>
    </row>
    <row r="52" spans="1:9" ht="18" customHeight="1">
      <c r="A52" s="29">
        <v>15</v>
      </c>
      <c r="B52" s="62" t="s">
        <v>38</v>
      </c>
      <c r="C52" s="63" t="s">
        <v>39</v>
      </c>
      <c r="D52" s="62" t="s">
        <v>190</v>
      </c>
      <c r="E52" s="64">
        <v>1</v>
      </c>
      <c r="F52" s="65">
        <v>0.02</v>
      </c>
      <c r="G52" s="13">
        <v>7709.44</v>
      </c>
      <c r="H52" s="66">
        <f t="shared" si="4"/>
        <v>0.15418879999999999</v>
      </c>
      <c r="I52" s="13">
        <f t="shared" si="5"/>
        <v>77.094399999999993</v>
      </c>
    </row>
    <row r="53" spans="1:9" ht="18" hidden="1" customHeight="1">
      <c r="A53" s="29">
        <v>24</v>
      </c>
      <c r="B53" s="62" t="s">
        <v>40</v>
      </c>
      <c r="C53" s="63" t="s">
        <v>30</v>
      </c>
      <c r="D53" s="212">
        <v>43965</v>
      </c>
      <c r="E53" s="64">
        <v>198</v>
      </c>
      <c r="F53" s="65">
        <f>SUM(E53)*3</f>
        <v>594</v>
      </c>
      <c r="G53" s="13">
        <v>89.59</v>
      </c>
      <c r="H53" s="66">
        <f t="shared" si="4"/>
        <v>53.216459999999998</v>
      </c>
      <c r="I53" s="13">
        <f>F53/3*G53</f>
        <v>17738.82</v>
      </c>
    </row>
    <row r="54" spans="1:9">
      <c r="A54" s="241" t="s">
        <v>132</v>
      </c>
      <c r="B54" s="242"/>
      <c r="C54" s="242"/>
      <c r="D54" s="242"/>
      <c r="E54" s="242"/>
      <c r="F54" s="242"/>
      <c r="G54" s="242"/>
      <c r="H54" s="242"/>
      <c r="I54" s="243"/>
    </row>
    <row r="55" spans="1:9" hidden="1">
      <c r="A55" s="29"/>
      <c r="B55" s="82" t="s">
        <v>42</v>
      </c>
      <c r="C55" s="63"/>
      <c r="D55" s="62"/>
      <c r="E55" s="64"/>
      <c r="F55" s="65"/>
      <c r="G55" s="65"/>
      <c r="H55" s="66"/>
      <c r="I55" s="13"/>
    </row>
    <row r="56" spans="1:9" ht="45" hidden="1">
      <c r="A56" s="29">
        <v>16</v>
      </c>
      <c r="B56" s="62" t="s">
        <v>118</v>
      </c>
      <c r="C56" s="63" t="s">
        <v>99</v>
      </c>
      <c r="D56" s="62" t="s">
        <v>71</v>
      </c>
      <c r="E56" s="64">
        <v>118.3</v>
      </c>
      <c r="F56" s="65">
        <f>E56*6/100</f>
        <v>7.0979999999999999</v>
      </c>
      <c r="G56" s="72">
        <v>2110.4699999999998</v>
      </c>
      <c r="H56" s="66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2" t="s">
        <v>153</v>
      </c>
      <c r="C57" s="63" t="s">
        <v>99</v>
      </c>
      <c r="D57" s="62" t="s">
        <v>71</v>
      </c>
      <c r="E57" s="71">
        <v>3.78</v>
      </c>
      <c r="F57" s="13">
        <f>E57*6/100</f>
        <v>0.2268</v>
      </c>
      <c r="G57" s="65">
        <v>2110.4699999999998</v>
      </c>
      <c r="H57" s="66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3" t="s">
        <v>94</v>
      </c>
      <c r="C58" s="63" t="s">
        <v>95</v>
      </c>
      <c r="D58" s="73" t="s">
        <v>41</v>
      </c>
      <c r="E58" s="74">
        <v>5</v>
      </c>
      <c r="F58" s="75">
        <v>10</v>
      </c>
      <c r="G58" s="72">
        <v>246.58</v>
      </c>
      <c r="H58" s="76">
        <v>0.99099999999999999</v>
      </c>
      <c r="I58" s="13">
        <f>F58/2*G58</f>
        <v>1232.9000000000001</v>
      </c>
    </row>
    <row r="59" spans="1:9" hidden="1">
      <c r="A59" s="29">
        <v>18</v>
      </c>
      <c r="B59" s="73" t="s">
        <v>154</v>
      </c>
      <c r="C59" s="77" t="s">
        <v>32</v>
      </c>
      <c r="D59" s="73" t="s">
        <v>65</v>
      </c>
      <c r="E59" s="74"/>
      <c r="F59" s="76">
        <v>5</v>
      </c>
      <c r="G59" s="96">
        <v>1645</v>
      </c>
      <c r="H59" s="76">
        <f>SUM(F59*G59/1000)</f>
        <v>8.2249999999999996</v>
      </c>
      <c r="I59" s="96">
        <v>0</v>
      </c>
    </row>
    <row r="60" spans="1:9" ht="17.25" customHeight="1">
      <c r="A60" s="29"/>
      <c r="B60" s="83" t="s">
        <v>43</v>
      </c>
      <c r="C60" s="77"/>
      <c r="D60" s="62"/>
      <c r="E60" s="64"/>
      <c r="F60" s="65"/>
      <c r="G60" s="65"/>
      <c r="H60" s="65"/>
      <c r="I60" s="119"/>
    </row>
    <row r="61" spans="1:9" ht="16.5" hidden="1" customHeight="1">
      <c r="A61" s="29"/>
      <c r="B61" s="73" t="s">
        <v>44</v>
      </c>
      <c r="C61" s="77" t="s">
        <v>52</v>
      </c>
      <c r="D61" s="62" t="s">
        <v>53</v>
      </c>
      <c r="E61" s="64">
        <v>352</v>
      </c>
      <c r="F61" s="65">
        <f>E61/100</f>
        <v>3.52</v>
      </c>
      <c r="G61" s="65">
        <v>1082.47</v>
      </c>
      <c r="H61" s="65">
        <f>G61*F61/1000</f>
        <v>3.8102944000000001</v>
      </c>
      <c r="I61" s="119">
        <v>0</v>
      </c>
    </row>
    <row r="62" spans="1:9">
      <c r="A62" s="29">
        <v>16</v>
      </c>
      <c r="B62" s="73" t="s">
        <v>90</v>
      </c>
      <c r="C62" s="77" t="s">
        <v>25</v>
      </c>
      <c r="D62" s="62" t="s">
        <v>190</v>
      </c>
      <c r="E62" s="64">
        <v>200</v>
      </c>
      <c r="F62" s="65">
        <f>E62*12</f>
        <v>2400</v>
      </c>
      <c r="G62" s="65">
        <v>1.4</v>
      </c>
      <c r="H62" s="65">
        <f>G62*F62/1000</f>
        <v>3.36</v>
      </c>
      <c r="I62" s="13">
        <f>F62/12*G62</f>
        <v>280</v>
      </c>
    </row>
    <row r="63" spans="1:9" ht="18" customHeight="1">
      <c r="A63" s="29"/>
      <c r="B63" s="83" t="s">
        <v>45</v>
      </c>
      <c r="C63" s="77"/>
      <c r="D63" s="116"/>
      <c r="E63" s="67"/>
      <c r="F63" s="111"/>
      <c r="G63" s="111"/>
      <c r="H63" s="117" t="s">
        <v>124</v>
      </c>
      <c r="I63" s="118"/>
    </row>
    <row r="64" spans="1:9" ht="19.5" hidden="1" customHeight="1">
      <c r="A64" s="29">
        <v>26</v>
      </c>
      <c r="B64" s="14" t="s">
        <v>46</v>
      </c>
      <c r="C64" s="16" t="s">
        <v>117</v>
      </c>
      <c r="D64" s="14" t="s">
        <v>190</v>
      </c>
      <c r="E64" s="18">
        <v>14</v>
      </c>
      <c r="F64" s="13">
        <f>SUM(E64)</f>
        <v>14</v>
      </c>
      <c r="G64" s="13">
        <v>303.35000000000002</v>
      </c>
      <c r="H64" s="61">
        <f t="shared" ref="H64:H83" si="6">SUM(F64*G64/1000)</f>
        <v>4.2469000000000001</v>
      </c>
      <c r="I64" s="13">
        <f>G64*1</f>
        <v>303.35000000000002</v>
      </c>
    </row>
    <row r="65" spans="1:9" ht="20.25" hidden="1" customHeight="1">
      <c r="A65" s="29"/>
      <c r="B65" s="14" t="s">
        <v>47</v>
      </c>
      <c r="C65" s="16" t="s">
        <v>117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1">
        <f t="shared" si="6"/>
        <v>0.72806999999999999</v>
      </c>
      <c r="I65" s="13">
        <v>0</v>
      </c>
    </row>
    <row r="66" spans="1:9" hidden="1">
      <c r="A66" s="29">
        <v>28</v>
      </c>
      <c r="B66" s="14" t="s">
        <v>48</v>
      </c>
      <c r="C66" s="16" t="s">
        <v>119</v>
      </c>
      <c r="D66" s="14" t="s">
        <v>53</v>
      </c>
      <c r="E66" s="64">
        <v>23808</v>
      </c>
      <c r="F66" s="13">
        <f>SUM(E66/100)</f>
        <v>238.08</v>
      </c>
      <c r="G66" s="13">
        <v>289.37</v>
      </c>
      <c r="H66" s="61">
        <f t="shared" si="6"/>
        <v>68.893209600000006</v>
      </c>
      <c r="I66" s="13">
        <f t="shared" ref="I66:I71" si="7">F66*G66</f>
        <v>68893.209600000002</v>
      </c>
    </row>
    <row r="67" spans="1:9" ht="20.25" hidden="1" customHeight="1">
      <c r="A67" s="29">
        <v>29</v>
      </c>
      <c r="B67" s="14" t="s">
        <v>49</v>
      </c>
      <c r="C67" s="16" t="s">
        <v>120</v>
      </c>
      <c r="D67" s="14"/>
      <c r="E67" s="64">
        <v>23808</v>
      </c>
      <c r="F67" s="13">
        <f>SUM(E67/1000)</f>
        <v>23.808</v>
      </c>
      <c r="G67" s="13">
        <v>225.35</v>
      </c>
      <c r="H67" s="61">
        <f t="shared" si="6"/>
        <v>5.3651327999999996</v>
      </c>
      <c r="I67" s="13">
        <f t="shared" si="7"/>
        <v>5365.1327999999994</v>
      </c>
    </row>
    <row r="68" spans="1:9" ht="18.75" hidden="1" customHeight="1">
      <c r="A68" s="29">
        <v>30</v>
      </c>
      <c r="B68" s="14" t="s">
        <v>50</v>
      </c>
      <c r="C68" s="16" t="s">
        <v>76</v>
      </c>
      <c r="D68" s="14" t="s">
        <v>53</v>
      </c>
      <c r="E68" s="64">
        <v>3810</v>
      </c>
      <c r="F68" s="13">
        <f>SUM(E68/100)</f>
        <v>38.1</v>
      </c>
      <c r="G68" s="13">
        <v>2829.78</v>
      </c>
      <c r="H68" s="61">
        <f t="shared" si="6"/>
        <v>107.81461800000001</v>
      </c>
      <c r="I68" s="13">
        <f t="shared" si="7"/>
        <v>107814.61800000002</v>
      </c>
    </row>
    <row r="69" spans="1:9" ht="17.25" hidden="1" customHeight="1">
      <c r="A69" s="29">
        <v>31</v>
      </c>
      <c r="B69" s="79" t="s">
        <v>121</v>
      </c>
      <c r="C69" s="16" t="s">
        <v>33</v>
      </c>
      <c r="D69" s="14"/>
      <c r="E69" s="64">
        <v>12.8</v>
      </c>
      <c r="F69" s="13">
        <f>SUM(E69)</f>
        <v>12.8</v>
      </c>
      <c r="G69" s="13">
        <v>44.31</v>
      </c>
      <c r="H69" s="61">
        <f t="shared" si="6"/>
        <v>0.56716800000000001</v>
      </c>
      <c r="I69" s="13">
        <f t="shared" si="7"/>
        <v>567.16800000000001</v>
      </c>
    </row>
    <row r="70" spans="1:9" ht="20.25" hidden="1" customHeight="1">
      <c r="A70" s="29">
        <v>32</v>
      </c>
      <c r="B70" s="79" t="s">
        <v>130</v>
      </c>
      <c r="C70" s="16" t="s">
        <v>33</v>
      </c>
      <c r="D70" s="14"/>
      <c r="E70" s="64">
        <v>12.8</v>
      </c>
      <c r="F70" s="13">
        <f>SUM(E70)</f>
        <v>12.8</v>
      </c>
      <c r="G70" s="13">
        <v>47.79</v>
      </c>
      <c r="H70" s="61">
        <f t="shared" si="6"/>
        <v>0.61171200000000003</v>
      </c>
      <c r="I70" s="13">
        <f t="shared" si="7"/>
        <v>611.71199999999999</v>
      </c>
    </row>
    <row r="71" spans="1:9" ht="15.7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5">
        <f>SUM(E71)</f>
        <v>6</v>
      </c>
      <c r="G71" s="13">
        <v>68.040000000000006</v>
      </c>
      <c r="H71" s="61">
        <f t="shared" si="6"/>
        <v>0.40823999999999999</v>
      </c>
      <c r="I71" s="13">
        <f t="shared" si="7"/>
        <v>408.24</v>
      </c>
    </row>
    <row r="72" spans="1:9" ht="33.75" customHeight="1">
      <c r="A72" s="29">
        <v>17</v>
      </c>
      <c r="B72" s="79" t="s">
        <v>155</v>
      </c>
      <c r="C72" s="16"/>
      <c r="D72" s="14" t="s">
        <v>191</v>
      </c>
      <c r="E72" s="18">
        <v>1</v>
      </c>
      <c r="F72" s="13">
        <v>12</v>
      </c>
      <c r="G72" s="13">
        <v>1194</v>
      </c>
      <c r="H72" s="61">
        <f t="shared" si="6"/>
        <v>14.327999999999999</v>
      </c>
      <c r="I72" s="13">
        <f>F72/12*G72</f>
        <v>1194</v>
      </c>
    </row>
    <row r="73" spans="1:9" ht="18" customHeight="1">
      <c r="A73" s="29"/>
      <c r="B73" s="126" t="s">
        <v>156</v>
      </c>
      <c r="C73" s="16"/>
      <c r="D73" s="14"/>
      <c r="E73" s="18"/>
      <c r="F73" s="55"/>
      <c r="G73" s="13"/>
      <c r="H73" s="61"/>
      <c r="I73" s="13"/>
    </row>
    <row r="74" spans="1:9" ht="33.75" customHeight="1">
      <c r="A74" s="29">
        <v>18</v>
      </c>
      <c r="B74" s="14" t="s">
        <v>157</v>
      </c>
      <c r="C74" s="29" t="s">
        <v>158</v>
      </c>
      <c r="D74" s="14"/>
      <c r="E74" s="18">
        <v>5816.5</v>
      </c>
      <c r="F74" s="65">
        <f>SUM(E74)*12</f>
        <v>69798</v>
      </c>
      <c r="G74" s="13">
        <v>2.37</v>
      </c>
      <c r="H74" s="61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19</v>
      </c>
      <c r="B75" s="46" t="s">
        <v>159</v>
      </c>
      <c r="C75" s="60" t="s">
        <v>117</v>
      </c>
      <c r="D75" s="14" t="s">
        <v>191</v>
      </c>
      <c r="E75" s="113">
        <v>1</v>
      </c>
      <c r="F75" s="75">
        <f>E75*12</f>
        <v>12</v>
      </c>
      <c r="G75" s="96">
        <v>55.55</v>
      </c>
      <c r="H75" s="61">
        <f>SUM(F75*G75/1000)</f>
        <v>0.66659999999999986</v>
      </c>
      <c r="I75" s="13">
        <f>F75/12*G75</f>
        <v>55.55</v>
      </c>
    </row>
    <row r="76" spans="1:9" hidden="1">
      <c r="A76" s="105"/>
      <c r="B76" s="126" t="s">
        <v>72</v>
      </c>
      <c r="C76" s="16"/>
      <c r="D76" s="14"/>
      <c r="E76" s="18"/>
      <c r="F76" s="13"/>
      <c r="G76" s="13"/>
      <c r="H76" s="61" t="s">
        <v>124</v>
      </c>
      <c r="I76" s="106"/>
    </row>
    <row r="77" spans="1:9" ht="30" hidden="1">
      <c r="A77" s="105"/>
      <c r="B77" s="14" t="s">
        <v>160</v>
      </c>
      <c r="C77" s="16" t="s">
        <v>30</v>
      </c>
      <c r="D77" s="14" t="s">
        <v>65</v>
      </c>
      <c r="E77" s="18">
        <v>2</v>
      </c>
      <c r="F77" s="65">
        <f>E77</f>
        <v>2</v>
      </c>
      <c r="G77" s="13">
        <v>2112.2800000000002</v>
      </c>
      <c r="H77" s="61">
        <f>G77*F77/1000</f>
        <v>4.2245600000000003</v>
      </c>
      <c r="I77" s="106">
        <v>0</v>
      </c>
    </row>
    <row r="78" spans="1:9" hidden="1">
      <c r="A78" s="105"/>
      <c r="B78" s="46" t="s">
        <v>161</v>
      </c>
      <c r="C78" s="60" t="s">
        <v>117</v>
      </c>
      <c r="D78" s="14" t="s">
        <v>65</v>
      </c>
      <c r="E78" s="18">
        <v>5</v>
      </c>
      <c r="F78" s="13">
        <v>5</v>
      </c>
      <c r="G78" s="13">
        <v>136.19999999999999</v>
      </c>
      <c r="H78" s="61">
        <f>SUM(F78*G78/1000)</f>
        <v>0.68100000000000005</v>
      </c>
      <c r="I78" s="106">
        <v>0</v>
      </c>
    </row>
    <row r="79" spans="1:9" hidden="1">
      <c r="A79" s="105"/>
      <c r="B79" s="14" t="s">
        <v>73</v>
      </c>
      <c r="C79" s="16" t="s">
        <v>162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1">
        <f>SUM(F79*G79/1000)</f>
        <v>0.41051399999999999</v>
      </c>
      <c r="I79" s="106">
        <v>0</v>
      </c>
    </row>
    <row r="80" spans="1:9" hidden="1">
      <c r="A80" s="105"/>
      <c r="B80" s="14" t="s">
        <v>74</v>
      </c>
      <c r="C80" s="16" t="s">
        <v>30</v>
      </c>
      <c r="D80" s="14" t="s">
        <v>65</v>
      </c>
      <c r="E80" s="18">
        <v>1</v>
      </c>
      <c r="F80" s="55">
        <v>1</v>
      </c>
      <c r="G80" s="13">
        <v>1163.47</v>
      </c>
      <c r="H80" s="61">
        <f>SUM(F80*G80/1000)</f>
        <v>1.16347</v>
      </c>
      <c r="I80" s="106">
        <v>0</v>
      </c>
    </row>
    <row r="81" spans="1:9" hidden="1">
      <c r="A81" s="105"/>
      <c r="B81" s="46" t="s">
        <v>163</v>
      </c>
      <c r="C81" s="60" t="s">
        <v>117</v>
      </c>
      <c r="D81" s="14" t="s">
        <v>65</v>
      </c>
      <c r="E81" s="18">
        <v>1</v>
      </c>
      <c r="F81" s="65">
        <f>E81</f>
        <v>1</v>
      </c>
      <c r="G81" s="13">
        <v>1670.07</v>
      </c>
      <c r="H81" s="61">
        <f>SUM(F81*G81/1000)</f>
        <v>1.6700699999999999</v>
      </c>
      <c r="I81" s="106">
        <v>0</v>
      </c>
    </row>
    <row r="82" spans="1:9" hidden="1">
      <c r="A82" s="105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06"/>
    </row>
    <row r="83" spans="1:9" hidden="1">
      <c r="A83" s="105"/>
      <c r="B83" s="42" t="s">
        <v>125</v>
      </c>
      <c r="C83" s="16" t="s">
        <v>76</v>
      </c>
      <c r="D83" s="14"/>
      <c r="E83" s="18"/>
      <c r="F83" s="13">
        <v>0.6</v>
      </c>
      <c r="G83" s="13">
        <v>4144.28</v>
      </c>
      <c r="H83" s="61">
        <f t="shared" si="6"/>
        <v>2.4865679999999997</v>
      </c>
      <c r="I83" s="106">
        <v>0</v>
      </c>
    </row>
    <row r="84" spans="1:9" ht="28.5" hidden="1">
      <c r="A84" s="105"/>
      <c r="B84" s="126" t="s">
        <v>122</v>
      </c>
      <c r="C84" s="80"/>
      <c r="D84" s="112"/>
      <c r="E84" s="31"/>
      <c r="F84" s="114"/>
      <c r="G84" s="114"/>
      <c r="H84" s="115">
        <f>SUM(H56:H83)</f>
        <v>411.53215745600005</v>
      </c>
      <c r="I84" s="106"/>
    </row>
    <row r="85" spans="1:9" hidden="1">
      <c r="A85" s="105"/>
      <c r="B85" s="62" t="s">
        <v>123</v>
      </c>
      <c r="C85" s="16"/>
      <c r="D85" s="14"/>
      <c r="E85" s="56"/>
      <c r="F85" s="13">
        <v>1</v>
      </c>
      <c r="G85" s="13">
        <v>24117.599999999999</v>
      </c>
      <c r="H85" s="61">
        <f>G85*F85/1000</f>
        <v>24.117599999999999</v>
      </c>
      <c r="I85" s="106">
        <v>0</v>
      </c>
    </row>
    <row r="86" spans="1:9">
      <c r="A86" s="230" t="s">
        <v>133</v>
      </c>
      <c r="B86" s="231"/>
      <c r="C86" s="231"/>
      <c r="D86" s="231"/>
      <c r="E86" s="231"/>
      <c r="F86" s="231"/>
      <c r="G86" s="231"/>
      <c r="H86" s="231"/>
      <c r="I86" s="232"/>
    </row>
    <row r="87" spans="1:9" ht="16.5" customHeight="1">
      <c r="A87" s="105">
        <v>20</v>
      </c>
      <c r="B87" s="62" t="s">
        <v>126</v>
      </c>
      <c r="C87" s="16" t="s">
        <v>54</v>
      </c>
      <c r="D87" s="81"/>
      <c r="E87" s="13">
        <v>5816.5</v>
      </c>
      <c r="F87" s="13">
        <f>SUM(E87*12)</f>
        <v>69798</v>
      </c>
      <c r="G87" s="13">
        <v>3.22</v>
      </c>
      <c r="H87" s="61">
        <f>SUM(F87*G87/1000)</f>
        <v>224.74956000000003</v>
      </c>
      <c r="I87" s="13">
        <f>F87/12*G87</f>
        <v>18729.13</v>
      </c>
    </row>
    <row r="88" spans="1:9" ht="36.75" customHeight="1">
      <c r="A88" s="29">
        <v>21</v>
      </c>
      <c r="B88" s="14" t="s">
        <v>77</v>
      </c>
      <c r="C88" s="16"/>
      <c r="D88" s="81"/>
      <c r="E88" s="64">
        <f>E87</f>
        <v>5816.5</v>
      </c>
      <c r="F88" s="13">
        <f>E88*12</f>
        <v>69798</v>
      </c>
      <c r="G88" s="13">
        <v>3.64</v>
      </c>
      <c r="H88" s="61">
        <f>F88*G88/1000</f>
        <v>254.06471999999999</v>
      </c>
      <c r="I88" s="13">
        <f>F88/12*G88</f>
        <v>21172.06</v>
      </c>
    </row>
    <row r="89" spans="1:9">
      <c r="A89" s="124"/>
      <c r="B89" s="34" t="s">
        <v>79</v>
      </c>
      <c r="C89" s="35"/>
      <c r="D89" s="15"/>
      <c r="E89" s="15"/>
      <c r="F89" s="15"/>
      <c r="G89" s="18"/>
      <c r="H89" s="18"/>
      <c r="I89" s="31">
        <f>I88+I87+I75+I74+I72+I62+I52+I51+I50+I49+I48+I47+I46+I45+I32+I31+I30+I29+I18+I17+I16</f>
        <v>120275.846477</v>
      </c>
    </row>
    <row r="90" spans="1:9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9" ht="14.25" customHeight="1">
      <c r="A91" s="29">
        <v>22</v>
      </c>
      <c r="B91" s="48" t="s">
        <v>138</v>
      </c>
      <c r="C91" s="86" t="s">
        <v>82</v>
      </c>
      <c r="D91" s="87" t="s">
        <v>287</v>
      </c>
      <c r="E91" s="33"/>
      <c r="F91" s="33">
        <v>4</v>
      </c>
      <c r="G91" s="33">
        <v>231.54</v>
      </c>
      <c r="H91" s="85"/>
      <c r="I91" s="47">
        <v>0</v>
      </c>
    </row>
    <row r="92" spans="1:9" ht="30">
      <c r="A92" s="29">
        <v>23</v>
      </c>
      <c r="B92" s="48" t="s">
        <v>283</v>
      </c>
      <c r="C92" s="86" t="s">
        <v>29</v>
      </c>
      <c r="D92" s="87"/>
      <c r="E92" s="33"/>
      <c r="F92" s="33">
        <v>4.4320000000000004</v>
      </c>
      <c r="G92" s="33">
        <v>241.69</v>
      </c>
      <c r="H92" s="85"/>
      <c r="I92" s="47">
        <f>G92*4.432</f>
        <v>1071.1700800000001</v>
      </c>
    </row>
    <row r="93" spans="1:9">
      <c r="A93" s="29">
        <v>24</v>
      </c>
      <c r="B93" s="48" t="s">
        <v>284</v>
      </c>
      <c r="C93" s="86" t="s">
        <v>30</v>
      </c>
      <c r="D93" s="87" t="s">
        <v>286</v>
      </c>
      <c r="E93" s="33"/>
      <c r="F93" s="33">
        <v>2</v>
      </c>
      <c r="G93" s="33">
        <v>1280</v>
      </c>
      <c r="H93" s="85"/>
      <c r="I93" s="47">
        <f>G93*2</f>
        <v>2560</v>
      </c>
    </row>
    <row r="94" spans="1:9">
      <c r="A94" s="29">
        <v>25</v>
      </c>
      <c r="B94" s="48" t="s">
        <v>148</v>
      </c>
      <c r="C94" s="86" t="s">
        <v>166</v>
      </c>
      <c r="D94" s="87" t="s">
        <v>215</v>
      </c>
      <c r="E94" s="33"/>
      <c r="F94" s="33">
        <v>25</v>
      </c>
      <c r="G94" s="33">
        <v>295.36</v>
      </c>
      <c r="H94" s="85"/>
      <c r="I94" s="47">
        <v>0</v>
      </c>
    </row>
    <row r="95" spans="1:9">
      <c r="A95" s="29">
        <v>26</v>
      </c>
      <c r="B95" s="48" t="s">
        <v>285</v>
      </c>
      <c r="C95" s="86" t="s">
        <v>207</v>
      </c>
      <c r="D95" s="87"/>
      <c r="E95" s="33"/>
      <c r="F95" s="33">
        <v>1</v>
      </c>
      <c r="G95" s="33">
        <v>236.08</v>
      </c>
      <c r="H95" s="85"/>
      <c r="I95" s="47">
        <f>G95*1</f>
        <v>236.08</v>
      </c>
    </row>
    <row r="96" spans="1:9">
      <c r="A96" s="29">
        <v>27</v>
      </c>
      <c r="B96" s="48" t="s">
        <v>80</v>
      </c>
      <c r="C96" s="86" t="s">
        <v>117</v>
      </c>
      <c r="D96" s="87"/>
      <c r="E96" s="33"/>
      <c r="F96" s="33">
        <v>3</v>
      </c>
      <c r="G96" s="33">
        <v>224.48</v>
      </c>
      <c r="H96" s="85"/>
      <c r="I96" s="47">
        <f>G96*2</f>
        <v>448.96</v>
      </c>
    </row>
    <row r="97" spans="1:9">
      <c r="A97" s="29">
        <v>28</v>
      </c>
      <c r="B97" s="48" t="s">
        <v>195</v>
      </c>
      <c r="C97" s="86" t="s">
        <v>39</v>
      </c>
      <c r="D97" s="87" t="s">
        <v>190</v>
      </c>
      <c r="E97" s="33"/>
      <c r="F97" s="33">
        <v>0.02</v>
      </c>
      <c r="G97" s="33">
        <v>28224.75</v>
      </c>
      <c r="H97" s="85"/>
      <c r="I97" s="47">
        <v>0</v>
      </c>
    </row>
    <row r="98" spans="1:9">
      <c r="A98" s="29"/>
      <c r="B98" s="40" t="s">
        <v>51</v>
      </c>
      <c r="C98" s="36"/>
      <c r="D98" s="44"/>
      <c r="E98" s="36">
        <v>1</v>
      </c>
      <c r="F98" s="36"/>
      <c r="G98" s="36"/>
      <c r="H98" s="36"/>
      <c r="I98" s="31">
        <f>SUM(I91:I97)</f>
        <v>4316.2100799999998</v>
      </c>
    </row>
    <row r="99" spans="1:9">
      <c r="A99" s="29"/>
      <c r="B99" s="42" t="s">
        <v>78</v>
      </c>
      <c r="C99" s="15"/>
      <c r="D99" s="15"/>
      <c r="E99" s="37"/>
      <c r="F99" s="37"/>
      <c r="G99" s="38"/>
      <c r="H99" s="38"/>
      <c r="I99" s="17">
        <v>0</v>
      </c>
    </row>
    <row r="100" spans="1:9">
      <c r="A100" s="45"/>
      <c r="B100" s="41" t="s">
        <v>147</v>
      </c>
      <c r="C100" s="32"/>
      <c r="D100" s="32"/>
      <c r="E100" s="32"/>
      <c r="F100" s="32"/>
      <c r="G100" s="32"/>
      <c r="H100" s="32"/>
      <c r="I100" s="39">
        <f>I89+I98</f>
        <v>124592.056557</v>
      </c>
    </row>
    <row r="101" spans="1:9" ht="15.75">
      <c r="A101" s="247" t="s">
        <v>288</v>
      </c>
      <c r="B101" s="247"/>
      <c r="C101" s="247"/>
      <c r="D101" s="247"/>
      <c r="E101" s="247"/>
      <c r="F101" s="247"/>
      <c r="G101" s="247"/>
      <c r="H101" s="247"/>
      <c r="I101" s="247"/>
    </row>
    <row r="102" spans="1:9" ht="15.75">
      <c r="A102" s="54"/>
      <c r="B102" s="248" t="s">
        <v>289</v>
      </c>
      <c r="C102" s="248"/>
      <c r="D102" s="248"/>
      <c r="E102" s="248"/>
      <c r="F102" s="248"/>
      <c r="G102" s="248"/>
      <c r="H102" s="59"/>
      <c r="I102" s="3"/>
    </row>
    <row r="103" spans="1:9">
      <c r="A103" s="122"/>
      <c r="B103" s="249" t="s">
        <v>6</v>
      </c>
      <c r="C103" s="249"/>
      <c r="D103" s="249"/>
      <c r="E103" s="249"/>
      <c r="F103" s="249"/>
      <c r="G103" s="249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50" t="s">
        <v>7</v>
      </c>
      <c r="B105" s="250"/>
      <c r="C105" s="250"/>
      <c r="D105" s="250"/>
      <c r="E105" s="250"/>
      <c r="F105" s="250"/>
      <c r="G105" s="250"/>
      <c r="H105" s="250"/>
      <c r="I105" s="250"/>
    </row>
    <row r="106" spans="1:9" ht="15.75">
      <c r="A106" s="250" t="s">
        <v>8</v>
      </c>
      <c r="B106" s="250"/>
      <c r="C106" s="250"/>
      <c r="D106" s="250"/>
      <c r="E106" s="250"/>
      <c r="F106" s="250"/>
      <c r="G106" s="250"/>
      <c r="H106" s="250"/>
      <c r="I106" s="250"/>
    </row>
    <row r="107" spans="1:9" ht="15.75">
      <c r="A107" s="239" t="s">
        <v>60</v>
      </c>
      <c r="B107" s="239"/>
      <c r="C107" s="239"/>
      <c r="D107" s="239"/>
      <c r="E107" s="239"/>
      <c r="F107" s="239"/>
      <c r="G107" s="239"/>
      <c r="H107" s="239"/>
      <c r="I107" s="239"/>
    </row>
    <row r="108" spans="1:9" ht="15.75">
      <c r="A108" s="11"/>
    </row>
    <row r="109" spans="1:9" ht="15.75">
      <c r="A109" s="252" t="s">
        <v>9</v>
      </c>
      <c r="B109" s="252"/>
      <c r="C109" s="252"/>
      <c r="D109" s="252"/>
      <c r="E109" s="252"/>
      <c r="F109" s="252"/>
      <c r="G109" s="252"/>
      <c r="H109" s="252"/>
      <c r="I109" s="252"/>
    </row>
    <row r="110" spans="1:9" ht="15.75">
      <c r="A110" s="4"/>
    </row>
    <row r="111" spans="1:9" ht="15.75">
      <c r="B111" s="123" t="s">
        <v>10</v>
      </c>
      <c r="C111" s="253" t="s">
        <v>209</v>
      </c>
      <c r="D111" s="253"/>
      <c r="E111" s="253"/>
      <c r="F111" s="57"/>
      <c r="I111" s="121"/>
    </row>
    <row r="112" spans="1:9">
      <c r="A112" s="122"/>
      <c r="C112" s="249" t="s">
        <v>11</v>
      </c>
      <c r="D112" s="249"/>
      <c r="E112" s="249"/>
      <c r="F112" s="24"/>
      <c r="I112" s="120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123" t="s">
        <v>13</v>
      </c>
      <c r="C114" s="254"/>
      <c r="D114" s="254"/>
      <c r="E114" s="254"/>
      <c r="F114" s="58"/>
      <c r="I114" s="121"/>
    </row>
    <row r="115" spans="1:9">
      <c r="A115" s="122"/>
      <c r="C115" s="229" t="s">
        <v>11</v>
      </c>
      <c r="D115" s="229"/>
      <c r="E115" s="229"/>
      <c r="F115" s="122"/>
      <c r="I115" s="120" t="s">
        <v>12</v>
      </c>
    </row>
    <row r="116" spans="1:9" ht="15.75">
      <c r="A116" s="4" t="s">
        <v>14</v>
      </c>
    </row>
    <row r="117" spans="1:9">
      <c r="A117" s="255" t="s">
        <v>15</v>
      </c>
      <c r="B117" s="255"/>
      <c r="C117" s="255"/>
      <c r="D117" s="255"/>
      <c r="E117" s="255"/>
      <c r="F117" s="255"/>
      <c r="G117" s="255"/>
      <c r="H117" s="255"/>
      <c r="I117" s="255"/>
    </row>
    <row r="118" spans="1:9" ht="34.5" customHeight="1">
      <c r="A118" s="251" t="s">
        <v>16</v>
      </c>
      <c r="B118" s="251"/>
      <c r="C118" s="251"/>
      <c r="D118" s="251"/>
      <c r="E118" s="251"/>
      <c r="F118" s="251"/>
      <c r="G118" s="251"/>
      <c r="H118" s="251"/>
      <c r="I118" s="251"/>
    </row>
    <row r="119" spans="1:9" ht="36.75" customHeight="1">
      <c r="A119" s="251" t="s">
        <v>17</v>
      </c>
      <c r="B119" s="251"/>
      <c r="C119" s="251"/>
      <c r="D119" s="251"/>
      <c r="E119" s="251"/>
      <c r="F119" s="251"/>
      <c r="G119" s="251"/>
      <c r="H119" s="251"/>
      <c r="I119" s="251"/>
    </row>
    <row r="120" spans="1:9" ht="38.25" customHeight="1">
      <c r="A120" s="251" t="s">
        <v>21</v>
      </c>
      <c r="B120" s="251"/>
      <c r="C120" s="251"/>
      <c r="D120" s="251"/>
      <c r="E120" s="251"/>
      <c r="F120" s="251"/>
      <c r="G120" s="251"/>
      <c r="H120" s="251"/>
      <c r="I120" s="251"/>
    </row>
    <row r="121" spans="1:9" ht="27.75" customHeight="1">
      <c r="A121" s="251" t="s">
        <v>20</v>
      </c>
      <c r="B121" s="251"/>
      <c r="C121" s="251"/>
      <c r="D121" s="251"/>
      <c r="E121" s="251"/>
      <c r="F121" s="251"/>
      <c r="G121" s="251"/>
      <c r="H121" s="251"/>
      <c r="I121" s="251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4:I44"/>
    <mergeCell ref="A54:I54"/>
    <mergeCell ref="A86:I86"/>
    <mergeCell ref="A90:I90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4"/>
  <sheetViews>
    <sheetView topLeftCell="A87" workbookViewId="0">
      <selection activeCell="A100" sqref="A100"/>
    </sheetView>
  </sheetViews>
  <sheetFormatPr defaultRowHeight="15"/>
  <cols>
    <col min="1" max="1" width="12.5703125" customWidth="1"/>
    <col min="2" max="2" width="48.7109375" customWidth="1"/>
    <col min="3" max="3" width="18.5703125" customWidth="1"/>
    <col min="4" max="4" width="18.42578125" customWidth="1"/>
    <col min="5" max="6" width="0" hidden="1" customWidth="1"/>
    <col min="7" max="7" width="18" customWidth="1"/>
    <col min="8" max="8" width="0" hidden="1" customWidth="1"/>
    <col min="9" max="9" width="17.710937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169</v>
      </c>
      <c r="B3" s="233"/>
      <c r="C3" s="233"/>
      <c r="D3" s="233"/>
      <c r="E3" s="233"/>
      <c r="F3" s="233"/>
      <c r="G3" s="233"/>
      <c r="H3" s="233"/>
      <c r="I3" s="233"/>
    </row>
    <row r="4" spans="1:9" ht="30.7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292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28"/>
      <c r="C6" s="128"/>
      <c r="D6" s="128"/>
      <c r="E6" s="128"/>
      <c r="F6" s="128"/>
      <c r="G6" s="128"/>
      <c r="H6" s="128"/>
      <c r="I6" s="134">
        <v>44377</v>
      </c>
    </row>
    <row r="7" spans="1:9" ht="15.75">
      <c r="B7" s="130"/>
      <c r="C7" s="130"/>
      <c r="D7" s="130"/>
      <c r="E7" s="3"/>
      <c r="F7" s="3"/>
      <c r="G7" s="3"/>
      <c r="H7" s="3"/>
    </row>
    <row r="8" spans="1:9" ht="78.7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5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4.2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>
      <c r="A19" s="29">
        <v>4</v>
      </c>
      <c r="B19" s="62" t="s">
        <v>100</v>
      </c>
      <c r="C19" s="63" t="s">
        <v>101</v>
      </c>
      <c r="D19" s="62" t="s">
        <v>197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f>F19*G19</f>
        <v>668.44799999999998</v>
      </c>
    </row>
    <row r="20" spans="1:9" hidden="1">
      <c r="A20" s="29">
        <v>5</v>
      </c>
      <c r="B20" s="62" t="s">
        <v>92</v>
      </c>
      <c r="C20" s="63" t="s">
        <v>99</v>
      </c>
      <c r="D20" s="62" t="s">
        <v>190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F20/2*G20</f>
        <v>52.008249999999997</v>
      </c>
    </row>
    <row r="21" spans="1:9" hidden="1">
      <c r="A21" s="29">
        <v>6</v>
      </c>
      <c r="B21" s="62" t="s">
        <v>93</v>
      </c>
      <c r="C21" s="63" t="s">
        <v>99</v>
      </c>
      <c r="D21" s="73" t="s">
        <v>190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F21/2*G21</f>
        <v>17.509931999999999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191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198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199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200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f>F25*G25</f>
        <v>75.512331000000003</v>
      </c>
    </row>
    <row r="26" spans="1:9" ht="16.5" hidden="1" customHeight="1">
      <c r="A26" s="29">
        <v>11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t="16.5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8" customHeight="1">
      <c r="A29" s="29">
        <v>5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 t="shared" ref="H29:H34" si="1">SUM(F29*G29/1000)</f>
        <v>3.9495100528000009</v>
      </c>
      <c r="I29" s="13">
        <f>F29/6*G29</f>
        <v>658.25167546666682</v>
      </c>
    </row>
    <row r="30" spans="1:9" ht="33.75" customHeight="1">
      <c r="A30" s="29">
        <v>6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 t="shared" si="1"/>
        <v>1.4716320896000001</v>
      </c>
      <c r="I31" s="13">
        <f>F31*G31</f>
        <v>1471.6320896000002</v>
      </c>
    </row>
    <row r="32" spans="1:9" ht="21" customHeight="1">
      <c r="A32" s="29">
        <v>7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 t="shared" si="1"/>
        <v>0.52190000000000003</v>
      </c>
      <c r="I33" s="13">
        <v>0</v>
      </c>
    </row>
    <row r="34" spans="1:9" hidden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 t="shared" si="1"/>
        <v>1.54992</v>
      </c>
      <c r="I34" s="13">
        <v>0</v>
      </c>
    </row>
    <row r="35" spans="1:9" hidden="1">
      <c r="A35" s="29"/>
      <c r="B35" s="82" t="s">
        <v>5</v>
      </c>
      <c r="C35" s="63"/>
      <c r="D35" s="62"/>
      <c r="E35" s="64"/>
      <c r="F35" s="65"/>
      <c r="G35" s="65"/>
      <c r="H35" s="66" t="s">
        <v>124</v>
      </c>
      <c r="I35" s="13"/>
    </row>
    <row r="36" spans="1:9" hidden="1">
      <c r="A36" s="29">
        <v>6</v>
      </c>
      <c r="B36" s="62" t="s">
        <v>26</v>
      </c>
      <c r="C36" s="63" t="s">
        <v>32</v>
      </c>
      <c r="D36" s="62"/>
      <c r="E36" s="64"/>
      <c r="F36" s="65">
        <v>5</v>
      </c>
      <c r="G36" s="65">
        <v>2083</v>
      </c>
      <c r="H36" s="66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2" t="s">
        <v>66</v>
      </c>
      <c r="C37" s="63" t="s">
        <v>29</v>
      </c>
      <c r="D37" s="62" t="s">
        <v>111</v>
      </c>
      <c r="E37" s="65">
        <v>469.73</v>
      </c>
      <c r="F37" s="65">
        <f>SUM(E37*30/1000)</f>
        <v>14.091900000000001</v>
      </c>
      <c r="G37" s="65">
        <v>2868.09</v>
      </c>
      <c r="H37" s="66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2" t="s">
        <v>67</v>
      </c>
      <c r="C38" s="63" t="s">
        <v>29</v>
      </c>
      <c r="D38" s="62" t="s">
        <v>112</v>
      </c>
      <c r="E38" s="65">
        <v>475.06</v>
      </c>
      <c r="F38" s="65">
        <f>SUM(E38*155/1000)</f>
        <v>73.634299999999996</v>
      </c>
      <c r="G38" s="65">
        <v>478.42</v>
      </c>
      <c r="H38" s="66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2" t="s">
        <v>89</v>
      </c>
      <c r="C39" s="63" t="s">
        <v>128</v>
      </c>
      <c r="D39" s="62" t="s">
        <v>150</v>
      </c>
      <c r="E39" s="64"/>
      <c r="F39" s="65">
        <v>39</v>
      </c>
      <c r="G39" s="65">
        <v>314</v>
      </c>
      <c r="H39" s="66">
        <f>SUM(F39*G39/1000)</f>
        <v>12.246</v>
      </c>
      <c r="I39" s="13">
        <v>0</v>
      </c>
    </row>
    <row r="40" spans="1:9" ht="60" hidden="1">
      <c r="A40" s="29">
        <v>9</v>
      </c>
      <c r="B40" s="62" t="s">
        <v>81</v>
      </c>
      <c r="C40" s="63" t="s">
        <v>107</v>
      </c>
      <c r="D40" s="62" t="s">
        <v>129</v>
      </c>
      <c r="E40" s="65">
        <v>40.6</v>
      </c>
      <c r="F40" s="65">
        <f>SUM(E40*35/1000)</f>
        <v>1.421</v>
      </c>
      <c r="G40" s="65">
        <v>7915.6</v>
      </c>
      <c r="H40" s="66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2" t="s">
        <v>113</v>
      </c>
      <c r="C41" s="63" t="s">
        <v>107</v>
      </c>
      <c r="D41" s="62" t="s">
        <v>68</v>
      </c>
      <c r="E41" s="65">
        <v>167.03</v>
      </c>
      <c r="F41" s="65">
        <f>SUM(E41*45/1000)</f>
        <v>7.5163500000000001</v>
      </c>
      <c r="G41" s="65">
        <v>584.74</v>
      </c>
      <c r="H41" s="66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2" t="s">
        <v>69</v>
      </c>
      <c r="C42" s="63" t="s">
        <v>33</v>
      </c>
      <c r="D42" s="62"/>
      <c r="E42" s="64"/>
      <c r="F42" s="65">
        <v>1.2</v>
      </c>
      <c r="G42" s="65">
        <v>800</v>
      </c>
      <c r="H42" s="66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151</v>
      </c>
      <c r="C43" s="60" t="s">
        <v>29</v>
      </c>
      <c r="D43" s="62" t="s">
        <v>152</v>
      </c>
      <c r="E43" s="64">
        <v>4.2</v>
      </c>
      <c r="F43" s="65">
        <f>SUM(E43*12/1000)</f>
        <v>5.0400000000000007E-2</v>
      </c>
      <c r="G43" s="65">
        <v>270.61</v>
      </c>
      <c r="H43" s="66">
        <f t="shared" si="2"/>
        <v>1.3638744000000003E-2</v>
      </c>
      <c r="I43" s="13">
        <f t="shared" si="3"/>
        <v>2.2731240000000006</v>
      </c>
    </row>
    <row r="44" spans="1:9">
      <c r="A44" s="256" t="s">
        <v>164</v>
      </c>
      <c r="B44" s="257"/>
      <c r="C44" s="257"/>
      <c r="D44" s="257"/>
      <c r="E44" s="257"/>
      <c r="F44" s="257"/>
      <c r="G44" s="257"/>
      <c r="H44" s="257"/>
      <c r="I44" s="258"/>
    </row>
    <row r="45" spans="1:9" hidden="1">
      <c r="A45" s="29">
        <v>18</v>
      </c>
      <c r="B45" s="62" t="s">
        <v>114</v>
      </c>
      <c r="C45" s="63" t="s">
        <v>107</v>
      </c>
      <c r="D45" s="62" t="s">
        <v>41</v>
      </c>
      <c r="E45" s="64">
        <v>1603.6</v>
      </c>
      <c r="F45" s="65">
        <f>SUM(E45*2/1000)</f>
        <v>3.2071999999999998</v>
      </c>
      <c r="G45" s="13">
        <v>1158.7</v>
      </c>
      <c r="H45" s="66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2" t="s">
        <v>34</v>
      </c>
      <c r="C46" s="63" t="s">
        <v>107</v>
      </c>
      <c r="D46" s="62" t="s">
        <v>41</v>
      </c>
      <c r="E46" s="64">
        <v>65</v>
      </c>
      <c r="F46" s="65">
        <f>SUM(E46*2/1000)</f>
        <v>0.13</v>
      </c>
      <c r="G46" s="13">
        <v>790.38</v>
      </c>
      <c r="H46" s="66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2" t="s">
        <v>35</v>
      </c>
      <c r="C47" s="63" t="s">
        <v>107</v>
      </c>
      <c r="D47" s="62" t="s">
        <v>41</v>
      </c>
      <c r="E47" s="64">
        <v>1825.8</v>
      </c>
      <c r="F47" s="65">
        <f>SUM(E47*2/1000)</f>
        <v>3.6515999999999997</v>
      </c>
      <c r="G47" s="13">
        <v>790.38</v>
      </c>
      <c r="H47" s="66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2" t="s">
        <v>36</v>
      </c>
      <c r="C48" s="63" t="s">
        <v>107</v>
      </c>
      <c r="D48" s="62" t="s">
        <v>41</v>
      </c>
      <c r="E48" s="64">
        <v>3163.96</v>
      </c>
      <c r="F48" s="65">
        <f>SUM(E48*2/1000)</f>
        <v>6.3279199999999998</v>
      </c>
      <c r="G48" s="13">
        <v>827.65</v>
      </c>
      <c r="H48" s="66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2" t="s">
        <v>55</v>
      </c>
      <c r="C49" s="63" t="s">
        <v>107</v>
      </c>
      <c r="D49" s="62" t="s">
        <v>141</v>
      </c>
      <c r="E49" s="64">
        <v>5816.5</v>
      </c>
      <c r="F49" s="65">
        <f>SUM(E49*5/1000)</f>
        <v>29.0825</v>
      </c>
      <c r="G49" s="13">
        <v>1655.27</v>
      </c>
      <c r="H49" s="66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2" t="s">
        <v>115</v>
      </c>
      <c r="C50" s="63" t="s">
        <v>107</v>
      </c>
      <c r="D50" s="62" t="s">
        <v>41</v>
      </c>
      <c r="E50" s="64">
        <v>5816.5</v>
      </c>
      <c r="F50" s="65">
        <f>SUM(E50*2/1000)</f>
        <v>11.632999999999999</v>
      </c>
      <c r="G50" s="13">
        <v>1655.27</v>
      </c>
      <c r="H50" s="66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2" t="s">
        <v>116</v>
      </c>
      <c r="C51" s="63" t="s">
        <v>37</v>
      </c>
      <c r="D51" s="62" t="s">
        <v>41</v>
      </c>
      <c r="E51" s="64">
        <v>25</v>
      </c>
      <c r="F51" s="65">
        <f>SUM(E51*2/100)</f>
        <v>0.5</v>
      </c>
      <c r="G51" s="13">
        <v>3724.37</v>
      </c>
      <c r="H51" s="66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2" t="s">
        <v>38</v>
      </c>
      <c r="C52" s="63" t="s">
        <v>39</v>
      </c>
      <c r="D52" s="62" t="s">
        <v>41</v>
      </c>
      <c r="E52" s="64">
        <v>1</v>
      </c>
      <c r="F52" s="65">
        <v>0.02</v>
      </c>
      <c r="G52" s="13">
        <v>7709.44</v>
      </c>
      <c r="H52" s="66">
        <f t="shared" si="4"/>
        <v>0.15418879999999999</v>
      </c>
      <c r="I52" s="13">
        <f t="shared" si="5"/>
        <v>77.094399999999993</v>
      </c>
    </row>
    <row r="53" spans="1:9" ht="20.25" customHeight="1">
      <c r="A53" s="29">
        <v>8</v>
      </c>
      <c r="B53" s="62" t="s">
        <v>40</v>
      </c>
      <c r="C53" s="63" t="s">
        <v>30</v>
      </c>
      <c r="D53" s="212">
        <v>44350</v>
      </c>
      <c r="E53" s="64">
        <v>198</v>
      </c>
      <c r="F53" s="65">
        <f>SUM(E53)*3</f>
        <v>594</v>
      </c>
      <c r="G53" s="13">
        <v>89.59</v>
      </c>
      <c r="H53" s="66">
        <f t="shared" si="4"/>
        <v>53.216459999999998</v>
      </c>
      <c r="I53" s="13">
        <f>F53/3*G53</f>
        <v>17738.82</v>
      </c>
    </row>
    <row r="54" spans="1:9">
      <c r="A54" s="241" t="s">
        <v>132</v>
      </c>
      <c r="B54" s="242"/>
      <c r="C54" s="242"/>
      <c r="D54" s="242"/>
      <c r="E54" s="242"/>
      <c r="F54" s="242"/>
      <c r="G54" s="242"/>
      <c r="H54" s="242"/>
      <c r="I54" s="243"/>
    </row>
    <row r="55" spans="1:9" hidden="1">
      <c r="A55" s="29"/>
      <c r="B55" s="82" t="s">
        <v>42</v>
      </c>
      <c r="C55" s="63"/>
      <c r="D55" s="62"/>
      <c r="E55" s="64"/>
      <c r="F55" s="65"/>
      <c r="G55" s="65"/>
      <c r="H55" s="66"/>
      <c r="I55" s="13"/>
    </row>
    <row r="56" spans="1:9" ht="45" hidden="1">
      <c r="A56" s="29">
        <v>16</v>
      </c>
      <c r="B56" s="62" t="s">
        <v>118</v>
      </c>
      <c r="C56" s="63" t="s">
        <v>99</v>
      </c>
      <c r="D56" s="62" t="s">
        <v>71</v>
      </c>
      <c r="E56" s="64">
        <v>118.3</v>
      </c>
      <c r="F56" s="65">
        <f>E56*6/100</f>
        <v>7.0979999999999999</v>
      </c>
      <c r="G56" s="72">
        <v>2110.4699999999998</v>
      </c>
      <c r="H56" s="66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2" t="s">
        <v>153</v>
      </c>
      <c r="C57" s="63" t="s">
        <v>99</v>
      </c>
      <c r="D57" s="62" t="s">
        <v>71</v>
      </c>
      <c r="E57" s="71">
        <v>3.78</v>
      </c>
      <c r="F57" s="13">
        <f>E57*6/100</f>
        <v>0.2268</v>
      </c>
      <c r="G57" s="65">
        <v>2110.4699999999998</v>
      </c>
      <c r="H57" s="66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3" t="s">
        <v>94</v>
      </c>
      <c r="C58" s="63" t="s">
        <v>95</v>
      </c>
      <c r="D58" s="73" t="s">
        <v>41</v>
      </c>
      <c r="E58" s="74">
        <v>5</v>
      </c>
      <c r="F58" s="75">
        <v>10</v>
      </c>
      <c r="G58" s="72">
        <v>246.58</v>
      </c>
      <c r="H58" s="76">
        <v>0.99099999999999999</v>
      </c>
      <c r="I58" s="13">
        <f>F58/2*G58</f>
        <v>1232.9000000000001</v>
      </c>
    </row>
    <row r="59" spans="1:9" hidden="1">
      <c r="A59" s="29">
        <v>18</v>
      </c>
      <c r="B59" s="73" t="s">
        <v>154</v>
      </c>
      <c r="C59" s="77" t="s">
        <v>32</v>
      </c>
      <c r="D59" s="73" t="s">
        <v>65</v>
      </c>
      <c r="E59" s="74"/>
      <c r="F59" s="76">
        <v>5</v>
      </c>
      <c r="G59" s="96">
        <v>1645</v>
      </c>
      <c r="H59" s="76">
        <f>SUM(F59*G59/1000)</f>
        <v>8.2249999999999996</v>
      </c>
      <c r="I59" s="96">
        <v>0</v>
      </c>
    </row>
    <row r="60" spans="1:9" ht="16.5" customHeight="1">
      <c r="A60" s="29"/>
      <c r="B60" s="83" t="s">
        <v>43</v>
      </c>
      <c r="C60" s="77"/>
      <c r="D60" s="62"/>
      <c r="E60" s="64"/>
      <c r="F60" s="65"/>
      <c r="G60" s="65"/>
      <c r="H60" s="65"/>
      <c r="I60" s="119"/>
    </row>
    <row r="61" spans="1:9" hidden="1">
      <c r="A61" s="29"/>
      <c r="B61" s="73" t="s">
        <v>44</v>
      </c>
      <c r="C61" s="77" t="s">
        <v>52</v>
      </c>
      <c r="D61" s="62" t="s">
        <v>53</v>
      </c>
      <c r="E61" s="64">
        <v>352</v>
      </c>
      <c r="F61" s="65">
        <f>E61/100</f>
        <v>3.52</v>
      </c>
      <c r="G61" s="65">
        <v>1082.47</v>
      </c>
      <c r="H61" s="65">
        <f>G61*F61/1000</f>
        <v>3.8102944000000001</v>
      </c>
      <c r="I61" s="119">
        <v>0</v>
      </c>
    </row>
    <row r="62" spans="1:9" ht="18.75" customHeight="1">
      <c r="A62" s="29">
        <v>9</v>
      </c>
      <c r="B62" s="73" t="s">
        <v>90</v>
      </c>
      <c r="C62" s="77" t="s">
        <v>25</v>
      </c>
      <c r="D62" s="62" t="s">
        <v>190</v>
      </c>
      <c r="E62" s="64">
        <v>200</v>
      </c>
      <c r="F62" s="65">
        <f>E62*12</f>
        <v>2400</v>
      </c>
      <c r="G62" s="65">
        <v>1.4</v>
      </c>
      <c r="H62" s="65">
        <f>G62*F62/1000</f>
        <v>3.36</v>
      </c>
      <c r="I62" s="13">
        <f>F62/12*G62</f>
        <v>280</v>
      </c>
    </row>
    <row r="63" spans="1:9" ht="16.5" customHeight="1">
      <c r="A63" s="29"/>
      <c r="B63" s="83" t="s">
        <v>45</v>
      </c>
      <c r="C63" s="77"/>
      <c r="D63" s="116"/>
      <c r="E63" s="67"/>
      <c r="F63" s="111"/>
      <c r="G63" s="111"/>
      <c r="H63" s="117" t="s">
        <v>124</v>
      </c>
      <c r="I63" s="118"/>
    </row>
    <row r="64" spans="1:9" hidden="1">
      <c r="A64" s="29">
        <v>16</v>
      </c>
      <c r="B64" s="14" t="s">
        <v>46</v>
      </c>
      <c r="C64" s="16" t="s">
        <v>117</v>
      </c>
      <c r="D64" s="14" t="s">
        <v>192</v>
      </c>
      <c r="E64" s="18">
        <v>14</v>
      </c>
      <c r="F64" s="13">
        <f>SUM(E64)</f>
        <v>14</v>
      </c>
      <c r="G64" s="13">
        <v>303.35000000000002</v>
      </c>
      <c r="H64" s="61">
        <f t="shared" ref="H64:H83" si="6">SUM(F64*G64/1000)</f>
        <v>4.2469000000000001</v>
      </c>
      <c r="I64" s="13">
        <f>G64*2</f>
        <v>606.70000000000005</v>
      </c>
    </row>
    <row r="65" spans="1:9" hidden="1">
      <c r="A65" s="29"/>
      <c r="B65" s="14" t="s">
        <v>47</v>
      </c>
      <c r="C65" s="16" t="s">
        <v>117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1">
        <f t="shared" si="6"/>
        <v>0.72806999999999999</v>
      </c>
      <c r="I65" s="13">
        <v>0</v>
      </c>
    </row>
    <row r="66" spans="1:9">
      <c r="A66" s="29">
        <v>10</v>
      </c>
      <c r="B66" s="209" t="s">
        <v>48</v>
      </c>
      <c r="C66" s="225" t="s">
        <v>119</v>
      </c>
      <c r="D66" s="88"/>
      <c r="E66" s="185">
        <v>23808</v>
      </c>
      <c r="F66" s="110">
        <f>SUM(E66/100)</f>
        <v>238.08</v>
      </c>
      <c r="G66" s="33">
        <v>289.37</v>
      </c>
      <c r="H66" s="61">
        <f t="shared" si="6"/>
        <v>68.893209600000006</v>
      </c>
      <c r="I66" s="13">
        <f t="shared" ref="I66:I71" si="7">F66*G66</f>
        <v>68893.209600000002</v>
      </c>
    </row>
    <row r="67" spans="1:9">
      <c r="A67" s="29">
        <v>11</v>
      </c>
      <c r="B67" s="209" t="s">
        <v>49</v>
      </c>
      <c r="C67" s="97" t="s">
        <v>120</v>
      </c>
      <c r="D67" s="88"/>
      <c r="E67" s="185">
        <v>23808</v>
      </c>
      <c r="F67" s="33">
        <f>SUM(E67/1000)</f>
        <v>23.808</v>
      </c>
      <c r="G67" s="33">
        <v>225.35</v>
      </c>
      <c r="H67" s="61">
        <f t="shared" si="6"/>
        <v>5.3651327999999996</v>
      </c>
      <c r="I67" s="13">
        <f t="shared" si="7"/>
        <v>5365.1327999999994</v>
      </c>
    </row>
    <row r="68" spans="1:9">
      <c r="A68" s="29">
        <v>12</v>
      </c>
      <c r="B68" s="209" t="s">
        <v>50</v>
      </c>
      <c r="C68" s="97" t="s">
        <v>76</v>
      </c>
      <c r="D68" s="88"/>
      <c r="E68" s="185">
        <v>3810</v>
      </c>
      <c r="F68" s="33">
        <f>SUM(E68/100)</f>
        <v>38.1</v>
      </c>
      <c r="G68" s="33">
        <v>2829.78</v>
      </c>
      <c r="H68" s="61">
        <f t="shared" si="6"/>
        <v>107.81461800000001</v>
      </c>
      <c r="I68" s="13">
        <f t="shared" si="7"/>
        <v>107814.61800000002</v>
      </c>
    </row>
    <row r="69" spans="1:9">
      <c r="A69" s="29">
        <v>13</v>
      </c>
      <c r="B69" s="226" t="s">
        <v>121</v>
      </c>
      <c r="C69" s="97" t="s">
        <v>33</v>
      </c>
      <c r="D69" s="88"/>
      <c r="E69" s="185">
        <v>12.8</v>
      </c>
      <c r="F69" s="33">
        <f>SUM(E69)</f>
        <v>12.8</v>
      </c>
      <c r="G69" s="33">
        <v>44.31</v>
      </c>
      <c r="H69" s="61">
        <f t="shared" si="6"/>
        <v>0.56716800000000001</v>
      </c>
      <c r="I69" s="13">
        <f t="shared" si="7"/>
        <v>567.16800000000001</v>
      </c>
    </row>
    <row r="70" spans="1:9">
      <c r="A70" s="29">
        <v>14</v>
      </c>
      <c r="B70" s="226" t="s">
        <v>130</v>
      </c>
      <c r="C70" s="97" t="s">
        <v>33</v>
      </c>
      <c r="D70" s="88"/>
      <c r="E70" s="185">
        <v>12.8</v>
      </c>
      <c r="F70" s="33">
        <f>SUM(E70)</f>
        <v>12.8</v>
      </c>
      <c r="G70" s="33">
        <v>47.79</v>
      </c>
      <c r="H70" s="61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5">
        <f>SUM(E71)</f>
        <v>6</v>
      </c>
      <c r="G71" s="13">
        <v>68.040000000000006</v>
      </c>
      <c r="H71" s="61">
        <f t="shared" si="6"/>
        <v>0.40823999999999999</v>
      </c>
      <c r="I71" s="13">
        <f t="shared" si="7"/>
        <v>408.24</v>
      </c>
    </row>
    <row r="72" spans="1:9" ht="33" customHeight="1">
      <c r="A72" s="29">
        <v>15</v>
      </c>
      <c r="B72" s="79" t="s">
        <v>155</v>
      </c>
      <c r="C72" s="16"/>
      <c r="D72" s="14" t="s">
        <v>191</v>
      </c>
      <c r="E72" s="18">
        <v>1</v>
      </c>
      <c r="F72" s="13">
        <v>12</v>
      </c>
      <c r="G72" s="13">
        <v>1194</v>
      </c>
      <c r="H72" s="61">
        <f t="shared" si="6"/>
        <v>14.327999999999999</v>
      </c>
      <c r="I72" s="13">
        <f>F72/12*G72</f>
        <v>1194</v>
      </c>
    </row>
    <row r="73" spans="1:9" ht="15" customHeight="1">
      <c r="A73" s="29"/>
      <c r="B73" s="129" t="s">
        <v>156</v>
      </c>
      <c r="C73" s="16"/>
      <c r="D73" s="14"/>
      <c r="E73" s="18"/>
      <c r="F73" s="55"/>
      <c r="G73" s="13"/>
      <c r="H73" s="61"/>
      <c r="I73" s="13"/>
    </row>
    <row r="74" spans="1:9" ht="31.5" customHeight="1">
      <c r="A74" s="29">
        <v>16</v>
      </c>
      <c r="B74" s="14" t="s">
        <v>157</v>
      </c>
      <c r="C74" s="29" t="s">
        <v>158</v>
      </c>
      <c r="D74" s="14"/>
      <c r="E74" s="18">
        <v>5816.5</v>
      </c>
      <c r="F74" s="65">
        <f>SUM(E74)*12</f>
        <v>69798</v>
      </c>
      <c r="G74" s="13">
        <v>2.37</v>
      </c>
      <c r="H74" s="61">
        <f>SUM(F74*G74/1000)</f>
        <v>165.42126000000002</v>
      </c>
      <c r="I74" s="13">
        <f>F74/12*G74</f>
        <v>13785.105000000001</v>
      </c>
    </row>
    <row r="75" spans="1:9" ht="29.25" customHeight="1">
      <c r="A75" s="29">
        <v>17</v>
      </c>
      <c r="B75" s="46" t="s">
        <v>159</v>
      </c>
      <c r="C75" s="60" t="s">
        <v>117</v>
      </c>
      <c r="D75" s="14" t="s">
        <v>191</v>
      </c>
      <c r="E75" s="113">
        <v>1</v>
      </c>
      <c r="F75" s="75">
        <f>E75*12</f>
        <v>12</v>
      </c>
      <c r="G75" s="96">
        <v>55.55</v>
      </c>
      <c r="H75" s="61">
        <f>SUM(F75*G75/1000)</f>
        <v>0.66659999999999986</v>
      </c>
      <c r="I75" s="13">
        <f>F75/12*G75</f>
        <v>55.55</v>
      </c>
    </row>
    <row r="76" spans="1:9" hidden="1">
      <c r="A76" s="105"/>
      <c r="B76" s="129" t="s">
        <v>72</v>
      </c>
      <c r="C76" s="16"/>
      <c r="D76" s="14"/>
      <c r="E76" s="18"/>
      <c r="F76" s="13"/>
      <c r="G76" s="13"/>
      <c r="H76" s="61" t="s">
        <v>124</v>
      </c>
      <c r="I76" s="106"/>
    </row>
    <row r="77" spans="1:9" ht="30" hidden="1">
      <c r="A77" s="105"/>
      <c r="B77" s="14" t="s">
        <v>160</v>
      </c>
      <c r="C77" s="16" t="s">
        <v>30</v>
      </c>
      <c r="D77" s="14" t="s">
        <v>65</v>
      </c>
      <c r="E77" s="18">
        <v>2</v>
      </c>
      <c r="F77" s="65">
        <f>E77</f>
        <v>2</v>
      </c>
      <c r="G77" s="13">
        <v>2112.2800000000002</v>
      </c>
      <c r="H77" s="61">
        <f>G77*F77/1000</f>
        <v>4.2245600000000003</v>
      </c>
      <c r="I77" s="106">
        <v>0</v>
      </c>
    </row>
    <row r="78" spans="1:9" hidden="1">
      <c r="A78" s="105"/>
      <c r="B78" s="46" t="s">
        <v>161</v>
      </c>
      <c r="C78" s="60" t="s">
        <v>117</v>
      </c>
      <c r="D78" s="14" t="s">
        <v>65</v>
      </c>
      <c r="E78" s="18">
        <v>5</v>
      </c>
      <c r="F78" s="13">
        <v>5</v>
      </c>
      <c r="G78" s="13">
        <v>136.19999999999999</v>
      </c>
      <c r="H78" s="61">
        <f>SUM(F78*G78/1000)</f>
        <v>0.68100000000000005</v>
      </c>
      <c r="I78" s="106">
        <v>0</v>
      </c>
    </row>
    <row r="79" spans="1:9" hidden="1">
      <c r="A79" s="105"/>
      <c r="B79" s="14" t="s">
        <v>73</v>
      </c>
      <c r="C79" s="16" t="s">
        <v>162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1">
        <f>SUM(F79*G79/1000)</f>
        <v>0.41051399999999999</v>
      </c>
      <c r="I79" s="106">
        <v>0</v>
      </c>
    </row>
    <row r="80" spans="1:9" hidden="1">
      <c r="A80" s="105"/>
      <c r="B80" s="14" t="s">
        <v>74</v>
      </c>
      <c r="C80" s="16" t="s">
        <v>30</v>
      </c>
      <c r="D80" s="14" t="s">
        <v>65</v>
      </c>
      <c r="E80" s="18">
        <v>1</v>
      </c>
      <c r="F80" s="55">
        <v>1</v>
      </c>
      <c r="G80" s="13">
        <v>1163.47</v>
      </c>
      <c r="H80" s="61">
        <f>SUM(F80*G80/1000)</f>
        <v>1.16347</v>
      </c>
      <c r="I80" s="106">
        <v>0</v>
      </c>
    </row>
    <row r="81" spans="1:9" hidden="1">
      <c r="A81" s="105"/>
      <c r="B81" s="46" t="s">
        <v>163</v>
      </c>
      <c r="C81" s="60" t="s">
        <v>117</v>
      </c>
      <c r="D81" s="14" t="s">
        <v>65</v>
      </c>
      <c r="E81" s="18">
        <v>1</v>
      </c>
      <c r="F81" s="65">
        <f>E81</f>
        <v>1</v>
      </c>
      <c r="G81" s="13">
        <v>1670.07</v>
      </c>
      <c r="H81" s="61">
        <f>SUM(F81*G81/1000)</f>
        <v>1.6700699999999999</v>
      </c>
      <c r="I81" s="106">
        <v>0</v>
      </c>
    </row>
    <row r="82" spans="1:9" hidden="1">
      <c r="A82" s="105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06"/>
    </row>
    <row r="83" spans="1:9" hidden="1">
      <c r="A83" s="105"/>
      <c r="B83" s="42" t="s">
        <v>125</v>
      </c>
      <c r="C83" s="16" t="s">
        <v>76</v>
      </c>
      <c r="D83" s="14"/>
      <c r="E83" s="18"/>
      <c r="F83" s="13">
        <v>0.6</v>
      </c>
      <c r="G83" s="13">
        <v>4144.28</v>
      </c>
      <c r="H83" s="61">
        <f t="shared" si="6"/>
        <v>2.4865679999999997</v>
      </c>
      <c r="I83" s="106">
        <v>0</v>
      </c>
    </row>
    <row r="84" spans="1:9" ht="28.5">
      <c r="A84" s="105"/>
      <c r="B84" s="129" t="s">
        <v>122</v>
      </c>
      <c r="C84" s="80"/>
      <c r="D84" s="112"/>
      <c r="E84" s="31"/>
      <c r="F84" s="114"/>
      <c r="G84" s="114"/>
      <c r="H84" s="115">
        <f>SUM(H56:H83)</f>
        <v>411.53215745600005</v>
      </c>
      <c r="I84" s="106"/>
    </row>
    <row r="85" spans="1:9">
      <c r="A85" s="105">
        <v>18</v>
      </c>
      <c r="B85" s="62" t="s">
        <v>123</v>
      </c>
      <c r="C85" s="16"/>
      <c r="D85" s="14"/>
      <c r="E85" s="56"/>
      <c r="F85" s="13">
        <v>1</v>
      </c>
      <c r="G85" s="13">
        <v>146.19999999999999</v>
      </c>
      <c r="H85" s="61">
        <f>G85*F85/1000</f>
        <v>0.1462</v>
      </c>
      <c r="I85" s="106">
        <f>G85*1</f>
        <v>146.19999999999999</v>
      </c>
    </row>
    <row r="86" spans="1:9">
      <c r="A86" s="230" t="s">
        <v>133</v>
      </c>
      <c r="B86" s="231"/>
      <c r="C86" s="231"/>
      <c r="D86" s="231"/>
      <c r="E86" s="231"/>
      <c r="F86" s="231"/>
      <c r="G86" s="231"/>
      <c r="H86" s="231"/>
      <c r="I86" s="232"/>
    </row>
    <row r="87" spans="1:9" ht="19.5" customHeight="1">
      <c r="A87" s="105">
        <v>19</v>
      </c>
      <c r="B87" s="62" t="s">
        <v>126</v>
      </c>
      <c r="C87" s="16" t="s">
        <v>54</v>
      </c>
      <c r="D87" s="81"/>
      <c r="E87" s="13">
        <v>5816.5</v>
      </c>
      <c r="F87" s="13">
        <f>SUM(E87*12)</f>
        <v>69798</v>
      </c>
      <c r="G87" s="13">
        <v>3.22</v>
      </c>
      <c r="H87" s="61">
        <f>SUM(F87*G87/1000)</f>
        <v>224.74956000000003</v>
      </c>
      <c r="I87" s="13">
        <f>F87/12*G87</f>
        <v>18729.13</v>
      </c>
    </row>
    <row r="88" spans="1:9" ht="39" customHeight="1">
      <c r="A88" s="29">
        <v>20</v>
      </c>
      <c r="B88" s="14" t="s">
        <v>77</v>
      </c>
      <c r="C88" s="16"/>
      <c r="D88" s="81"/>
      <c r="E88" s="64">
        <f>E87</f>
        <v>5816.5</v>
      </c>
      <c r="F88" s="13">
        <f>E88*12</f>
        <v>69798</v>
      </c>
      <c r="G88" s="13">
        <v>3.64</v>
      </c>
      <c r="H88" s="61">
        <f>F88*G88/1000</f>
        <v>254.06471999999999</v>
      </c>
      <c r="I88" s="13">
        <f>F88/12*G88</f>
        <v>21172.06</v>
      </c>
    </row>
    <row r="89" spans="1:9">
      <c r="A89" s="131"/>
      <c r="B89" s="34" t="s">
        <v>79</v>
      </c>
      <c r="C89" s="35"/>
      <c r="D89" s="15"/>
      <c r="E89" s="15"/>
      <c r="F89" s="15"/>
      <c r="G89" s="18"/>
      <c r="H89" s="18"/>
      <c r="I89" s="31">
        <f>I88+I87+I85+I75+I74+I72+I70+I69+I68+I67+I66+I62+I32+I30+I29+I19+I18+I17+I16+I53</f>
        <v>294374.38665940001</v>
      </c>
    </row>
    <row r="90" spans="1:9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9" ht="54.75" customHeight="1">
      <c r="A91" s="29">
        <v>21</v>
      </c>
      <c r="B91" s="48" t="s">
        <v>138</v>
      </c>
      <c r="C91" s="86" t="s">
        <v>82</v>
      </c>
      <c r="D91" s="88" t="s">
        <v>300</v>
      </c>
      <c r="E91" s="33"/>
      <c r="F91" s="33">
        <v>7</v>
      </c>
      <c r="G91" s="33">
        <v>231.54</v>
      </c>
      <c r="H91" s="85"/>
      <c r="I91" s="47">
        <f>G91*1</f>
        <v>231.54</v>
      </c>
    </row>
    <row r="92" spans="1:9" ht="30" customHeight="1">
      <c r="A92" s="29">
        <v>22</v>
      </c>
      <c r="B92" s="48" t="s">
        <v>283</v>
      </c>
      <c r="C92" s="86" t="s">
        <v>29</v>
      </c>
      <c r="D92" s="87"/>
      <c r="E92" s="33"/>
      <c r="F92" s="33">
        <f>4.432+2.216+2.216</f>
        <v>8.8640000000000008</v>
      </c>
      <c r="G92" s="33">
        <v>241.69</v>
      </c>
      <c r="H92" s="85"/>
      <c r="I92" s="47">
        <f>G92*4.432</f>
        <v>1071.1700800000001</v>
      </c>
    </row>
    <row r="93" spans="1:9" ht="15.75" customHeight="1">
      <c r="A93" s="29">
        <v>23</v>
      </c>
      <c r="B93" s="48" t="s">
        <v>148</v>
      </c>
      <c r="C93" s="86" t="s">
        <v>166</v>
      </c>
      <c r="D93" s="87" t="s">
        <v>301</v>
      </c>
      <c r="E93" s="33"/>
      <c r="F93" s="33">
        <v>43</v>
      </c>
      <c r="G93" s="33">
        <v>295.36</v>
      </c>
      <c r="H93" s="85"/>
      <c r="I93" s="47">
        <v>0</v>
      </c>
    </row>
    <row r="94" spans="1:9" ht="15.75" customHeight="1">
      <c r="A94" s="29">
        <v>24</v>
      </c>
      <c r="B94" s="48" t="s">
        <v>293</v>
      </c>
      <c r="C94" s="86" t="s">
        <v>166</v>
      </c>
      <c r="D94" s="87" t="s">
        <v>299</v>
      </c>
      <c r="E94" s="33"/>
      <c r="F94" s="33">
        <v>2</v>
      </c>
      <c r="G94" s="33">
        <v>295.36</v>
      </c>
      <c r="H94" s="85"/>
      <c r="I94" s="47">
        <f>G94*2</f>
        <v>590.72</v>
      </c>
    </row>
    <row r="95" spans="1:9" ht="15.75" customHeight="1">
      <c r="A95" s="29">
        <v>25</v>
      </c>
      <c r="B95" s="48" t="s">
        <v>294</v>
      </c>
      <c r="C95" s="86" t="s">
        <v>82</v>
      </c>
      <c r="D95" s="87" t="s">
        <v>193</v>
      </c>
      <c r="E95" s="33"/>
      <c r="F95" s="33">
        <v>1</v>
      </c>
      <c r="G95" s="33">
        <v>280.70999999999998</v>
      </c>
      <c r="H95" s="85"/>
      <c r="I95" s="47">
        <f>G95*1</f>
        <v>280.70999999999998</v>
      </c>
    </row>
    <row r="96" spans="1:9" ht="33.75" customHeight="1">
      <c r="A96" s="29">
        <v>26</v>
      </c>
      <c r="B96" s="48" t="s">
        <v>295</v>
      </c>
      <c r="C96" s="86" t="s">
        <v>86</v>
      </c>
      <c r="D96" s="87" t="s">
        <v>298</v>
      </c>
      <c r="E96" s="33"/>
      <c r="F96" s="33">
        <v>1</v>
      </c>
      <c r="G96" s="33">
        <v>614.47</v>
      </c>
      <c r="H96" s="85"/>
      <c r="I96" s="47">
        <f>G96*1</f>
        <v>614.47</v>
      </c>
    </row>
    <row r="97" spans="1:9" ht="31.5" customHeight="1">
      <c r="A97" s="29">
        <v>27</v>
      </c>
      <c r="B97" s="48" t="s">
        <v>296</v>
      </c>
      <c r="C97" s="86" t="s">
        <v>214</v>
      </c>
      <c r="D97" s="88" t="s">
        <v>297</v>
      </c>
      <c r="E97" s="33"/>
      <c r="F97" s="33">
        <v>0.2</v>
      </c>
      <c r="G97" s="33">
        <v>371.14</v>
      </c>
      <c r="H97" s="85"/>
      <c r="I97" s="47">
        <f>G97*0.2</f>
        <v>74.227999999999994</v>
      </c>
    </row>
    <row r="98" spans="1:9" ht="33" customHeight="1">
      <c r="A98" s="29">
        <v>28</v>
      </c>
      <c r="B98" s="48" t="s">
        <v>179</v>
      </c>
      <c r="C98" s="86" t="s">
        <v>37</v>
      </c>
      <c r="D98" s="87" t="s">
        <v>190</v>
      </c>
      <c r="E98" s="33"/>
      <c r="F98" s="33">
        <v>0.02</v>
      </c>
      <c r="G98" s="33">
        <v>4233.72</v>
      </c>
      <c r="H98" s="85"/>
      <c r="I98" s="47">
        <v>0</v>
      </c>
    </row>
    <row r="99" spans="1:9" ht="33" customHeight="1">
      <c r="A99" s="29">
        <v>29</v>
      </c>
      <c r="B99" s="48" t="s">
        <v>195</v>
      </c>
      <c r="C99" s="86" t="s">
        <v>39</v>
      </c>
      <c r="D99" s="87" t="s">
        <v>204</v>
      </c>
      <c r="E99" s="33"/>
      <c r="F99" s="33">
        <v>0.04</v>
      </c>
      <c r="G99" s="33">
        <v>28224.75</v>
      </c>
      <c r="H99" s="85"/>
      <c r="I99" s="47">
        <v>0</v>
      </c>
    </row>
    <row r="100" spans="1:9" ht="33" customHeight="1">
      <c r="A100" s="29">
        <v>30</v>
      </c>
      <c r="B100" s="48" t="s">
        <v>302</v>
      </c>
      <c r="C100" s="86" t="s">
        <v>86</v>
      </c>
      <c r="D100" s="87" t="s">
        <v>303</v>
      </c>
      <c r="E100" s="33"/>
      <c r="F100" s="33">
        <v>1</v>
      </c>
      <c r="G100" s="33">
        <v>949.97</v>
      </c>
      <c r="H100" s="85"/>
      <c r="I100" s="47">
        <f>G100*1</f>
        <v>949.97</v>
      </c>
    </row>
    <row r="101" spans="1:9" ht="18" customHeight="1">
      <c r="A101" s="29"/>
      <c r="B101" s="40" t="s">
        <v>51</v>
      </c>
      <c r="C101" s="36"/>
      <c r="D101" s="44"/>
      <c r="E101" s="36">
        <v>1</v>
      </c>
      <c r="F101" s="36"/>
      <c r="G101" s="36"/>
      <c r="H101" s="36"/>
      <c r="I101" s="31">
        <f>SUM(I91:I100)</f>
        <v>3812.8080800000007</v>
      </c>
    </row>
    <row r="102" spans="1:9">
      <c r="A102" s="29"/>
      <c r="B102" s="42" t="s">
        <v>78</v>
      </c>
      <c r="C102" s="15"/>
      <c r="D102" s="15"/>
      <c r="E102" s="37"/>
      <c r="F102" s="37"/>
      <c r="G102" s="38"/>
      <c r="H102" s="38"/>
      <c r="I102" s="17">
        <v>0</v>
      </c>
    </row>
    <row r="103" spans="1:9">
      <c r="A103" s="45"/>
      <c r="B103" s="41" t="s">
        <v>147</v>
      </c>
      <c r="C103" s="32"/>
      <c r="D103" s="32"/>
      <c r="E103" s="32"/>
      <c r="F103" s="32"/>
      <c r="G103" s="32"/>
      <c r="H103" s="32"/>
      <c r="I103" s="39">
        <f>I101+I89</f>
        <v>298187.1947394</v>
      </c>
    </row>
    <row r="104" spans="1:9" ht="15.75">
      <c r="A104" s="247" t="s">
        <v>304</v>
      </c>
      <c r="B104" s="247"/>
      <c r="C104" s="247"/>
      <c r="D104" s="247"/>
      <c r="E104" s="247"/>
      <c r="F104" s="247"/>
      <c r="G104" s="247"/>
      <c r="H104" s="247"/>
      <c r="I104" s="247"/>
    </row>
    <row r="105" spans="1:9" ht="15.75">
      <c r="A105" s="54"/>
      <c r="B105" s="248" t="s">
        <v>305</v>
      </c>
      <c r="C105" s="248"/>
      <c r="D105" s="248"/>
      <c r="E105" s="248"/>
      <c r="F105" s="248"/>
      <c r="G105" s="248"/>
      <c r="H105" s="59"/>
      <c r="I105" s="3"/>
    </row>
    <row r="106" spans="1:9">
      <c r="A106" s="127"/>
      <c r="B106" s="249" t="s">
        <v>6</v>
      </c>
      <c r="C106" s="249"/>
      <c r="D106" s="249"/>
      <c r="E106" s="249"/>
      <c r="F106" s="249"/>
      <c r="G106" s="249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50" t="s">
        <v>7</v>
      </c>
      <c r="B108" s="250"/>
      <c r="C108" s="250"/>
      <c r="D108" s="250"/>
      <c r="E108" s="250"/>
      <c r="F108" s="250"/>
      <c r="G108" s="250"/>
      <c r="H108" s="250"/>
      <c r="I108" s="250"/>
    </row>
    <row r="109" spans="1:9" ht="15.75">
      <c r="A109" s="250" t="s">
        <v>8</v>
      </c>
      <c r="B109" s="250"/>
      <c r="C109" s="250"/>
      <c r="D109" s="250"/>
      <c r="E109" s="250"/>
      <c r="F109" s="250"/>
      <c r="G109" s="250"/>
      <c r="H109" s="250"/>
      <c r="I109" s="250"/>
    </row>
    <row r="110" spans="1:9" ht="15.75">
      <c r="A110" s="239" t="s">
        <v>60</v>
      </c>
      <c r="B110" s="239"/>
      <c r="C110" s="239"/>
      <c r="D110" s="239"/>
      <c r="E110" s="239"/>
      <c r="F110" s="239"/>
      <c r="G110" s="239"/>
      <c r="H110" s="239"/>
      <c r="I110" s="239"/>
    </row>
    <row r="111" spans="1:9" ht="15.75">
      <c r="A111" s="11"/>
    </row>
    <row r="112" spans="1:9" ht="15.75">
      <c r="A112" s="252" t="s">
        <v>9</v>
      </c>
      <c r="B112" s="252"/>
      <c r="C112" s="252"/>
      <c r="D112" s="252"/>
      <c r="E112" s="252"/>
      <c r="F112" s="252"/>
      <c r="G112" s="252"/>
      <c r="H112" s="252"/>
      <c r="I112" s="252"/>
    </row>
    <row r="113" spans="1:9" ht="15.75">
      <c r="A113" s="4"/>
    </row>
    <row r="114" spans="1:9" ht="15.75">
      <c r="B114" s="130" t="s">
        <v>10</v>
      </c>
      <c r="C114" s="253" t="s">
        <v>209</v>
      </c>
      <c r="D114" s="253"/>
      <c r="E114" s="253"/>
      <c r="F114" s="57"/>
      <c r="I114" s="133"/>
    </row>
    <row r="115" spans="1:9">
      <c r="A115" s="127"/>
      <c r="C115" s="249" t="s">
        <v>11</v>
      </c>
      <c r="D115" s="249"/>
      <c r="E115" s="249"/>
      <c r="F115" s="24"/>
      <c r="I115" s="132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130" t="s">
        <v>13</v>
      </c>
      <c r="C117" s="254"/>
      <c r="D117" s="254"/>
      <c r="E117" s="254"/>
      <c r="F117" s="58"/>
      <c r="I117" s="133"/>
    </row>
    <row r="118" spans="1:9">
      <c r="A118" s="127"/>
      <c r="C118" s="229" t="s">
        <v>11</v>
      </c>
      <c r="D118" s="229"/>
      <c r="E118" s="229"/>
      <c r="F118" s="127"/>
      <c r="I118" s="132" t="s">
        <v>12</v>
      </c>
    </row>
    <row r="119" spans="1:9" ht="15.75">
      <c r="A119" s="4" t="s">
        <v>14</v>
      </c>
    </row>
    <row r="120" spans="1:9">
      <c r="A120" s="255" t="s">
        <v>15</v>
      </c>
      <c r="B120" s="255"/>
      <c r="C120" s="255"/>
      <c r="D120" s="255"/>
      <c r="E120" s="255"/>
      <c r="F120" s="255"/>
      <c r="G120" s="255"/>
      <c r="H120" s="255"/>
      <c r="I120" s="255"/>
    </row>
    <row r="121" spans="1:9" ht="51" customHeight="1">
      <c r="A121" s="251" t="s">
        <v>16</v>
      </c>
      <c r="B121" s="251"/>
      <c r="C121" s="251"/>
      <c r="D121" s="251"/>
      <c r="E121" s="251"/>
      <c r="F121" s="251"/>
      <c r="G121" s="251"/>
      <c r="H121" s="251"/>
      <c r="I121" s="251"/>
    </row>
    <row r="122" spans="1:9" ht="40.5" customHeight="1">
      <c r="A122" s="251" t="s">
        <v>17</v>
      </c>
      <c r="B122" s="251"/>
      <c r="C122" s="251"/>
      <c r="D122" s="251"/>
      <c r="E122" s="251"/>
      <c r="F122" s="251"/>
      <c r="G122" s="251"/>
      <c r="H122" s="251"/>
      <c r="I122" s="251"/>
    </row>
    <row r="123" spans="1:9" ht="45.75" customHeight="1">
      <c r="A123" s="251" t="s">
        <v>21</v>
      </c>
      <c r="B123" s="251"/>
      <c r="C123" s="251"/>
      <c r="D123" s="251"/>
      <c r="E123" s="251"/>
      <c r="F123" s="251"/>
      <c r="G123" s="251"/>
      <c r="H123" s="251"/>
      <c r="I123" s="251"/>
    </row>
    <row r="124" spans="1:9" ht="15.75">
      <c r="A124" s="251" t="s">
        <v>20</v>
      </c>
      <c r="B124" s="251"/>
      <c r="C124" s="251"/>
      <c r="D124" s="251"/>
      <c r="E124" s="251"/>
      <c r="F124" s="251"/>
      <c r="G124" s="251"/>
      <c r="H124" s="251"/>
      <c r="I124" s="251"/>
    </row>
  </sheetData>
  <mergeCells count="28">
    <mergeCell ref="A14:I14"/>
    <mergeCell ref="A3:I3"/>
    <mergeCell ref="A4:I4"/>
    <mergeCell ref="A5:I5"/>
    <mergeCell ref="A8:I8"/>
    <mergeCell ref="A10:I10"/>
    <mergeCell ref="A110:I110"/>
    <mergeCell ref="A15:I15"/>
    <mergeCell ref="A27:I27"/>
    <mergeCell ref="A44:I44"/>
    <mergeCell ref="A54:I54"/>
    <mergeCell ref="A86:I86"/>
    <mergeCell ref="A90:I90"/>
    <mergeCell ref="A104:I104"/>
    <mergeCell ref="B105:G105"/>
    <mergeCell ref="B106:G106"/>
    <mergeCell ref="A108:I108"/>
    <mergeCell ref="A109:I109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31496062992125984" top="0.74803149606299213" bottom="0.74803149606299213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1"/>
  <sheetViews>
    <sheetView topLeftCell="A91" workbookViewId="0">
      <selection activeCell="I114" sqref="I114"/>
    </sheetView>
  </sheetViews>
  <sheetFormatPr defaultRowHeight="15"/>
  <cols>
    <col min="1" max="1" width="10" customWidth="1"/>
    <col min="2" max="2" width="47.5703125" customWidth="1"/>
    <col min="3" max="4" width="18.28515625" customWidth="1"/>
    <col min="5" max="5" width="9.140625" hidden="1" customWidth="1"/>
    <col min="6" max="6" width="14.85546875" hidden="1" customWidth="1"/>
    <col min="7" max="7" width="16" customWidth="1"/>
    <col min="8" max="8" width="9.140625" hidden="1" customWidth="1"/>
    <col min="9" max="9" width="17" customWidth="1"/>
    <col min="10" max="10" width="15.8554687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171</v>
      </c>
      <c r="B3" s="233"/>
      <c r="C3" s="233"/>
      <c r="D3" s="233"/>
      <c r="E3" s="233"/>
      <c r="F3" s="233"/>
      <c r="G3" s="233"/>
      <c r="H3" s="233"/>
      <c r="I3" s="233"/>
    </row>
    <row r="4" spans="1:9" ht="37.5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306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40"/>
      <c r="C6" s="140"/>
      <c r="D6" s="140"/>
      <c r="E6" s="140"/>
      <c r="F6" s="140"/>
      <c r="G6" s="140"/>
      <c r="H6" s="140"/>
      <c r="I6" s="134">
        <v>44408</v>
      </c>
    </row>
    <row r="7" spans="1:9" ht="15.75">
      <c r="B7" s="138"/>
      <c r="C7" s="138"/>
      <c r="D7" s="138"/>
      <c r="E7" s="3"/>
      <c r="F7" s="3"/>
      <c r="G7" s="3"/>
      <c r="H7" s="3"/>
    </row>
    <row r="8" spans="1:9" ht="95.25" customHeight="1">
      <c r="A8" s="236" t="s">
        <v>217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5.2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20.2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8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>
      <c r="A20" s="29">
        <v>4</v>
      </c>
      <c r="B20" s="107" t="s">
        <v>92</v>
      </c>
      <c r="C20" s="108" t="s">
        <v>99</v>
      </c>
      <c r="D20" s="107" t="s">
        <v>190</v>
      </c>
      <c r="E20" s="185">
        <v>17.5</v>
      </c>
      <c r="F20" s="109">
        <f>SUM(E20*2/100)</f>
        <v>0.35</v>
      </c>
      <c r="G20" s="109">
        <v>297.19</v>
      </c>
      <c r="H20" s="66">
        <f t="shared" si="0"/>
        <v>0.1040165</v>
      </c>
      <c r="I20" s="13">
        <f>F20/2*G20</f>
        <v>52.008249999999997</v>
      </c>
    </row>
    <row r="21" spans="1:9">
      <c r="A21" s="29">
        <v>5</v>
      </c>
      <c r="B21" s="107" t="s">
        <v>93</v>
      </c>
      <c r="C21" s="108" t="s">
        <v>99</v>
      </c>
      <c r="D21" s="91" t="s">
        <v>190</v>
      </c>
      <c r="E21" s="93">
        <v>5.94</v>
      </c>
      <c r="F21" s="109">
        <f>SUM(E21*2/100)</f>
        <v>0.1188</v>
      </c>
      <c r="G21" s="94">
        <v>294.77999999999997</v>
      </c>
      <c r="H21" s="66">
        <f t="shared" si="0"/>
        <v>3.5019863999999998E-2</v>
      </c>
      <c r="I21" s="13">
        <f>F21/2*G21</f>
        <v>17.509931999999999</v>
      </c>
    </row>
    <row r="22" spans="1:9">
      <c r="A22" s="29">
        <v>6</v>
      </c>
      <c r="B22" s="107" t="s">
        <v>103</v>
      </c>
      <c r="C22" s="108" t="s">
        <v>52</v>
      </c>
      <c r="D22" s="107" t="s">
        <v>191</v>
      </c>
      <c r="E22" s="185">
        <v>376</v>
      </c>
      <c r="F22" s="109">
        <f>SUM(E22/100)</f>
        <v>3.76</v>
      </c>
      <c r="G22" s="109">
        <v>367.27</v>
      </c>
      <c r="H22" s="66">
        <f t="shared" si="0"/>
        <v>1.3809351999999999</v>
      </c>
      <c r="I22" s="13">
        <f>G22*F22</f>
        <v>1380.9351999999999</v>
      </c>
    </row>
    <row r="23" spans="1:9">
      <c r="A23" s="29">
        <v>7</v>
      </c>
      <c r="B23" s="107" t="s">
        <v>104</v>
      </c>
      <c r="C23" s="108" t="s">
        <v>52</v>
      </c>
      <c r="D23" s="107" t="s">
        <v>199</v>
      </c>
      <c r="E23" s="185">
        <v>60.4</v>
      </c>
      <c r="F23" s="109">
        <f>SUM(E23/100)</f>
        <v>0.60399999999999998</v>
      </c>
      <c r="G23" s="109">
        <v>60.41</v>
      </c>
      <c r="H23" s="66">
        <f t="shared" si="0"/>
        <v>3.6487640000000002E-2</v>
      </c>
      <c r="I23" s="13">
        <f>G23*F23</f>
        <v>36.487639999999999</v>
      </c>
    </row>
    <row r="24" spans="1:9" ht="30">
      <c r="A24" s="29">
        <v>8</v>
      </c>
      <c r="B24" s="107" t="s">
        <v>105</v>
      </c>
      <c r="C24" s="108" t="s">
        <v>52</v>
      </c>
      <c r="D24" s="107" t="s">
        <v>200</v>
      </c>
      <c r="E24" s="185">
        <v>23.75</v>
      </c>
      <c r="F24" s="109">
        <f>SUM(E24/100)</f>
        <v>0.23749999999999999</v>
      </c>
      <c r="G24" s="109">
        <v>294.77999999999997</v>
      </c>
      <c r="H24" s="66">
        <f t="shared" si="0"/>
        <v>7.0010249999999982E-2</v>
      </c>
      <c r="I24" s="13">
        <f>G24*F24</f>
        <v>70.010249999999985</v>
      </c>
    </row>
    <row r="25" spans="1:9">
      <c r="A25" s="29">
        <v>9</v>
      </c>
      <c r="B25" s="107" t="s">
        <v>97</v>
      </c>
      <c r="C25" s="108" t="s">
        <v>52</v>
      </c>
      <c r="D25" s="107" t="s">
        <v>200</v>
      </c>
      <c r="E25" s="185">
        <v>10.63</v>
      </c>
      <c r="F25" s="109">
        <f>SUM(E25/100)</f>
        <v>0.10630000000000001</v>
      </c>
      <c r="G25" s="109">
        <v>710.37</v>
      </c>
      <c r="H25" s="66">
        <f t="shared" si="0"/>
        <v>7.5512331000000002E-2</v>
      </c>
      <c r="I25" s="13">
        <f>G25*F25</f>
        <v>75.512331000000003</v>
      </c>
    </row>
    <row r="26" spans="1:9" ht="17.25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8.75" customHeight="1">
      <c r="A29" s="29">
        <v>10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 t="shared" ref="H29:H34" si="1">SUM(F29*G29/1000)</f>
        <v>3.9495100528000009</v>
      </c>
      <c r="I29" s="13">
        <f>F29/6*G29</f>
        <v>658.25167546666682</v>
      </c>
    </row>
    <row r="30" spans="1:9" ht="45" customHeight="1">
      <c r="A30" s="29">
        <v>11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 t="shared" si="1"/>
        <v>1.4716320896000001</v>
      </c>
      <c r="I31" s="13">
        <f>F31*G31</f>
        <v>1471.6320896000002</v>
      </c>
    </row>
    <row r="32" spans="1:9" ht="16.5" customHeight="1">
      <c r="A32" s="29">
        <v>12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 t="shared" si="1"/>
        <v>0.52190000000000003</v>
      </c>
      <c r="I33" s="13">
        <v>0</v>
      </c>
    </row>
    <row r="34" spans="1:9" hidden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 t="shared" si="1"/>
        <v>1.54992</v>
      </c>
      <c r="I34" s="13">
        <v>0</v>
      </c>
    </row>
    <row r="35" spans="1:9" hidden="1">
      <c r="A35" s="29"/>
      <c r="B35" s="82" t="s">
        <v>5</v>
      </c>
      <c r="C35" s="63"/>
      <c r="D35" s="62"/>
      <c r="E35" s="64"/>
      <c r="F35" s="65"/>
      <c r="G35" s="65"/>
      <c r="H35" s="66" t="s">
        <v>124</v>
      </c>
      <c r="I35" s="13"/>
    </row>
    <row r="36" spans="1:9" hidden="1">
      <c r="A36" s="29">
        <v>6</v>
      </c>
      <c r="B36" s="62" t="s">
        <v>26</v>
      </c>
      <c r="C36" s="63" t="s">
        <v>32</v>
      </c>
      <c r="D36" s="62"/>
      <c r="E36" s="64"/>
      <c r="F36" s="65">
        <v>5</v>
      </c>
      <c r="G36" s="65">
        <v>2083</v>
      </c>
      <c r="H36" s="66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2" t="s">
        <v>66</v>
      </c>
      <c r="C37" s="63" t="s">
        <v>29</v>
      </c>
      <c r="D37" s="62" t="s">
        <v>111</v>
      </c>
      <c r="E37" s="65">
        <v>469.73</v>
      </c>
      <c r="F37" s="65">
        <f>SUM(E37*30/1000)</f>
        <v>14.091900000000001</v>
      </c>
      <c r="G37" s="65">
        <v>2868.09</v>
      </c>
      <c r="H37" s="66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2" t="s">
        <v>67</v>
      </c>
      <c r="C38" s="63" t="s">
        <v>29</v>
      </c>
      <c r="D38" s="62" t="s">
        <v>112</v>
      </c>
      <c r="E38" s="65">
        <v>475.06</v>
      </c>
      <c r="F38" s="65">
        <f>SUM(E38*155/1000)</f>
        <v>73.634299999999996</v>
      </c>
      <c r="G38" s="65">
        <v>478.42</v>
      </c>
      <c r="H38" s="66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2" t="s">
        <v>89</v>
      </c>
      <c r="C39" s="63" t="s">
        <v>128</v>
      </c>
      <c r="D39" s="62" t="s">
        <v>150</v>
      </c>
      <c r="E39" s="64"/>
      <c r="F39" s="65">
        <v>39</v>
      </c>
      <c r="G39" s="65">
        <v>314</v>
      </c>
      <c r="H39" s="66">
        <f>SUM(F39*G39/1000)</f>
        <v>12.246</v>
      </c>
      <c r="I39" s="13">
        <v>0</v>
      </c>
    </row>
    <row r="40" spans="1:9" ht="60" hidden="1">
      <c r="A40" s="29">
        <v>9</v>
      </c>
      <c r="B40" s="62" t="s">
        <v>81</v>
      </c>
      <c r="C40" s="63" t="s">
        <v>107</v>
      </c>
      <c r="D40" s="62" t="s">
        <v>129</v>
      </c>
      <c r="E40" s="65">
        <v>40.6</v>
      </c>
      <c r="F40" s="65">
        <f>SUM(E40*35/1000)</f>
        <v>1.421</v>
      </c>
      <c r="G40" s="65">
        <v>7915.6</v>
      </c>
      <c r="H40" s="66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2" t="s">
        <v>113</v>
      </c>
      <c r="C41" s="63" t="s">
        <v>107</v>
      </c>
      <c r="D41" s="62" t="s">
        <v>68</v>
      </c>
      <c r="E41" s="65">
        <v>167.03</v>
      </c>
      <c r="F41" s="65">
        <f>SUM(E41*45/1000)</f>
        <v>7.5163500000000001</v>
      </c>
      <c r="G41" s="65">
        <v>584.74</v>
      </c>
      <c r="H41" s="66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2" t="s">
        <v>69</v>
      </c>
      <c r="C42" s="63" t="s">
        <v>33</v>
      </c>
      <c r="D42" s="62"/>
      <c r="E42" s="64"/>
      <c r="F42" s="65">
        <v>1.2</v>
      </c>
      <c r="G42" s="65">
        <v>800</v>
      </c>
      <c r="H42" s="66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151</v>
      </c>
      <c r="C43" s="60" t="s">
        <v>29</v>
      </c>
      <c r="D43" s="62" t="s">
        <v>152</v>
      </c>
      <c r="E43" s="64">
        <v>4.2</v>
      </c>
      <c r="F43" s="65">
        <f>SUM(E43*12/1000)</f>
        <v>5.0400000000000007E-2</v>
      </c>
      <c r="G43" s="65">
        <v>270.61</v>
      </c>
      <c r="H43" s="66">
        <f t="shared" si="2"/>
        <v>1.3638744000000003E-2</v>
      </c>
      <c r="I43" s="13">
        <f t="shared" si="3"/>
        <v>2.2731240000000006</v>
      </c>
    </row>
    <row r="44" spans="1:9" hidden="1">
      <c r="A44" s="256" t="s">
        <v>164</v>
      </c>
      <c r="B44" s="257"/>
      <c r="C44" s="257"/>
      <c r="D44" s="257"/>
      <c r="E44" s="257"/>
      <c r="F44" s="257"/>
      <c r="G44" s="257"/>
      <c r="H44" s="257"/>
      <c r="I44" s="258"/>
    </row>
    <row r="45" spans="1:9" hidden="1">
      <c r="A45" s="29">
        <v>18</v>
      </c>
      <c r="B45" s="62" t="s">
        <v>114</v>
      </c>
      <c r="C45" s="63" t="s">
        <v>107</v>
      </c>
      <c r="D45" s="62" t="s">
        <v>41</v>
      </c>
      <c r="E45" s="64">
        <v>1603.6</v>
      </c>
      <c r="F45" s="65">
        <f>SUM(E45*2/1000)</f>
        <v>3.2071999999999998</v>
      </c>
      <c r="G45" s="13">
        <v>1158.7</v>
      </c>
      <c r="H45" s="66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2" t="s">
        <v>34</v>
      </c>
      <c r="C46" s="63" t="s">
        <v>107</v>
      </c>
      <c r="D46" s="62" t="s">
        <v>41</v>
      </c>
      <c r="E46" s="64">
        <v>65</v>
      </c>
      <c r="F46" s="65">
        <f>SUM(E46*2/1000)</f>
        <v>0.13</v>
      </c>
      <c r="G46" s="13">
        <v>790.38</v>
      </c>
      <c r="H46" s="66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2" t="s">
        <v>35</v>
      </c>
      <c r="C47" s="63" t="s">
        <v>107</v>
      </c>
      <c r="D47" s="62" t="s">
        <v>41</v>
      </c>
      <c r="E47" s="64">
        <v>1825.8</v>
      </c>
      <c r="F47" s="65">
        <f>SUM(E47*2/1000)</f>
        <v>3.6515999999999997</v>
      </c>
      <c r="G47" s="13">
        <v>790.38</v>
      </c>
      <c r="H47" s="66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2" t="s">
        <v>36</v>
      </c>
      <c r="C48" s="63" t="s">
        <v>107</v>
      </c>
      <c r="D48" s="62" t="s">
        <v>41</v>
      </c>
      <c r="E48" s="64">
        <v>3163.96</v>
      </c>
      <c r="F48" s="65">
        <f>SUM(E48*2/1000)</f>
        <v>6.3279199999999998</v>
      </c>
      <c r="G48" s="13">
        <v>827.65</v>
      </c>
      <c r="H48" s="66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2" t="s">
        <v>55</v>
      </c>
      <c r="C49" s="63" t="s">
        <v>107</v>
      </c>
      <c r="D49" s="62" t="s">
        <v>141</v>
      </c>
      <c r="E49" s="64">
        <v>5816.5</v>
      </c>
      <c r="F49" s="65">
        <f>SUM(E49*5/1000)</f>
        <v>29.0825</v>
      </c>
      <c r="G49" s="13">
        <v>1655.27</v>
      </c>
      <c r="H49" s="66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2" t="s">
        <v>115</v>
      </c>
      <c r="C50" s="63" t="s">
        <v>107</v>
      </c>
      <c r="D50" s="62" t="s">
        <v>41</v>
      </c>
      <c r="E50" s="64">
        <v>5816.5</v>
      </c>
      <c r="F50" s="65">
        <f>SUM(E50*2/1000)</f>
        <v>11.632999999999999</v>
      </c>
      <c r="G50" s="13">
        <v>1655.27</v>
      </c>
      <c r="H50" s="66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2" t="s">
        <v>116</v>
      </c>
      <c r="C51" s="63" t="s">
        <v>37</v>
      </c>
      <c r="D51" s="62" t="s">
        <v>41</v>
      </c>
      <c r="E51" s="64">
        <v>25</v>
      </c>
      <c r="F51" s="65">
        <f>SUM(E51*2/100)</f>
        <v>0.5</v>
      </c>
      <c r="G51" s="13">
        <v>3724.37</v>
      </c>
      <c r="H51" s="66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2" t="s">
        <v>38</v>
      </c>
      <c r="C52" s="63" t="s">
        <v>39</v>
      </c>
      <c r="D52" s="62" t="s">
        <v>41</v>
      </c>
      <c r="E52" s="64">
        <v>1</v>
      </c>
      <c r="F52" s="65">
        <v>0.02</v>
      </c>
      <c r="G52" s="13">
        <v>7709.44</v>
      </c>
      <c r="H52" s="66">
        <f t="shared" si="4"/>
        <v>0.15418879999999999</v>
      </c>
      <c r="I52" s="13">
        <f t="shared" si="5"/>
        <v>77.094399999999993</v>
      </c>
    </row>
    <row r="53" spans="1:9" hidden="1">
      <c r="A53" s="29">
        <v>11</v>
      </c>
      <c r="B53" s="62" t="s">
        <v>40</v>
      </c>
      <c r="C53" s="63" t="s">
        <v>30</v>
      </c>
      <c r="D53" s="62" t="s">
        <v>70</v>
      </c>
      <c r="E53" s="64">
        <v>198</v>
      </c>
      <c r="F53" s="65">
        <f>SUM(E53)*3</f>
        <v>594</v>
      </c>
      <c r="G53" s="13">
        <v>89.59</v>
      </c>
      <c r="H53" s="66">
        <f t="shared" si="4"/>
        <v>53.216459999999998</v>
      </c>
      <c r="I53" s="13">
        <f>F53/3*G53</f>
        <v>17738.82</v>
      </c>
    </row>
    <row r="54" spans="1:9">
      <c r="A54" s="241" t="s">
        <v>144</v>
      </c>
      <c r="B54" s="242"/>
      <c r="C54" s="242"/>
      <c r="D54" s="242"/>
      <c r="E54" s="242"/>
      <c r="F54" s="242"/>
      <c r="G54" s="242"/>
      <c r="H54" s="242"/>
      <c r="I54" s="243"/>
    </row>
    <row r="55" spans="1:9" hidden="1">
      <c r="A55" s="29"/>
      <c r="B55" s="82" t="s">
        <v>42</v>
      </c>
      <c r="C55" s="63"/>
      <c r="D55" s="62"/>
      <c r="E55" s="64"/>
      <c r="F55" s="65"/>
      <c r="G55" s="65"/>
      <c r="H55" s="66"/>
      <c r="I55" s="13"/>
    </row>
    <row r="56" spans="1:9" ht="45" hidden="1">
      <c r="A56" s="29">
        <v>16</v>
      </c>
      <c r="B56" s="62" t="s">
        <v>118</v>
      </c>
      <c r="C56" s="63" t="s">
        <v>99</v>
      </c>
      <c r="D56" s="62" t="s">
        <v>71</v>
      </c>
      <c r="E56" s="64">
        <v>118.3</v>
      </c>
      <c r="F56" s="65">
        <f>E56*6/100</f>
        <v>7.0979999999999999</v>
      </c>
      <c r="G56" s="72">
        <v>2110.4699999999998</v>
      </c>
      <c r="H56" s="66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2" t="s">
        <v>153</v>
      </c>
      <c r="C57" s="63" t="s">
        <v>99</v>
      </c>
      <c r="D57" s="62" t="s">
        <v>71</v>
      </c>
      <c r="E57" s="71">
        <v>3.78</v>
      </c>
      <c r="F57" s="13">
        <f>E57*6/100</f>
        <v>0.2268</v>
      </c>
      <c r="G57" s="65">
        <v>2110.4699999999998</v>
      </c>
      <c r="H57" s="66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3" t="s">
        <v>94</v>
      </c>
      <c r="C58" s="63" t="s">
        <v>95</v>
      </c>
      <c r="D58" s="73" t="s">
        <v>41</v>
      </c>
      <c r="E58" s="74">
        <v>5</v>
      </c>
      <c r="F58" s="75">
        <v>10</v>
      </c>
      <c r="G58" s="72">
        <v>246.58</v>
      </c>
      <c r="H58" s="76">
        <v>0.99099999999999999</v>
      </c>
      <c r="I58" s="13">
        <f>F58/2*G58</f>
        <v>1232.9000000000001</v>
      </c>
    </row>
    <row r="59" spans="1:9" hidden="1">
      <c r="A59" s="29">
        <v>18</v>
      </c>
      <c r="B59" s="73" t="s">
        <v>154</v>
      </c>
      <c r="C59" s="77" t="s">
        <v>32</v>
      </c>
      <c r="D59" s="73" t="s">
        <v>65</v>
      </c>
      <c r="E59" s="74"/>
      <c r="F59" s="76">
        <v>5</v>
      </c>
      <c r="G59" s="96">
        <v>1645</v>
      </c>
      <c r="H59" s="76">
        <f>SUM(F59*G59/1000)</f>
        <v>8.2249999999999996</v>
      </c>
      <c r="I59" s="96">
        <v>0</v>
      </c>
    </row>
    <row r="60" spans="1:9" ht="18.75" customHeight="1">
      <c r="A60" s="29"/>
      <c r="B60" s="83" t="s">
        <v>43</v>
      </c>
      <c r="C60" s="77"/>
      <c r="D60" s="62"/>
      <c r="E60" s="64"/>
      <c r="F60" s="65"/>
      <c r="G60" s="65"/>
      <c r="H60" s="65"/>
      <c r="I60" s="119"/>
    </row>
    <row r="61" spans="1:9" hidden="1">
      <c r="A61" s="29"/>
      <c r="B61" s="73" t="s">
        <v>44</v>
      </c>
      <c r="C61" s="77" t="s">
        <v>52</v>
      </c>
      <c r="D61" s="62" t="s">
        <v>53</v>
      </c>
      <c r="E61" s="64">
        <v>352</v>
      </c>
      <c r="F61" s="65">
        <f>E61/100</f>
        <v>3.52</v>
      </c>
      <c r="G61" s="65">
        <v>1082.47</v>
      </c>
      <c r="H61" s="65">
        <f>G61*F61/1000</f>
        <v>3.8102944000000001</v>
      </c>
      <c r="I61" s="119">
        <v>0</v>
      </c>
    </row>
    <row r="62" spans="1:9" ht="19.5" customHeight="1">
      <c r="A62" s="29">
        <v>13</v>
      </c>
      <c r="B62" s="73" t="s">
        <v>90</v>
      </c>
      <c r="C62" s="77" t="s">
        <v>25</v>
      </c>
      <c r="D62" s="62" t="s">
        <v>190</v>
      </c>
      <c r="E62" s="64">
        <v>200</v>
      </c>
      <c r="F62" s="65">
        <f>E62*12</f>
        <v>2400</v>
      </c>
      <c r="G62" s="65">
        <v>1.4</v>
      </c>
      <c r="H62" s="65">
        <f>G62*F62/1000</f>
        <v>3.36</v>
      </c>
      <c r="I62" s="13">
        <f>F62/12*G62</f>
        <v>280</v>
      </c>
    </row>
    <row r="63" spans="1:9" ht="18.75" customHeight="1">
      <c r="A63" s="29"/>
      <c r="B63" s="83" t="s">
        <v>45</v>
      </c>
      <c r="C63" s="77"/>
      <c r="D63" s="116"/>
      <c r="E63" s="67"/>
      <c r="F63" s="111"/>
      <c r="G63" s="111"/>
      <c r="H63" s="117" t="s">
        <v>124</v>
      </c>
      <c r="I63" s="118"/>
    </row>
    <row r="64" spans="1:9">
      <c r="A64" s="29">
        <v>14</v>
      </c>
      <c r="B64" s="14" t="s">
        <v>46</v>
      </c>
      <c r="C64" s="16" t="s">
        <v>117</v>
      </c>
      <c r="D64" s="14" t="s">
        <v>185</v>
      </c>
      <c r="E64" s="18">
        <v>14</v>
      </c>
      <c r="F64" s="13">
        <f>SUM(E64)</f>
        <v>14</v>
      </c>
      <c r="G64" s="13">
        <v>303.35000000000002</v>
      </c>
      <c r="H64" s="61">
        <f t="shared" ref="H64:H83" si="6">SUM(F64*G64/1000)</f>
        <v>4.2469000000000001</v>
      </c>
      <c r="I64" s="13">
        <f>G64*5</f>
        <v>1516.75</v>
      </c>
    </row>
    <row r="65" spans="1:9" hidden="1">
      <c r="A65" s="29"/>
      <c r="B65" s="14" t="s">
        <v>47</v>
      </c>
      <c r="C65" s="16" t="s">
        <v>117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1">
        <f t="shared" si="6"/>
        <v>0.72806999999999999</v>
      </c>
      <c r="I65" s="13">
        <v>0</v>
      </c>
    </row>
    <row r="66" spans="1:9" hidden="1">
      <c r="A66" s="29">
        <v>10</v>
      </c>
      <c r="B66" s="14" t="s">
        <v>48</v>
      </c>
      <c r="C66" s="16" t="s">
        <v>119</v>
      </c>
      <c r="D66" s="14"/>
      <c r="E66" s="64">
        <v>23808</v>
      </c>
      <c r="F66" s="13">
        <f>SUM(E66/100)</f>
        <v>238.08</v>
      </c>
      <c r="G66" s="13">
        <v>289.37</v>
      </c>
      <c r="H66" s="61">
        <f t="shared" si="6"/>
        <v>68.893209600000006</v>
      </c>
      <c r="I66" s="13">
        <f t="shared" ref="I66:I71" si="7">F66*G66</f>
        <v>68893.209600000002</v>
      </c>
    </row>
    <row r="67" spans="1:9" hidden="1">
      <c r="A67" s="29">
        <v>11</v>
      </c>
      <c r="B67" s="14" t="s">
        <v>49</v>
      </c>
      <c r="C67" s="16" t="s">
        <v>120</v>
      </c>
      <c r="D67" s="14"/>
      <c r="E67" s="64">
        <v>23808</v>
      </c>
      <c r="F67" s="13">
        <f>SUM(E67/1000)</f>
        <v>23.808</v>
      </c>
      <c r="G67" s="13">
        <v>225.35</v>
      </c>
      <c r="H67" s="61">
        <f t="shared" si="6"/>
        <v>5.3651327999999996</v>
      </c>
      <c r="I67" s="13">
        <f t="shared" si="7"/>
        <v>5365.1327999999994</v>
      </c>
    </row>
    <row r="68" spans="1:9" hidden="1">
      <c r="A68" s="29">
        <v>12</v>
      </c>
      <c r="B68" s="14" t="s">
        <v>50</v>
      </c>
      <c r="C68" s="16" t="s">
        <v>76</v>
      </c>
      <c r="D68" s="14"/>
      <c r="E68" s="64">
        <v>3810</v>
      </c>
      <c r="F68" s="13">
        <f>SUM(E68/100)</f>
        <v>38.1</v>
      </c>
      <c r="G68" s="13">
        <v>2829.78</v>
      </c>
      <c r="H68" s="61">
        <f t="shared" si="6"/>
        <v>107.81461800000001</v>
      </c>
      <c r="I68" s="13">
        <f t="shared" si="7"/>
        <v>107814.61800000002</v>
      </c>
    </row>
    <row r="69" spans="1:9" hidden="1">
      <c r="A69" s="29">
        <v>13</v>
      </c>
      <c r="B69" s="79" t="s">
        <v>121</v>
      </c>
      <c r="C69" s="16" t="s">
        <v>33</v>
      </c>
      <c r="D69" s="14"/>
      <c r="E69" s="64">
        <v>12.8</v>
      </c>
      <c r="F69" s="13">
        <f>SUM(E69)</f>
        <v>12.8</v>
      </c>
      <c r="G69" s="13">
        <v>44.31</v>
      </c>
      <c r="H69" s="61">
        <f t="shared" si="6"/>
        <v>0.56716800000000001</v>
      </c>
      <c r="I69" s="13">
        <f t="shared" si="7"/>
        <v>567.16800000000001</v>
      </c>
    </row>
    <row r="70" spans="1:9" hidden="1">
      <c r="A70" s="29">
        <v>14</v>
      </c>
      <c r="B70" s="79" t="s">
        <v>130</v>
      </c>
      <c r="C70" s="16" t="s">
        <v>33</v>
      </c>
      <c r="D70" s="14"/>
      <c r="E70" s="64">
        <v>12.8</v>
      </c>
      <c r="F70" s="13">
        <f>SUM(E70)</f>
        <v>12.8</v>
      </c>
      <c r="G70" s="13">
        <v>47.79</v>
      </c>
      <c r="H70" s="61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5">
        <f>SUM(E71)</f>
        <v>6</v>
      </c>
      <c r="G71" s="13">
        <v>68.040000000000006</v>
      </c>
      <c r="H71" s="61">
        <f t="shared" si="6"/>
        <v>0.40823999999999999</v>
      </c>
      <c r="I71" s="13">
        <f t="shared" si="7"/>
        <v>408.24</v>
      </c>
    </row>
    <row r="72" spans="1:9" ht="33.75" customHeight="1">
      <c r="A72" s="29">
        <v>15</v>
      </c>
      <c r="B72" s="79" t="s">
        <v>155</v>
      </c>
      <c r="C72" s="16"/>
      <c r="D72" s="14" t="s">
        <v>191</v>
      </c>
      <c r="E72" s="18">
        <v>1</v>
      </c>
      <c r="F72" s="13">
        <v>12</v>
      </c>
      <c r="G72" s="13">
        <v>1194</v>
      </c>
      <c r="H72" s="61">
        <f t="shared" si="6"/>
        <v>14.327999999999999</v>
      </c>
      <c r="I72" s="13">
        <f>F72/12*G72</f>
        <v>1194</v>
      </c>
    </row>
    <row r="73" spans="1:9" ht="18" customHeight="1">
      <c r="A73" s="29"/>
      <c r="B73" s="141" t="s">
        <v>156</v>
      </c>
      <c r="C73" s="16"/>
      <c r="D73" s="14"/>
      <c r="E73" s="18"/>
      <c r="F73" s="55"/>
      <c r="G73" s="13"/>
      <c r="H73" s="61"/>
      <c r="I73" s="13"/>
    </row>
    <row r="74" spans="1:9" ht="31.5" customHeight="1">
      <c r="A74" s="29">
        <v>16</v>
      </c>
      <c r="B74" s="14" t="s">
        <v>157</v>
      </c>
      <c r="C74" s="29" t="s">
        <v>158</v>
      </c>
      <c r="D74" s="14"/>
      <c r="E74" s="18">
        <v>5816.5</v>
      </c>
      <c r="F74" s="65">
        <f>SUM(E74)*12</f>
        <v>69798</v>
      </c>
      <c r="G74" s="13">
        <v>2.37</v>
      </c>
      <c r="H74" s="61">
        <f>SUM(F74*G74/1000)</f>
        <v>165.42126000000002</v>
      </c>
      <c r="I74" s="13">
        <f>F74/12*G74</f>
        <v>13785.105000000001</v>
      </c>
    </row>
    <row r="75" spans="1:9" ht="34.5" customHeight="1">
      <c r="A75" s="29">
        <v>17</v>
      </c>
      <c r="B75" s="46" t="s">
        <v>159</v>
      </c>
      <c r="C75" s="60" t="s">
        <v>117</v>
      </c>
      <c r="D75" s="14" t="s">
        <v>191</v>
      </c>
      <c r="E75" s="113">
        <v>1</v>
      </c>
      <c r="F75" s="75">
        <f>E75*12</f>
        <v>12</v>
      </c>
      <c r="G75" s="96">
        <v>55.55</v>
      </c>
      <c r="H75" s="61">
        <f>SUM(F75*G75/1000)</f>
        <v>0.66659999999999986</v>
      </c>
      <c r="I75" s="13">
        <f>F75/12*G75</f>
        <v>55.55</v>
      </c>
    </row>
    <row r="76" spans="1:9" hidden="1">
      <c r="A76" s="105"/>
      <c r="B76" s="141" t="s">
        <v>72</v>
      </c>
      <c r="C76" s="16"/>
      <c r="D76" s="14"/>
      <c r="E76" s="18"/>
      <c r="F76" s="13"/>
      <c r="G76" s="13"/>
      <c r="H76" s="61" t="s">
        <v>124</v>
      </c>
      <c r="I76" s="106"/>
    </row>
    <row r="77" spans="1:9" ht="30" hidden="1">
      <c r="A77" s="105"/>
      <c r="B77" s="14" t="s">
        <v>160</v>
      </c>
      <c r="C77" s="16" t="s">
        <v>30</v>
      </c>
      <c r="D77" s="14" t="s">
        <v>65</v>
      </c>
      <c r="E77" s="18">
        <v>2</v>
      </c>
      <c r="F77" s="65">
        <f>E77</f>
        <v>2</v>
      </c>
      <c r="G77" s="13">
        <v>2112.2800000000002</v>
      </c>
      <c r="H77" s="61">
        <f>G77*F77/1000</f>
        <v>4.2245600000000003</v>
      </c>
      <c r="I77" s="106">
        <v>0</v>
      </c>
    </row>
    <row r="78" spans="1:9" hidden="1">
      <c r="A78" s="105"/>
      <c r="B78" s="46" t="s">
        <v>161</v>
      </c>
      <c r="C78" s="60" t="s">
        <v>117</v>
      </c>
      <c r="D78" s="14" t="s">
        <v>65</v>
      </c>
      <c r="E78" s="18">
        <v>5</v>
      </c>
      <c r="F78" s="13">
        <v>5</v>
      </c>
      <c r="G78" s="13">
        <v>136.19999999999999</v>
      </c>
      <c r="H78" s="61">
        <f>SUM(F78*G78/1000)</f>
        <v>0.68100000000000005</v>
      </c>
      <c r="I78" s="106">
        <v>0</v>
      </c>
    </row>
    <row r="79" spans="1:9" hidden="1">
      <c r="A79" s="105">
        <v>18</v>
      </c>
      <c r="B79" s="14" t="s">
        <v>73</v>
      </c>
      <c r="C79" s="16" t="s">
        <v>162</v>
      </c>
      <c r="D79" s="14" t="s">
        <v>202</v>
      </c>
      <c r="E79" s="18">
        <v>6</v>
      </c>
      <c r="F79" s="13">
        <f>E79/10</f>
        <v>0.6</v>
      </c>
      <c r="G79" s="13">
        <v>684.19</v>
      </c>
      <c r="H79" s="61">
        <f>SUM(F79*G79/1000)</f>
        <v>0.41051399999999999</v>
      </c>
      <c r="I79" s="106">
        <f>G79*0.3</f>
        <v>205.25700000000001</v>
      </c>
    </row>
    <row r="80" spans="1:9" hidden="1">
      <c r="A80" s="105"/>
      <c r="B80" s="14" t="s">
        <v>74</v>
      </c>
      <c r="C80" s="16" t="s">
        <v>30</v>
      </c>
      <c r="D80" s="14" t="s">
        <v>65</v>
      </c>
      <c r="E80" s="18">
        <v>1</v>
      </c>
      <c r="F80" s="55">
        <v>1</v>
      </c>
      <c r="G80" s="13">
        <v>1163.47</v>
      </c>
      <c r="H80" s="61">
        <f>SUM(F80*G80/1000)</f>
        <v>1.16347</v>
      </c>
      <c r="I80" s="106">
        <v>0</v>
      </c>
    </row>
    <row r="81" spans="1:9" hidden="1">
      <c r="A81" s="105"/>
      <c r="B81" s="46" t="s">
        <v>163</v>
      </c>
      <c r="C81" s="60" t="s">
        <v>117</v>
      </c>
      <c r="D81" s="14" t="s">
        <v>65</v>
      </c>
      <c r="E81" s="18">
        <v>1</v>
      </c>
      <c r="F81" s="65">
        <f>E81</f>
        <v>1</v>
      </c>
      <c r="G81" s="13">
        <v>1670.07</v>
      </c>
      <c r="H81" s="61">
        <f>SUM(F81*G81/1000)</f>
        <v>1.6700699999999999</v>
      </c>
      <c r="I81" s="106">
        <v>0</v>
      </c>
    </row>
    <row r="82" spans="1:9" hidden="1">
      <c r="A82" s="105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06"/>
    </row>
    <row r="83" spans="1:9" hidden="1">
      <c r="A83" s="105"/>
      <c r="B83" s="42" t="s">
        <v>125</v>
      </c>
      <c r="C83" s="16" t="s">
        <v>76</v>
      </c>
      <c r="D83" s="14"/>
      <c r="E83" s="18"/>
      <c r="F83" s="13">
        <v>0.6</v>
      </c>
      <c r="G83" s="13">
        <v>4144.28</v>
      </c>
      <c r="H83" s="61">
        <f t="shared" si="6"/>
        <v>2.4865679999999997</v>
      </c>
      <c r="I83" s="106">
        <v>0</v>
      </c>
    </row>
    <row r="84" spans="1:9" ht="28.5">
      <c r="A84" s="105"/>
      <c r="B84" s="141" t="s">
        <v>122</v>
      </c>
      <c r="C84" s="80"/>
      <c r="D84" s="112"/>
      <c r="E84" s="31"/>
      <c r="F84" s="114"/>
      <c r="G84" s="114"/>
      <c r="H84" s="115">
        <f>SUM(H56:H83)</f>
        <v>411.53215745600005</v>
      </c>
      <c r="I84" s="106"/>
    </row>
    <row r="85" spans="1:9">
      <c r="A85" s="105">
        <v>18</v>
      </c>
      <c r="B85" s="62" t="s">
        <v>123</v>
      </c>
      <c r="C85" s="16"/>
      <c r="D85" s="14"/>
      <c r="E85" s="56"/>
      <c r="F85" s="13">
        <v>1</v>
      </c>
      <c r="G85" s="13">
        <v>271</v>
      </c>
      <c r="H85" s="61">
        <f>G85*F85/1000</f>
        <v>0.27100000000000002</v>
      </c>
      <c r="I85" s="106">
        <f>G85*1</f>
        <v>271</v>
      </c>
    </row>
    <row r="86" spans="1:9">
      <c r="A86" s="230" t="s">
        <v>145</v>
      </c>
      <c r="B86" s="231"/>
      <c r="C86" s="231"/>
      <c r="D86" s="231"/>
      <c r="E86" s="231"/>
      <c r="F86" s="231"/>
      <c r="G86" s="231"/>
      <c r="H86" s="231"/>
      <c r="I86" s="232"/>
    </row>
    <row r="87" spans="1:9" ht="17.25" customHeight="1">
      <c r="A87" s="105">
        <v>19</v>
      </c>
      <c r="B87" s="62" t="s">
        <v>126</v>
      </c>
      <c r="C87" s="16" t="s">
        <v>54</v>
      </c>
      <c r="D87" s="81"/>
      <c r="E87" s="13">
        <v>5816.5</v>
      </c>
      <c r="F87" s="13">
        <f>SUM(E87*12)</f>
        <v>69798</v>
      </c>
      <c r="G87" s="13">
        <v>3.22</v>
      </c>
      <c r="H87" s="61">
        <f>SUM(F87*G87/1000)</f>
        <v>224.74956000000003</v>
      </c>
      <c r="I87" s="13">
        <f>F87/12*G87</f>
        <v>18729.13</v>
      </c>
    </row>
    <row r="88" spans="1:9" ht="38.25" customHeight="1">
      <c r="A88" s="29">
        <v>20</v>
      </c>
      <c r="B88" s="14" t="s">
        <v>77</v>
      </c>
      <c r="C88" s="16"/>
      <c r="D88" s="81"/>
      <c r="E88" s="64">
        <f>E87</f>
        <v>5816.5</v>
      </c>
      <c r="F88" s="13">
        <f>E88*12</f>
        <v>69798</v>
      </c>
      <c r="G88" s="13">
        <v>3.64</v>
      </c>
      <c r="H88" s="61">
        <f>F88*G88/1000</f>
        <v>254.06471999999999</v>
      </c>
      <c r="I88" s="13">
        <f>F88/12*G88</f>
        <v>21172.06</v>
      </c>
    </row>
    <row r="89" spans="1:9">
      <c r="A89" s="139"/>
      <c r="B89" s="34" t="s">
        <v>79</v>
      </c>
      <c r="C89" s="35"/>
      <c r="D89" s="15"/>
      <c r="E89" s="15"/>
      <c r="F89" s="15"/>
      <c r="G89" s="18"/>
      <c r="H89" s="18"/>
      <c r="I89" s="31">
        <f>I88+I87+I85+I75+I74+I72+I64+I62+I32+I30+I29+I25+I24+I23+I22+I21+I20+I18+I17+I16</f>
        <v>95989.291862400001</v>
      </c>
    </row>
    <row r="90" spans="1:9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9">
      <c r="A91" s="29">
        <v>21</v>
      </c>
      <c r="B91" s="48" t="s">
        <v>138</v>
      </c>
      <c r="C91" s="86" t="s">
        <v>82</v>
      </c>
      <c r="D91" s="87" t="s">
        <v>318</v>
      </c>
      <c r="E91" s="33"/>
      <c r="F91" s="33">
        <v>8</v>
      </c>
      <c r="G91" s="33">
        <v>231.54</v>
      </c>
      <c r="H91" s="85"/>
      <c r="I91" s="47">
        <f>G91*1</f>
        <v>231.54</v>
      </c>
    </row>
    <row r="92" spans="1:9">
      <c r="A92" s="29">
        <v>22</v>
      </c>
      <c r="B92" s="48" t="s">
        <v>148</v>
      </c>
      <c r="C92" s="86" t="s">
        <v>166</v>
      </c>
      <c r="D92" s="87" t="s">
        <v>321</v>
      </c>
      <c r="E92" s="33"/>
      <c r="F92" s="33">
        <v>53</v>
      </c>
      <c r="G92" s="33">
        <v>295.36</v>
      </c>
      <c r="H92" s="85"/>
      <c r="I92" s="47">
        <v>0</v>
      </c>
    </row>
    <row r="93" spans="1:9">
      <c r="A93" s="29">
        <v>23</v>
      </c>
      <c r="B93" s="48" t="s">
        <v>293</v>
      </c>
      <c r="C93" s="86" t="s">
        <v>166</v>
      </c>
      <c r="D93" s="87" t="s">
        <v>320</v>
      </c>
      <c r="E93" s="33"/>
      <c r="F93" s="33">
        <v>6</v>
      </c>
      <c r="G93" s="33">
        <v>295.36</v>
      </c>
      <c r="H93" s="85"/>
      <c r="I93" s="47">
        <f>G93*4</f>
        <v>1181.44</v>
      </c>
    </row>
    <row r="94" spans="1:9" ht="30">
      <c r="A94" s="29">
        <v>24</v>
      </c>
      <c r="B94" s="48" t="s">
        <v>307</v>
      </c>
      <c r="C94" s="86" t="s">
        <v>308</v>
      </c>
      <c r="D94" s="87" t="s">
        <v>311</v>
      </c>
      <c r="E94" s="33"/>
      <c r="F94" s="33">
        <v>1</v>
      </c>
      <c r="G94" s="33">
        <v>784.27</v>
      </c>
      <c r="H94" s="85"/>
      <c r="I94" s="47">
        <f>G94*1</f>
        <v>784.27</v>
      </c>
    </row>
    <row r="95" spans="1:9" ht="30">
      <c r="A95" s="29">
        <v>25</v>
      </c>
      <c r="B95" s="48" t="s">
        <v>232</v>
      </c>
      <c r="C95" s="86" t="s">
        <v>117</v>
      </c>
      <c r="D95" s="88" t="s">
        <v>319</v>
      </c>
      <c r="E95" s="33"/>
      <c r="F95" s="33">
        <v>4</v>
      </c>
      <c r="G95" s="33">
        <v>1226.45</v>
      </c>
      <c r="H95" s="85"/>
      <c r="I95" s="47">
        <f>G95*1</f>
        <v>1226.45</v>
      </c>
    </row>
    <row r="96" spans="1:9">
      <c r="A96" s="29">
        <v>26</v>
      </c>
      <c r="B96" s="48" t="s">
        <v>201</v>
      </c>
      <c r="C96" s="86" t="s">
        <v>117</v>
      </c>
      <c r="D96" s="87"/>
      <c r="E96" s="33"/>
      <c r="F96" s="33">
        <v>2</v>
      </c>
      <c r="G96" s="33">
        <v>98</v>
      </c>
      <c r="H96" s="85"/>
      <c r="I96" s="47">
        <f>G96*1</f>
        <v>98</v>
      </c>
    </row>
    <row r="97" spans="1:9">
      <c r="A97" s="29">
        <v>27</v>
      </c>
      <c r="B97" s="48" t="s">
        <v>234</v>
      </c>
      <c r="C97" s="86" t="s">
        <v>117</v>
      </c>
      <c r="D97" s="87"/>
      <c r="E97" s="33"/>
      <c r="F97" s="33">
        <v>4</v>
      </c>
      <c r="G97" s="33">
        <v>235</v>
      </c>
      <c r="H97" s="85"/>
      <c r="I97" s="47">
        <f>G97*1</f>
        <v>235</v>
      </c>
    </row>
    <row r="98" spans="1:9" ht="30">
      <c r="A98" s="29">
        <v>28</v>
      </c>
      <c r="B98" s="48" t="s">
        <v>139</v>
      </c>
      <c r="C98" s="86" t="s">
        <v>98</v>
      </c>
      <c r="D98" s="87" t="s">
        <v>316</v>
      </c>
      <c r="E98" s="33"/>
      <c r="F98" s="33">
        <v>2</v>
      </c>
      <c r="G98" s="33">
        <v>64.040000000000006</v>
      </c>
      <c r="H98" s="85"/>
      <c r="I98" s="47">
        <v>0</v>
      </c>
    </row>
    <row r="99" spans="1:9" ht="30">
      <c r="A99" s="29">
        <v>29</v>
      </c>
      <c r="B99" s="223" t="s">
        <v>260</v>
      </c>
      <c r="C99" s="29" t="s">
        <v>166</v>
      </c>
      <c r="D99" s="87" t="s">
        <v>314</v>
      </c>
      <c r="E99" s="33"/>
      <c r="F99" s="33">
        <v>3</v>
      </c>
      <c r="G99" s="33">
        <v>1380.91</v>
      </c>
      <c r="H99" s="85"/>
      <c r="I99" s="47">
        <f>G99*1</f>
        <v>1380.91</v>
      </c>
    </row>
    <row r="100" spans="1:9" ht="30">
      <c r="A100" s="29">
        <v>30</v>
      </c>
      <c r="B100" s="223" t="s">
        <v>206</v>
      </c>
      <c r="C100" s="29" t="s">
        <v>166</v>
      </c>
      <c r="D100" s="88" t="s">
        <v>313</v>
      </c>
      <c r="E100" s="33"/>
      <c r="F100" s="33">
        <v>5</v>
      </c>
      <c r="G100" s="33">
        <v>1504.51</v>
      </c>
      <c r="H100" s="85"/>
      <c r="I100" s="47">
        <f>G100*5</f>
        <v>7522.55</v>
      </c>
    </row>
    <row r="101" spans="1:9" ht="45">
      <c r="A101" s="29">
        <v>31</v>
      </c>
      <c r="B101" s="223" t="s">
        <v>309</v>
      </c>
      <c r="C101" s="29" t="s">
        <v>166</v>
      </c>
      <c r="D101" s="88" t="s">
        <v>312</v>
      </c>
      <c r="E101" s="33"/>
      <c r="F101" s="33">
        <v>4.5</v>
      </c>
      <c r="G101" s="33">
        <v>1478.55</v>
      </c>
      <c r="H101" s="85"/>
      <c r="I101" s="47">
        <f>G101*4.5</f>
        <v>6653.4749999999995</v>
      </c>
    </row>
    <row r="102" spans="1:9" ht="30">
      <c r="A102" s="29">
        <v>32</v>
      </c>
      <c r="B102" s="48" t="s">
        <v>295</v>
      </c>
      <c r="C102" s="86" t="s">
        <v>86</v>
      </c>
      <c r="D102" s="87" t="s">
        <v>315</v>
      </c>
      <c r="E102" s="33"/>
      <c r="F102" s="33">
        <v>2</v>
      </c>
      <c r="G102" s="33">
        <v>614.47</v>
      </c>
      <c r="H102" s="85"/>
      <c r="I102" s="47">
        <f>G102*1</f>
        <v>614.47</v>
      </c>
    </row>
    <row r="103" spans="1:9">
      <c r="A103" s="29">
        <v>33</v>
      </c>
      <c r="B103" s="48" t="s">
        <v>310</v>
      </c>
      <c r="C103" s="86" t="s">
        <v>86</v>
      </c>
      <c r="D103" s="87"/>
      <c r="E103" s="33"/>
      <c r="F103" s="33">
        <v>1</v>
      </c>
      <c r="G103" s="33">
        <v>344.83</v>
      </c>
      <c r="H103" s="85"/>
      <c r="I103" s="47">
        <f>G103*1</f>
        <v>344.83</v>
      </c>
    </row>
    <row r="104" spans="1:9">
      <c r="A104" s="29">
        <v>34</v>
      </c>
      <c r="B104" s="48" t="s">
        <v>165</v>
      </c>
      <c r="C104" s="86" t="s">
        <v>117</v>
      </c>
      <c r="D104" s="87" t="s">
        <v>317</v>
      </c>
      <c r="E104" s="33"/>
      <c r="F104" s="33">
        <v>4</v>
      </c>
      <c r="G104" s="33">
        <v>101.85</v>
      </c>
      <c r="H104" s="85"/>
      <c r="I104" s="47">
        <v>0</v>
      </c>
    </row>
    <row r="105" spans="1:9">
      <c r="A105" s="29">
        <v>35</v>
      </c>
      <c r="B105" s="48" t="s">
        <v>195</v>
      </c>
      <c r="C105" s="86" t="s">
        <v>39</v>
      </c>
      <c r="D105" s="87" t="s">
        <v>213</v>
      </c>
      <c r="E105" s="33"/>
      <c r="F105" s="33">
        <v>0.08</v>
      </c>
      <c r="G105" s="33">
        <v>28224.75</v>
      </c>
      <c r="H105" s="85"/>
      <c r="I105" s="47">
        <v>0</v>
      </c>
    </row>
    <row r="106" spans="1:9" ht="30">
      <c r="A106" s="29">
        <v>36</v>
      </c>
      <c r="B106" s="48" t="s">
        <v>174</v>
      </c>
      <c r="C106" s="86" t="s">
        <v>86</v>
      </c>
      <c r="D106" s="87" t="s">
        <v>322</v>
      </c>
      <c r="E106" s="33"/>
      <c r="F106" s="33">
        <v>4</v>
      </c>
      <c r="G106" s="33">
        <v>697.33</v>
      </c>
      <c r="H106" s="85"/>
      <c r="I106" s="47">
        <f>G106*2</f>
        <v>1394.66</v>
      </c>
    </row>
    <row r="107" spans="1:9" ht="30">
      <c r="A107" s="29">
        <v>37</v>
      </c>
      <c r="B107" s="48" t="s">
        <v>323</v>
      </c>
      <c r="C107" s="86" t="s">
        <v>117</v>
      </c>
      <c r="D107" s="87"/>
      <c r="E107" s="33"/>
      <c r="F107" s="33">
        <v>4</v>
      </c>
      <c r="G107" s="33">
        <v>224.48</v>
      </c>
      <c r="H107" s="85"/>
      <c r="I107" s="47">
        <f>G107*2</f>
        <v>448.96</v>
      </c>
    </row>
    <row r="108" spans="1:9" ht="18" customHeight="1">
      <c r="A108" s="29"/>
      <c r="B108" s="40" t="s">
        <v>51</v>
      </c>
      <c r="C108" s="36"/>
      <c r="D108" s="44"/>
      <c r="E108" s="36">
        <v>1</v>
      </c>
      <c r="F108" s="36"/>
      <c r="G108" s="36"/>
      <c r="H108" s="36"/>
      <c r="I108" s="31">
        <f>SUM(I91:I107)</f>
        <v>22116.555</v>
      </c>
    </row>
    <row r="109" spans="1:9">
      <c r="A109" s="29"/>
      <c r="B109" s="42" t="s">
        <v>78</v>
      </c>
      <c r="C109" s="15"/>
      <c r="D109" s="15"/>
      <c r="E109" s="37"/>
      <c r="F109" s="37"/>
      <c r="G109" s="38"/>
      <c r="H109" s="38"/>
      <c r="I109" s="17">
        <v>0</v>
      </c>
    </row>
    <row r="110" spans="1:9">
      <c r="A110" s="45"/>
      <c r="B110" s="41" t="s">
        <v>147</v>
      </c>
      <c r="C110" s="32"/>
      <c r="D110" s="32"/>
      <c r="E110" s="32"/>
      <c r="F110" s="32"/>
      <c r="G110" s="32"/>
      <c r="H110" s="32"/>
      <c r="I110" s="39">
        <f>I108+I89</f>
        <v>118105.84686240001</v>
      </c>
    </row>
    <row r="111" spans="1:9" ht="15.75">
      <c r="A111" s="247" t="s">
        <v>342</v>
      </c>
      <c r="B111" s="247"/>
      <c r="C111" s="247"/>
      <c r="D111" s="247"/>
      <c r="E111" s="247"/>
      <c r="F111" s="247"/>
      <c r="G111" s="247"/>
      <c r="H111" s="247"/>
      <c r="I111" s="247"/>
    </row>
    <row r="112" spans="1:9" ht="15.75">
      <c r="A112" s="54"/>
      <c r="B112" s="248" t="s">
        <v>343</v>
      </c>
      <c r="C112" s="248"/>
      <c r="D112" s="248"/>
      <c r="E112" s="248"/>
      <c r="F112" s="248"/>
      <c r="G112" s="248"/>
      <c r="H112" s="59"/>
      <c r="I112" s="3"/>
    </row>
    <row r="113" spans="1:9">
      <c r="A113" s="137"/>
      <c r="B113" s="249" t="s">
        <v>6</v>
      </c>
      <c r="C113" s="249"/>
      <c r="D113" s="249"/>
      <c r="E113" s="249"/>
      <c r="F113" s="249"/>
      <c r="G113" s="249"/>
      <c r="H113" s="24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>
      <c r="A115" s="250" t="s">
        <v>7</v>
      </c>
      <c r="B115" s="250"/>
      <c r="C115" s="250"/>
      <c r="D115" s="250"/>
      <c r="E115" s="250"/>
      <c r="F115" s="250"/>
      <c r="G115" s="250"/>
      <c r="H115" s="250"/>
      <c r="I115" s="250"/>
    </row>
    <row r="116" spans="1:9" ht="15.75">
      <c r="A116" s="250" t="s">
        <v>8</v>
      </c>
      <c r="B116" s="250"/>
      <c r="C116" s="250"/>
      <c r="D116" s="250"/>
      <c r="E116" s="250"/>
      <c r="F116" s="250"/>
      <c r="G116" s="250"/>
      <c r="H116" s="250"/>
      <c r="I116" s="250"/>
    </row>
    <row r="117" spans="1:9" ht="15.75">
      <c r="A117" s="239" t="s">
        <v>60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15.75">
      <c r="A118" s="11"/>
    </row>
    <row r="119" spans="1:9" ht="15.75">
      <c r="A119" s="252" t="s">
        <v>9</v>
      </c>
      <c r="B119" s="252"/>
      <c r="C119" s="252"/>
      <c r="D119" s="252"/>
      <c r="E119" s="252"/>
      <c r="F119" s="252"/>
      <c r="G119" s="252"/>
      <c r="H119" s="252"/>
      <c r="I119" s="252"/>
    </row>
    <row r="120" spans="1:9" ht="15.75">
      <c r="A120" s="4"/>
    </row>
    <row r="121" spans="1:9" ht="15.75">
      <c r="B121" s="138" t="s">
        <v>10</v>
      </c>
      <c r="C121" s="253" t="s">
        <v>209</v>
      </c>
      <c r="D121" s="253"/>
      <c r="E121" s="253"/>
      <c r="F121" s="57"/>
      <c r="I121" s="136"/>
    </row>
    <row r="122" spans="1:9">
      <c r="A122" s="137"/>
      <c r="C122" s="249" t="s">
        <v>11</v>
      </c>
      <c r="D122" s="249"/>
      <c r="E122" s="249"/>
      <c r="F122" s="24"/>
      <c r="I122" s="135" t="s">
        <v>12</v>
      </c>
    </row>
    <row r="123" spans="1:9" ht="15.75">
      <c r="A123" s="25"/>
      <c r="C123" s="12"/>
      <c r="D123" s="12"/>
      <c r="G123" s="12"/>
      <c r="H123" s="12"/>
    </row>
    <row r="124" spans="1:9" ht="15.75">
      <c r="B124" s="138" t="s">
        <v>13</v>
      </c>
      <c r="C124" s="254"/>
      <c r="D124" s="254"/>
      <c r="E124" s="254"/>
      <c r="F124" s="58"/>
      <c r="I124" s="136"/>
    </row>
    <row r="125" spans="1:9">
      <c r="A125" s="137"/>
      <c r="C125" s="229" t="s">
        <v>11</v>
      </c>
      <c r="D125" s="229"/>
      <c r="E125" s="229"/>
      <c r="F125" s="137"/>
      <c r="I125" s="135" t="s">
        <v>12</v>
      </c>
    </row>
    <row r="126" spans="1:9" ht="15.75">
      <c r="A126" s="4" t="s">
        <v>14</v>
      </c>
    </row>
    <row r="127" spans="1:9">
      <c r="A127" s="255" t="s">
        <v>15</v>
      </c>
      <c r="B127" s="255"/>
      <c r="C127" s="255"/>
      <c r="D127" s="255"/>
      <c r="E127" s="255"/>
      <c r="F127" s="255"/>
      <c r="G127" s="255"/>
      <c r="H127" s="255"/>
      <c r="I127" s="255"/>
    </row>
    <row r="128" spans="1:9" ht="47.25" customHeight="1">
      <c r="A128" s="251" t="s">
        <v>16</v>
      </c>
      <c r="B128" s="251"/>
      <c r="C128" s="251"/>
      <c r="D128" s="251"/>
      <c r="E128" s="251"/>
      <c r="F128" s="251"/>
      <c r="G128" s="251"/>
      <c r="H128" s="251"/>
      <c r="I128" s="251"/>
    </row>
    <row r="129" spans="1:9" ht="35.25" customHeight="1">
      <c r="A129" s="251" t="s">
        <v>17</v>
      </c>
      <c r="B129" s="251"/>
      <c r="C129" s="251"/>
      <c r="D129" s="251"/>
      <c r="E129" s="251"/>
      <c r="F129" s="251"/>
      <c r="G129" s="251"/>
      <c r="H129" s="251"/>
      <c r="I129" s="251"/>
    </row>
    <row r="130" spans="1:9" ht="28.5" customHeight="1">
      <c r="A130" s="251" t="s">
        <v>21</v>
      </c>
      <c r="B130" s="251"/>
      <c r="C130" s="251"/>
      <c r="D130" s="251"/>
      <c r="E130" s="251"/>
      <c r="F130" s="251"/>
      <c r="G130" s="251"/>
      <c r="H130" s="251"/>
      <c r="I130" s="251"/>
    </row>
    <row r="131" spans="1:9" ht="15.75">
      <c r="A131" s="251" t="s">
        <v>20</v>
      </c>
      <c r="B131" s="251"/>
      <c r="C131" s="251"/>
      <c r="D131" s="251"/>
      <c r="E131" s="251"/>
      <c r="F131" s="251"/>
      <c r="G131" s="251"/>
      <c r="H131" s="251"/>
      <c r="I131" s="251"/>
    </row>
  </sheetData>
  <mergeCells count="28">
    <mergeCell ref="A128:I128"/>
    <mergeCell ref="A129:I129"/>
    <mergeCell ref="A130:I130"/>
    <mergeCell ref="A131:I131"/>
    <mergeCell ref="A119:I119"/>
    <mergeCell ref="C121:E121"/>
    <mergeCell ref="C122:E122"/>
    <mergeCell ref="C124:E124"/>
    <mergeCell ref="C125:E125"/>
    <mergeCell ref="A127:I127"/>
    <mergeCell ref="A117:I117"/>
    <mergeCell ref="A15:I15"/>
    <mergeCell ref="A27:I27"/>
    <mergeCell ref="A44:I44"/>
    <mergeCell ref="A54:I54"/>
    <mergeCell ref="A86:I86"/>
    <mergeCell ref="A90:I90"/>
    <mergeCell ref="A111:I111"/>
    <mergeCell ref="B112:G112"/>
    <mergeCell ref="B113:G113"/>
    <mergeCell ref="A115:I115"/>
    <mergeCell ref="A116:I116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7"/>
  <sheetViews>
    <sheetView topLeftCell="A72" workbookViewId="0">
      <selection activeCell="J104" sqref="J104"/>
    </sheetView>
  </sheetViews>
  <sheetFormatPr defaultRowHeight="15"/>
  <cols>
    <col min="1" max="1" width="12" customWidth="1"/>
    <col min="2" max="2" width="46.85546875" customWidth="1"/>
    <col min="3" max="3" width="18" customWidth="1"/>
    <col min="4" max="4" width="17.85546875" customWidth="1"/>
    <col min="5" max="6" width="0" hidden="1" customWidth="1"/>
    <col min="7" max="7" width="15.85546875" customWidth="1"/>
    <col min="8" max="8" width="0" hidden="1" customWidth="1"/>
    <col min="9" max="9" width="18.2851562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172</v>
      </c>
      <c r="B3" s="233"/>
      <c r="C3" s="233"/>
      <c r="D3" s="233"/>
      <c r="E3" s="233"/>
      <c r="F3" s="233"/>
      <c r="G3" s="233"/>
      <c r="H3" s="233"/>
      <c r="I3" s="233"/>
    </row>
    <row r="4" spans="1:9" ht="33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324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47"/>
      <c r="C6" s="147"/>
      <c r="D6" s="147"/>
      <c r="E6" s="147"/>
      <c r="F6" s="147"/>
      <c r="G6" s="147"/>
      <c r="H6" s="147"/>
      <c r="I6" s="134">
        <v>44439</v>
      </c>
    </row>
    <row r="7" spans="1:9" ht="15.75">
      <c r="B7" s="145"/>
      <c r="C7" s="145"/>
      <c r="D7" s="145"/>
      <c r="E7" s="3"/>
      <c r="F7" s="3"/>
      <c r="G7" s="3"/>
      <c r="H7" s="3"/>
    </row>
    <row r="8" spans="1:9" ht="97.5" customHeight="1">
      <c r="A8" s="236" t="s">
        <v>325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0.7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20.25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8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v>0</v>
      </c>
    </row>
    <row r="20" spans="1:9" hidden="1">
      <c r="A20" s="29">
        <v>5</v>
      </c>
      <c r="B20" s="62" t="s">
        <v>92</v>
      </c>
      <c r="C20" s="63" t="s">
        <v>99</v>
      </c>
      <c r="D20" s="62" t="s">
        <v>41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2" t="s">
        <v>93</v>
      </c>
      <c r="C21" s="63" t="s">
        <v>99</v>
      </c>
      <c r="D21" s="73" t="s">
        <v>41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v>0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v>0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v>0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v>0</v>
      </c>
    </row>
    <row r="26" spans="1:9" ht="16.5" hidden="1" customHeight="1">
      <c r="A26" s="29">
        <v>4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t="16.5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5" customHeight="1">
      <c r="A29" s="29">
        <v>4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>SUM(F29*G29/1000)</f>
        <v>3.9495100528000009</v>
      </c>
      <c r="I29" s="13">
        <f>F29/6*G29</f>
        <v>658.25167546666682</v>
      </c>
    </row>
    <row r="30" spans="1:9" ht="45" customHeight="1">
      <c r="A30" s="29">
        <v>5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>SUM(F31*G31/1000)</f>
        <v>1.4716320896000001</v>
      </c>
      <c r="I31" s="13">
        <f>F31*G31</f>
        <v>1471.6320896000002</v>
      </c>
    </row>
    <row r="32" spans="1:9" ht="18" customHeight="1">
      <c r="A32" s="29">
        <v>6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>SUM(F33*G33/1000)</f>
        <v>0.52190000000000003</v>
      </c>
      <c r="I33" s="13">
        <v>0</v>
      </c>
    </row>
    <row r="34" spans="1:9" hidden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>SUM(F34*G34/1000)</f>
        <v>1.54992</v>
      </c>
      <c r="I34" s="13">
        <v>0</v>
      </c>
    </row>
    <row r="35" spans="1:9" hidden="1">
      <c r="A35" s="29"/>
      <c r="B35" s="82" t="s">
        <v>5</v>
      </c>
      <c r="C35" s="63"/>
      <c r="D35" s="62"/>
      <c r="E35" s="64"/>
      <c r="F35" s="65"/>
      <c r="G35" s="65"/>
      <c r="H35" s="66" t="s">
        <v>124</v>
      </c>
      <c r="I35" s="13"/>
    </row>
    <row r="36" spans="1:9" hidden="1">
      <c r="A36" s="29">
        <v>6</v>
      </c>
      <c r="B36" s="62" t="s">
        <v>26</v>
      </c>
      <c r="C36" s="63" t="s">
        <v>32</v>
      </c>
      <c r="D36" s="62"/>
      <c r="E36" s="64"/>
      <c r="F36" s="65">
        <v>5</v>
      </c>
      <c r="G36" s="65">
        <v>2083</v>
      </c>
      <c r="H36" s="66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2" t="s">
        <v>66</v>
      </c>
      <c r="C37" s="63" t="s">
        <v>29</v>
      </c>
      <c r="D37" s="62" t="s">
        <v>111</v>
      </c>
      <c r="E37" s="65">
        <v>469.73</v>
      </c>
      <c r="F37" s="65">
        <f>SUM(E37*30/1000)</f>
        <v>14.091900000000001</v>
      </c>
      <c r="G37" s="65">
        <v>2868.09</v>
      </c>
      <c r="H37" s="66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2" t="s">
        <v>67</v>
      </c>
      <c r="C38" s="63" t="s">
        <v>29</v>
      </c>
      <c r="D38" s="62" t="s">
        <v>112</v>
      </c>
      <c r="E38" s="65">
        <v>475.06</v>
      </c>
      <c r="F38" s="65">
        <f>SUM(E38*155/1000)</f>
        <v>73.634299999999996</v>
      </c>
      <c r="G38" s="65">
        <v>478.42</v>
      </c>
      <c r="H38" s="66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2" t="s">
        <v>89</v>
      </c>
      <c r="C39" s="63" t="s">
        <v>128</v>
      </c>
      <c r="D39" s="62" t="s">
        <v>150</v>
      </c>
      <c r="E39" s="64"/>
      <c r="F39" s="65">
        <v>39</v>
      </c>
      <c r="G39" s="65">
        <v>314</v>
      </c>
      <c r="H39" s="66">
        <f>SUM(F39*G39/1000)</f>
        <v>12.246</v>
      </c>
      <c r="I39" s="13">
        <v>0</v>
      </c>
    </row>
    <row r="40" spans="1:9" ht="60" hidden="1">
      <c r="A40" s="29">
        <v>9</v>
      </c>
      <c r="B40" s="62" t="s">
        <v>81</v>
      </c>
      <c r="C40" s="63" t="s">
        <v>107</v>
      </c>
      <c r="D40" s="62" t="s">
        <v>129</v>
      </c>
      <c r="E40" s="65">
        <v>40.6</v>
      </c>
      <c r="F40" s="65">
        <f>SUM(E40*35/1000)</f>
        <v>1.421</v>
      </c>
      <c r="G40" s="65">
        <v>7915.6</v>
      </c>
      <c r="H40" s="66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2" t="s">
        <v>113</v>
      </c>
      <c r="C41" s="63" t="s">
        <v>107</v>
      </c>
      <c r="D41" s="62" t="s">
        <v>68</v>
      </c>
      <c r="E41" s="65">
        <v>167.03</v>
      </c>
      <c r="F41" s="65">
        <f>SUM(E41*45/1000)</f>
        <v>7.5163500000000001</v>
      </c>
      <c r="G41" s="65">
        <v>584.74</v>
      </c>
      <c r="H41" s="66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2" t="s">
        <v>69</v>
      </c>
      <c r="C42" s="63" t="s">
        <v>33</v>
      </c>
      <c r="D42" s="62"/>
      <c r="E42" s="64"/>
      <c r="F42" s="65">
        <v>1.2</v>
      </c>
      <c r="G42" s="65">
        <v>800</v>
      </c>
      <c r="H42" s="66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151</v>
      </c>
      <c r="C43" s="60" t="s">
        <v>29</v>
      </c>
      <c r="D43" s="62" t="s">
        <v>152</v>
      </c>
      <c r="E43" s="64">
        <v>4.2</v>
      </c>
      <c r="F43" s="65">
        <f>SUM(E43*12/1000)</f>
        <v>5.0400000000000007E-2</v>
      </c>
      <c r="G43" s="65">
        <v>270.61</v>
      </c>
      <c r="H43" s="66">
        <f t="shared" si="1"/>
        <v>1.3638744000000003E-2</v>
      </c>
      <c r="I43" s="13">
        <f t="shared" si="2"/>
        <v>2.2731240000000006</v>
      </c>
    </row>
    <row r="44" spans="1:9">
      <c r="A44" s="256" t="s">
        <v>164</v>
      </c>
      <c r="B44" s="257"/>
      <c r="C44" s="257"/>
      <c r="D44" s="257"/>
      <c r="E44" s="257"/>
      <c r="F44" s="257"/>
      <c r="G44" s="257"/>
      <c r="H44" s="257"/>
      <c r="I44" s="258"/>
    </row>
    <row r="45" spans="1:9" hidden="1">
      <c r="A45" s="29">
        <v>18</v>
      </c>
      <c r="B45" s="62" t="s">
        <v>114</v>
      </c>
      <c r="C45" s="63" t="s">
        <v>107</v>
      </c>
      <c r="D45" s="62" t="s">
        <v>41</v>
      </c>
      <c r="E45" s="64">
        <v>1603.6</v>
      </c>
      <c r="F45" s="65">
        <f>SUM(E45*2/1000)</f>
        <v>3.2071999999999998</v>
      </c>
      <c r="G45" s="13">
        <v>1158.7</v>
      </c>
      <c r="H45" s="66">
        <f t="shared" ref="H45:H53" si="3">SUM(F45*G45/1000)</f>
        <v>3.71618264</v>
      </c>
      <c r="I45" s="13">
        <f>F45/2*G45</f>
        <v>1858.09132</v>
      </c>
    </row>
    <row r="46" spans="1:9" hidden="1">
      <c r="A46" s="29">
        <v>19</v>
      </c>
      <c r="B46" s="62" t="s">
        <v>34</v>
      </c>
      <c r="C46" s="63" t="s">
        <v>107</v>
      </c>
      <c r="D46" s="62" t="s">
        <v>41</v>
      </c>
      <c r="E46" s="64">
        <v>65</v>
      </c>
      <c r="F46" s="65">
        <f>SUM(E46*2/1000)</f>
        <v>0.13</v>
      </c>
      <c r="G46" s="13">
        <v>790.38</v>
      </c>
      <c r="H46" s="66">
        <f t="shared" si="3"/>
        <v>0.1027494</v>
      </c>
      <c r="I46" s="13">
        <f>F46/2*G46</f>
        <v>51.374700000000004</v>
      </c>
    </row>
    <row r="47" spans="1:9" hidden="1">
      <c r="A47" s="29">
        <v>20</v>
      </c>
      <c r="B47" s="62" t="s">
        <v>35</v>
      </c>
      <c r="C47" s="63" t="s">
        <v>107</v>
      </c>
      <c r="D47" s="62" t="s">
        <v>41</v>
      </c>
      <c r="E47" s="64">
        <v>1825.8</v>
      </c>
      <c r="F47" s="65">
        <f>SUM(E47*2/1000)</f>
        <v>3.6515999999999997</v>
      </c>
      <c r="G47" s="13">
        <v>790.38</v>
      </c>
      <c r="H47" s="66">
        <f t="shared" si="3"/>
        <v>2.8861516079999996</v>
      </c>
      <c r="I47" s="13">
        <f t="shared" ref="I47:I52" si="4">F47/2*G47</f>
        <v>1443.0758039999998</v>
      </c>
    </row>
    <row r="48" spans="1:9" hidden="1">
      <c r="A48" s="29">
        <v>21</v>
      </c>
      <c r="B48" s="62" t="s">
        <v>36</v>
      </c>
      <c r="C48" s="63" t="s">
        <v>107</v>
      </c>
      <c r="D48" s="62" t="s">
        <v>41</v>
      </c>
      <c r="E48" s="64">
        <v>3163.96</v>
      </c>
      <c r="F48" s="65">
        <f>SUM(E48*2/1000)</f>
        <v>6.3279199999999998</v>
      </c>
      <c r="G48" s="13">
        <v>827.65</v>
      </c>
      <c r="H48" s="66">
        <f t="shared" si="3"/>
        <v>5.2373029879999997</v>
      </c>
      <c r="I48" s="13">
        <f t="shared" si="4"/>
        <v>2618.6514939999997</v>
      </c>
    </row>
    <row r="49" spans="1:9" hidden="1">
      <c r="A49" s="29">
        <v>22</v>
      </c>
      <c r="B49" s="62" t="s">
        <v>55</v>
      </c>
      <c r="C49" s="63" t="s">
        <v>107</v>
      </c>
      <c r="D49" s="62" t="s">
        <v>141</v>
      </c>
      <c r="E49" s="64">
        <v>5816.5</v>
      </c>
      <c r="F49" s="65">
        <f>SUM(E49*5/1000)</f>
        <v>29.0825</v>
      </c>
      <c r="G49" s="13">
        <v>1655.27</v>
      </c>
      <c r="H49" s="66">
        <f t="shared" si="3"/>
        <v>48.139389774999998</v>
      </c>
      <c r="I49" s="13">
        <f>F49/5*G49</f>
        <v>9627.8779549999999</v>
      </c>
    </row>
    <row r="50" spans="1:9" ht="45" hidden="1">
      <c r="A50" s="29">
        <v>13</v>
      </c>
      <c r="B50" s="62" t="s">
        <v>115</v>
      </c>
      <c r="C50" s="63" t="s">
        <v>107</v>
      </c>
      <c r="D50" s="62" t="s">
        <v>41</v>
      </c>
      <c r="E50" s="64">
        <v>5816.5</v>
      </c>
      <c r="F50" s="65">
        <f>SUM(E50*2/1000)</f>
        <v>11.632999999999999</v>
      </c>
      <c r="G50" s="13">
        <v>1655.27</v>
      </c>
      <c r="H50" s="66">
        <f t="shared" si="3"/>
        <v>19.255755910000001</v>
      </c>
      <c r="I50" s="13">
        <f t="shared" si="4"/>
        <v>9627.8779549999999</v>
      </c>
    </row>
    <row r="51" spans="1:9" ht="30" hidden="1">
      <c r="A51" s="29">
        <v>14</v>
      </c>
      <c r="B51" s="62" t="s">
        <v>116</v>
      </c>
      <c r="C51" s="63" t="s">
        <v>37</v>
      </c>
      <c r="D51" s="62" t="s">
        <v>41</v>
      </c>
      <c r="E51" s="64">
        <v>25</v>
      </c>
      <c r="F51" s="65">
        <f>SUM(E51*2/100)</f>
        <v>0.5</v>
      </c>
      <c r="G51" s="13">
        <v>3724.37</v>
      </c>
      <c r="H51" s="66">
        <f t="shared" si="3"/>
        <v>1.862185</v>
      </c>
      <c r="I51" s="13">
        <f t="shared" si="4"/>
        <v>931.09249999999997</v>
      </c>
    </row>
    <row r="52" spans="1:9" hidden="1">
      <c r="A52" s="29">
        <v>15</v>
      </c>
      <c r="B52" s="62" t="s">
        <v>38</v>
      </c>
      <c r="C52" s="63" t="s">
        <v>39</v>
      </c>
      <c r="D52" s="62" t="s">
        <v>41</v>
      </c>
      <c r="E52" s="64">
        <v>1</v>
      </c>
      <c r="F52" s="65">
        <v>0.02</v>
      </c>
      <c r="G52" s="13">
        <v>7709.44</v>
      </c>
      <c r="H52" s="66">
        <f t="shared" si="3"/>
        <v>0.15418879999999999</v>
      </c>
      <c r="I52" s="13">
        <f t="shared" si="4"/>
        <v>77.094399999999993</v>
      </c>
    </row>
    <row r="53" spans="1:9">
      <c r="A53" s="29">
        <v>7</v>
      </c>
      <c r="B53" s="62" t="s">
        <v>40</v>
      </c>
      <c r="C53" s="63" t="s">
        <v>30</v>
      </c>
      <c r="D53" s="212">
        <v>44438</v>
      </c>
      <c r="E53" s="64">
        <v>198</v>
      </c>
      <c r="F53" s="65">
        <f>SUM(E53)*3</f>
        <v>594</v>
      </c>
      <c r="G53" s="13">
        <v>89.59</v>
      </c>
      <c r="H53" s="66">
        <f t="shared" si="3"/>
        <v>53.216459999999998</v>
      </c>
      <c r="I53" s="13">
        <f>F53/3*G53</f>
        <v>17738.82</v>
      </c>
    </row>
    <row r="54" spans="1:9">
      <c r="A54" s="241" t="s">
        <v>144</v>
      </c>
      <c r="B54" s="242"/>
      <c r="C54" s="242"/>
      <c r="D54" s="242"/>
      <c r="E54" s="242"/>
      <c r="F54" s="242"/>
      <c r="G54" s="242"/>
      <c r="H54" s="242"/>
      <c r="I54" s="243"/>
    </row>
    <row r="55" spans="1:9">
      <c r="A55" s="29"/>
      <c r="B55" s="82" t="s">
        <v>42</v>
      </c>
      <c r="C55" s="63"/>
      <c r="D55" s="62"/>
      <c r="E55" s="64"/>
      <c r="F55" s="65"/>
      <c r="G55" s="65"/>
      <c r="H55" s="66"/>
      <c r="I55" s="13"/>
    </row>
    <row r="56" spans="1:9" ht="45" hidden="1">
      <c r="A56" s="29">
        <v>16</v>
      </c>
      <c r="B56" s="62" t="s">
        <v>118</v>
      </c>
      <c r="C56" s="63" t="s">
        <v>99</v>
      </c>
      <c r="D56" s="62" t="s">
        <v>71</v>
      </c>
      <c r="E56" s="64">
        <v>118.3</v>
      </c>
      <c r="F56" s="65">
        <f>E56*6/100</f>
        <v>7.0979999999999999</v>
      </c>
      <c r="G56" s="72">
        <v>2110.4699999999998</v>
      </c>
      <c r="H56" s="66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2" t="s">
        <v>153</v>
      </c>
      <c r="C57" s="63" t="s">
        <v>99</v>
      </c>
      <c r="D57" s="62" t="s">
        <v>71</v>
      </c>
      <c r="E57" s="71">
        <v>3.78</v>
      </c>
      <c r="F57" s="13">
        <f>E57*6/100</f>
        <v>0.2268</v>
      </c>
      <c r="G57" s="65">
        <v>2110.4699999999998</v>
      </c>
      <c r="H57" s="66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3" t="s">
        <v>94</v>
      </c>
      <c r="C58" s="63" t="s">
        <v>95</v>
      </c>
      <c r="D58" s="73" t="s">
        <v>41</v>
      </c>
      <c r="E58" s="74">
        <v>5</v>
      </c>
      <c r="F58" s="75">
        <v>10</v>
      </c>
      <c r="G58" s="72">
        <v>246.58</v>
      </c>
      <c r="H58" s="76">
        <v>0.99099999999999999</v>
      </c>
      <c r="I58" s="13">
        <f>F58/2*G58</f>
        <v>1232.9000000000001</v>
      </c>
    </row>
    <row r="59" spans="1:9">
      <c r="A59" s="29">
        <v>8</v>
      </c>
      <c r="B59" s="73" t="s">
        <v>154</v>
      </c>
      <c r="C59" s="77" t="s">
        <v>32</v>
      </c>
      <c r="D59" s="73" t="s">
        <v>328</v>
      </c>
      <c r="E59" s="74"/>
      <c r="F59" s="76">
        <v>5</v>
      </c>
      <c r="G59" s="96">
        <v>1645</v>
      </c>
      <c r="H59" s="76">
        <f>SUM(F59*G59/1000)</f>
        <v>8.2249999999999996</v>
      </c>
      <c r="I59" s="96">
        <f>G59*14</f>
        <v>23030</v>
      </c>
    </row>
    <row r="60" spans="1:9" ht="18.75" customHeight="1">
      <c r="A60" s="29"/>
      <c r="B60" s="83" t="s">
        <v>43</v>
      </c>
      <c r="C60" s="77"/>
      <c r="D60" s="62"/>
      <c r="E60" s="64"/>
      <c r="F60" s="65"/>
      <c r="G60" s="65"/>
      <c r="H60" s="65"/>
      <c r="I60" s="119"/>
    </row>
    <row r="61" spans="1:9" hidden="1">
      <c r="A61" s="29"/>
      <c r="B61" s="73" t="s">
        <v>44</v>
      </c>
      <c r="C61" s="77" t="s">
        <v>52</v>
      </c>
      <c r="D61" s="62" t="s">
        <v>53</v>
      </c>
      <c r="E61" s="64">
        <v>352</v>
      </c>
      <c r="F61" s="65">
        <f>E61/100</f>
        <v>3.52</v>
      </c>
      <c r="G61" s="65">
        <v>1082.47</v>
      </c>
      <c r="H61" s="65">
        <f>G61*F61/1000</f>
        <v>3.8102944000000001</v>
      </c>
      <c r="I61" s="119">
        <v>0</v>
      </c>
    </row>
    <row r="62" spans="1:9" ht="17.25" customHeight="1">
      <c r="A62" s="29">
        <v>9</v>
      </c>
      <c r="B62" s="73" t="s">
        <v>90</v>
      </c>
      <c r="C62" s="77" t="s">
        <v>25</v>
      </c>
      <c r="D62" s="62"/>
      <c r="E62" s="64">
        <v>200</v>
      </c>
      <c r="F62" s="65">
        <f>E62*12</f>
        <v>2400</v>
      </c>
      <c r="G62" s="65">
        <v>1.4</v>
      </c>
      <c r="H62" s="65">
        <f>G62*F62/1000</f>
        <v>3.36</v>
      </c>
      <c r="I62" s="13">
        <f>F62/12*G62</f>
        <v>280</v>
      </c>
    </row>
    <row r="63" spans="1:9">
      <c r="A63" s="29"/>
      <c r="B63" s="83" t="s">
        <v>45</v>
      </c>
      <c r="C63" s="77"/>
      <c r="D63" s="116"/>
      <c r="E63" s="67"/>
      <c r="F63" s="111"/>
      <c r="G63" s="111"/>
      <c r="H63" s="117" t="s">
        <v>124</v>
      </c>
      <c r="I63" s="118"/>
    </row>
    <row r="64" spans="1:9" ht="18" customHeight="1">
      <c r="A64" s="29">
        <v>10</v>
      </c>
      <c r="B64" s="14" t="s">
        <v>46</v>
      </c>
      <c r="C64" s="16" t="s">
        <v>117</v>
      </c>
      <c r="D64" s="14" t="s">
        <v>185</v>
      </c>
      <c r="E64" s="18">
        <v>14</v>
      </c>
      <c r="F64" s="13">
        <f>SUM(E64)</f>
        <v>14</v>
      </c>
      <c r="G64" s="13">
        <v>303.35000000000002</v>
      </c>
      <c r="H64" s="61">
        <f t="shared" ref="H64:H83" si="5">SUM(F64*G64/1000)</f>
        <v>4.2469000000000001</v>
      </c>
      <c r="I64" s="13">
        <f>G64*5</f>
        <v>1516.75</v>
      </c>
    </row>
    <row r="65" spans="1:9" ht="14.25" hidden="1" customHeight="1">
      <c r="A65" s="29"/>
      <c r="B65" s="14" t="s">
        <v>47</v>
      </c>
      <c r="C65" s="16" t="s">
        <v>117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1">
        <f t="shared" si="5"/>
        <v>0.72806999999999999</v>
      </c>
      <c r="I65" s="13">
        <v>0</v>
      </c>
    </row>
    <row r="66" spans="1:9" ht="21" hidden="1" customHeight="1">
      <c r="A66" s="29">
        <v>24</v>
      </c>
      <c r="B66" s="14" t="s">
        <v>48</v>
      </c>
      <c r="C66" s="16" t="s">
        <v>119</v>
      </c>
      <c r="D66" s="14" t="s">
        <v>53</v>
      </c>
      <c r="E66" s="64">
        <v>23808</v>
      </c>
      <c r="F66" s="13">
        <f>SUM(E66/100)</f>
        <v>238.08</v>
      </c>
      <c r="G66" s="13">
        <v>289.37</v>
      </c>
      <c r="H66" s="61">
        <f t="shared" si="5"/>
        <v>68.893209600000006</v>
      </c>
      <c r="I66" s="13">
        <f t="shared" ref="I66:I71" si="6">F66*G66</f>
        <v>68893.209600000002</v>
      </c>
    </row>
    <row r="67" spans="1:9" ht="21" hidden="1" customHeight="1">
      <c r="A67" s="29">
        <v>25</v>
      </c>
      <c r="B67" s="14" t="s">
        <v>49</v>
      </c>
      <c r="C67" s="16" t="s">
        <v>120</v>
      </c>
      <c r="D67" s="14"/>
      <c r="E67" s="64">
        <v>23808</v>
      </c>
      <c r="F67" s="13">
        <f>SUM(E67/1000)</f>
        <v>23.808</v>
      </c>
      <c r="G67" s="13">
        <v>225.35</v>
      </c>
      <c r="H67" s="61">
        <f t="shared" si="5"/>
        <v>5.3651327999999996</v>
      </c>
      <c r="I67" s="13">
        <f t="shared" si="6"/>
        <v>5365.1327999999994</v>
      </c>
    </row>
    <row r="68" spans="1:9" ht="22.5" hidden="1" customHeight="1">
      <c r="A68" s="29">
        <v>26</v>
      </c>
      <c r="B68" s="14" t="s">
        <v>50</v>
      </c>
      <c r="C68" s="16" t="s">
        <v>76</v>
      </c>
      <c r="D68" s="14" t="s">
        <v>53</v>
      </c>
      <c r="E68" s="64">
        <v>3810</v>
      </c>
      <c r="F68" s="13">
        <f>SUM(E68/100)</f>
        <v>38.1</v>
      </c>
      <c r="G68" s="13">
        <v>2829.78</v>
      </c>
      <c r="H68" s="61">
        <f t="shared" si="5"/>
        <v>107.81461800000001</v>
      </c>
      <c r="I68" s="13">
        <f t="shared" si="6"/>
        <v>107814.61800000002</v>
      </c>
    </row>
    <row r="69" spans="1:9" ht="21.75" hidden="1" customHeight="1">
      <c r="A69" s="29">
        <v>27</v>
      </c>
      <c r="B69" s="79" t="s">
        <v>121</v>
      </c>
      <c r="C69" s="16" t="s">
        <v>33</v>
      </c>
      <c r="D69" s="14"/>
      <c r="E69" s="64">
        <v>12.8</v>
      </c>
      <c r="F69" s="13">
        <f>SUM(E69)</f>
        <v>12.8</v>
      </c>
      <c r="G69" s="13">
        <v>44.31</v>
      </c>
      <c r="H69" s="61">
        <f t="shared" si="5"/>
        <v>0.56716800000000001</v>
      </c>
      <c r="I69" s="13">
        <f t="shared" si="6"/>
        <v>567.16800000000001</v>
      </c>
    </row>
    <row r="70" spans="1:9" ht="21" hidden="1" customHeight="1">
      <c r="A70" s="29">
        <v>28</v>
      </c>
      <c r="B70" s="79" t="s">
        <v>130</v>
      </c>
      <c r="C70" s="16" t="s">
        <v>33</v>
      </c>
      <c r="D70" s="14"/>
      <c r="E70" s="64">
        <v>12.8</v>
      </c>
      <c r="F70" s="13">
        <f>SUM(E70)</f>
        <v>12.8</v>
      </c>
      <c r="G70" s="13">
        <v>47.79</v>
      </c>
      <c r="H70" s="61">
        <f t="shared" si="5"/>
        <v>0.61171200000000003</v>
      </c>
      <c r="I70" s="13">
        <f t="shared" si="6"/>
        <v>611.71199999999999</v>
      </c>
    </row>
    <row r="71" spans="1:9" ht="22.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5">
        <f>SUM(E71)</f>
        <v>6</v>
      </c>
      <c r="G71" s="13">
        <v>68.040000000000006</v>
      </c>
      <c r="H71" s="61">
        <f t="shared" si="5"/>
        <v>0.40823999999999999</v>
      </c>
      <c r="I71" s="13">
        <f t="shared" si="6"/>
        <v>408.24</v>
      </c>
    </row>
    <row r="72" spans="1:9" ht="30.75" customHeight="1">
      <c r="A72" s="29">
        <v>11</v>
      </c>
      <c r="B72" s="79" t="s">
        <v>155</v>
      </c>
      <c r="C72" s="16"/>
      <c r="D72" s="14" t="s">
        <v>191</v>
      </c>
      <c r="E72" s="18">
        <v>1</v>
      </c>
      <c r="F72" s="13">
        <v>12</v>
      </c>
      <c r="G72" s="13">
        <v>1194</v>
      </c>
      <c r="H72" s="61">
        <f t="shared" si="5"/>
        <v>14.327999999999999</v>
      </c>
      <c r="I72" s="13">
        <f>F72/12*G72</f>
        <v>1194</v>
      </c>
    </row>
    <row r="73" spans="1:9" ht="15" customHeight="1">
      <c r="A73" s="29"/>
      <c r="B73" s="148" t="s">
        <v>156</v>
      </c>
      <c r="C73" s="16"/>
      <c r="D73" s="14"/>
      <c r="E73" s="18"/>
      <c r="F73" s="55"/>
      <c r="G73" s="13"/>
      <c r="H73" s="61"/>
      <c r="I73" s="13"/>
    </row>
    <row r="74" spans="1:9" ht="28.5" customHeight="1">
      <c r="A74" s="29">
        <v>12</v>
      </c>
      <c r="B74" s="14" t="s">
        <v>157</v>
      </c>
      <c r="C74" s="29" t="s">
        <v>158</v>
      </c>
      <c r="D74" s="14"/>
      <c r="E74" s="18">
        <v>5816.5</v>
      </c>
      <c r="F74" s="65">
        <f>SUM(E74)*12</f>
        <v>69798</v>
      </c>
      <c r="G74" s="13">
        <v>2.37</v>
      </c>
      <c r="H74" s="61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13</v>
      </c>
      <c r="B75" s="46" t="s">
        <v>159</v>
      </c>
      <c r="C75" s="60" t="s">
        <v>117</v>
      </c>
      <c r="D75" s="14" t="s">
        <v>191</v>
      </c>
      <c r="E75" s="113">
        <v>1</v>
      </c>
      <c r="F75" s="75">
        <f>E75*12</f>
        <v>12</v>
      </c>
      <c r="G75" s="96">
        <v>55.55</v>
      </c>
      <c r="H75" s="61">
        <f>SUM(F75*G75/1000)</f>
        <v>0.66659999999999986</v>
      </c>
      <c r="I75" s="13">
        <f>F75/12*G75</f>
        <v>55.55</v>
      </c>
    </row>
    <row r="76" spans="1:9" ht="36" hidden="1" customHeight="1">
      <c r="A76" s="105"/>
      <c r="B76" s="148" t="s">
        <v>72</v>
      </c>
      <c r="C76" s="16"/>
      <c r="D76" s="14"/>
      <c r="E76" s="18"/>
      <c r="F76" s="13"/>
      <c r="G76" s="13"/>
      <c r="H76" s="61" t="s">
        <v>124</v>
      </c>
      <c r="I76" s="106"/>
    </row>
    <row r="77" spans="1:9" ht="30" hidden="1">
      <c r="A77" s="105"/>
      <c r="B77" s="14" t="s">
        <v>160</v>
      </c>
      <c r="C77" s="16" t="s">
        <v>30</v>
      </c>
      <c r="D77" s="14" t="s">
        <v>65</v>
      </c>
      <c r="E77" s="18">
        <v>2</v>
      </c>
      <c r="F77" s="65">
        <f>E77</f>
        <v>2</v>
      </c>
      <c r="G77" s="13">
        <v>2112.2800000000002</v>
      </c>
      <c r="H77" s="61">
        <f>G77*F77/1000</f>
        <v>4.2245600000000003</v>
      </c>
      <c r="I77" s="106">
        <v>0</v>
      </c>
    </row>
    <row r="78" spans="1:9" hidden="1">
      <c r="A78" s="105"/>
      <c r="B78" s="46" t="s">
        <v>161</v>
      </c>
      <c r="C78" s="60" t="s">
        <v>117</v>
      </c>
      <c r="D78" s="14" t="s">
        <v>65</v>
      </c>
      <c r="E78" s="18">
        <v>5</v>
      </c>
      <c r="F78" s="13">
        <v>5</v>
      </c>
      <c r="G78" s="13">
        <v>136.19999999999999</v>
      </c>
      <c r="H78" s="61">
        <f>SUM(F78*G78/1000)</f>
        <v>0.68100000000000005</v>
      </c>
      <c r="I78" s="106">
        <v>0</v>
      </c>
    </row>
    <row r="79" spans="1:9" hidden="1">
      <c r="A79" s="105"/>
      <c r="B79" s="14" t="s">
        <v>73</v>
      </c>
      <c r="C79" s="16" t="s">
        <v>162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1">
        <f>SUM(F79*G79/1000)</f>
        <v>0.41051399999999999</v>
      </c>
      <c r="I79" s="106">
        <v>0</v>
      </c>
    </row>
    <row r="80" spans="1:9" hidden="1">
      <c r="A80" s="105"/>
      <c r="B80" s="14" t="s">
        <v>74</v>
      </c>
      <c r="C80" s="16" t="s">
        <v>30</v>
      </c>
      <c r="D80" s="14" t="s">
        <v>65</v>
      </c>
      <c r="E80" s="18">
        <v>1</v>
      </c>
      <c r="F80" s="55">
        <v>1</v>
      </c>
      <c r="G80" s="13">
        <v>1163.47</v>
      </c>
      <c r="H80" s="61">
        <f>SUM(F80*G80/1000)</f>
        <v>1.16347</v>
      </c>
      <c r="I80" s="106">
        <v>0</v>
      </c>
    </row>
    <row r="81" spans="1:9" hidden="1">
      <c r="A81" s="105"/>
      <c r="B81" s="46" t="s">
        <v>163</v>
      </c>
      <c r="C81" s="60" t="s">
        <v>117</v>
      </c>
      <c r="D81" s="14" t="s">
        <v>65</v>
      </c>
      <c r="E81" s="18">
        <v>1</v>
      </c>
      <c r="F81" s="65">
        <f>E81</f>
        <v>1</v>
      </c>
      <c r="G81" s="13">
        <v>1670.07</v>
      </c>
      <c r="H81" s="61">
        <f>SUM(F81*G81/1000)</f>
        <v>1.6700699999999999</v>
      </c>
      <c r="I81" s="106">
        <v>0</v>
      </c>
    </row>
    <row r="82" spans="1:9" hidden="1">
      <c r="A82" s="105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06"/>
    </row>
    <row r="83" spans="1:9" hidden="1">
      <c r="A83" s="105"/>
      <c r="B83" s="42" t="s">
        <v>125</v>
      </c>
      <c r="C83" s="16" t="s">
        <v>76</v>
      </c>
      <c r="D83" s="14"/>
      <c r="E83" s="18"/>
      <c r="F83" s="13">
        <v>0.6</v>
      </c>
      <c r="G83" s="13">
        <v>4144.28</v>
      </c>
      <c r="H83" s="61">
        <f t="shared" si="5"/>
        <v>2.4865679999999997</v>
      </c>
      <c r="I83" s="106">
        <v>0</v>
      </c>
    </row>
    <row r="84" spans="1:9" ht="28.5" hidden="1">
      <c r="A84" s="105"/>
      <c r="B84" s="148" t="s">
        <v>122</v>
      </c>
      <c r="C84" s="80"/>
      <c r="D84" s="112"/>
      <c r="E84" s="31"/>
      <c r="F84" s="114"/>
      <c r="G84" s="114"/>
      <c r="H84" s="115">
        <f>SUM(H56:H83)</f>
        <v>411.53215745600005</v>
      </c>
      <c r="I84" s="106"/>
    </row>
    <row r="85" spans="1:9" hidden="1">
      <c r="A85" s="105"/>
      <c r="B85" s="62" t="s">
        <v>123</v>
      </c>
      <c r="C85" s="16"/>
      <c r="D85" s="14"/>
      <c r="E85" s="56"/>
      <c r="F85" s="13">
        <v>1</v>
      </c>
      <c r="G85" s="13">
        <v>24117.599999999999</v>
      </c>
      <c r="H85" s="61">
        <f>G85*F85/1000</f>
        <v>24.117599999999999</v>
      </c>
      <c r="I85" s="106">
        <v>0</v>
      </c>
    </row>
    <row r="86" spans="1:9">
      <c r="A86" s="230" t="s">
        <v>145</v>
      </c>
      <c r="B86" s="231"/>
      <c r="C86" s="231"/>
      <c r="D86" s="231"/>
      <c r="E86" s="231"/>
      <c r="F86" s="231"/>
      <c r="G86" s="231"/>
      <c r="H86" s="231"/>
      <c r="I86" s="232"/>
    </row>
    <row r="87" spans="1:9" ht="13.5" customHeight="1">
      <c r="A87" s="105">
        <v>14</v>
      </c>
      <c r="B87" s="62" t="s">
        <v>126</v>
      </c>
      <c r="C87" s="16" t="s">
        <v>54</v>
      </c>
      <c r="D87" s="81"/>
      <c r="E87" s="13">
        <v>5816.5</v>
      </c>
      <c r="F87" s="13">
        <f>SUM(E87*12)</f>
        <v>69798</v>
      </c>
      <c r="G87" s="13">
        <v>3.22</v>
      </c>
      <c r="H87" s="61">
        <f>SUM(F87*G87/1000)</f>
        <v>224.74956000000003</v>
      </c>
      <c r="I87" s="13">
        <f>F87/12*G87</f>
        <v>18729.13</v>
      </c>
    </row>
    <row r="88" spans="1:9" ht="31.5" customHeight="1">
      <c r="A88" s="29">
        <v>15</v>
      </c>
      <c r="B88" s="14" t="s">
        <v>77</v>
      </c>
      <c r="C88" s="16"/>
      <c r="D88" s="81"/>
      <c r="E88" s="64">
        <f>E87</f>
        <v>5816.5</v>
      </c>
      <c r="F88" s="13">
        <f>E88*12</f>
        <v>69798</v>
      </c>
      <c r="G88" s="13">
        <v>3.64</v>
      </c>
      <c r="H88" s="61">
        <f>F88*G88/1000</f>
        <v>254.06471999999999</v>
      </c>
      <c r="I88" s="13">
        <f>F88/12*G88</f>
        <v>21172.06</v>
      </c>
    </row>
    <row r="89" spans="1:9">
      <c r="A89" s="146"/>
      <c r="B89" s="34" t="s">
        <v>79</v>
      </c>
      <c r="C89" s="35"/>
      <c r="D89" s="15"/>
      <c r="E89" s="15"/>
      <c r="F89" s="15"/>
      <c r="G89" s="18"/>
      <c r="H89" s="18"/>
      <c r="I89" s="31">
        <f>I88+I87+I75+I74+I72+I64+I62+I59+I53+I32+I30+I29+I18+I17+I16</f>
        <v>134854.64825940001</v>
      </c>
    </row>
    <row r="90" spans="1:9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9">
      <c r="A91" s="29">
        <v>16</v>
      </c>
      <c r="B91" s="48" t="s">
        <v>326</v>
      </c>
      <c r="C91" s="86" t="s">
        <v>117</v>
      </c>
      <c r="D91" s="87"/>
      <c r="E91" s="33"/>
      <c r="F91" s="33">
        <v>1</v>
      </c>
      <c r="G91" s="33">
        <v>224.48</v>
      </c>
      <c r="H91" s="85"/>
      <c r="I91" s="47">
        <f>G91*1</f>
        <v>224.48</v>
      </c>
    </row>
    <row r="92" spans="1:9" ht="30">
      <c r="A92" s="29">
        <v>17</v>
      </c>
      <c r="B92" s="48" t="s">
        <v>327</v>
      </c>
      <c r="C92" s="86" t="s">
        <v>329</v>
      </c>
      <c r="D92" s="88" t="s">
        <v>330</v>
      </c>
      <c r="E92" s="33"/>
      <c r="F92" s="33">
        <v>20</v>
      </c>
      <c r="G92" s="33">
        <v>404.52</v>
      </c>
      <c r="H92" s="85"/>
      <c r="I92" s="47">
        <f>G92*20</f>
        <v>8090.4</v>
      </c>
    </row>
    <row r="93" spans="1:9" ht="30">
      <c r="A93" s="29">
        <v>18</v>
      </c>
      <c r="B93" s="48" t="s">
        <v>179</v>
      </c>
      <c r="C93" s="86" t="s">
        <v>37</v>
      </c>
      <c r="D93" s="87" t="s">
        <v>190</v>
      </c>
      <c r="E93" s="33"/>
      <c r="F93" s="33">
        <v>0.03</v>
      </c>
      <c r="G93" s="33">
        <v>4233.72</v>
      </c>
      <c r="H93" s="85"/>
      <c r="I93" s="47">
        <v>0</v>
      </c>
    </row>
    <row r="94" spans="1:9" ht="19.5" customHeight="1">
      <c r="A94" s="29"/>
      <c r="B94" s="40" t="s">
        <v>51</v>
      </c>
      <c r="C94" s="36"/>
      <c r="D94" s="44"/>
      <c r="E94" s="36">
        <v>1</v>
      </c>
      <c r="F94" s="36"/>
      <c r="G94" s="36"/>
      <c r="H94" s="36"/>
      <c r="I94" s="31">
        <f>SUM(I91:I93)</f>
        <v>8314.8799999999992</v>
      </c>
    </row>
    <row r="95" spans="1:9">
      <c r="A95" s="29"/>
      <c r="B95" s="42" t="s">
        <v>78</v>
      </c>
      <c r="C95" s="15"/>
      <c r="D95" s="15"/>
      <c r="E95" s="37"/>
      <c r="F95" s="37"/>
      <c r="G95" s="38"/>
      <c r="H95" s="38"/>
      <c r="I95" s="17">
        <v>0</v>
      </c>
    </row>
    <row r="96" spans="1:9">
      <c r="A96" s="45"/>
      <c r="B96" s="41" t="s">
        <v>147</v>
      </c>
      <c r="C96" s="32"/>
      <c r="D96" s="32"/>
      <c r="E96" s="32"/>
      <c r="F96" s="32"/>
      <c r="G96" s="32"/>
      <c r="H96" s="32"/>
      <c r="I96" s="39">
        <f>I94+I89</f>
        <v>143169.52825940002</v>
      </c>
    </row>
    <row r="97" spans="1:9" ht="15.75">
      <c r="A97" s="247" t="s">
        <v>331</v>
      </c>
      <c r="B97" s="247"/>
      <c r="C97" s="247"/>
      <c r="D97" s="247"/>
      <c r="E97" s="247"/>
      <c r="F97" s="247"/>
      <c r="G97" s="247"/>
      <c r="H97" s="247"/>
      <c r="I97" s="247"/>
    </row>
    <row r="98" spans="1:9" ht="15.75">
      <c r="A98" s="54"/>
      <c r="B98" s="248" t="s">
        <v>332</v>
      </c>
      <c r="C98" s="248"/>
      <c r="D98" s="248"/>
      <c r="E98" s="248"/>
      <c r="F98" s="248"/>
      <c r="G98" s="248"/>
      <c r="H98" s="59"/>
      <c r="I98" s="3"/>
    </row>
    <row r="99" spans="1:9">
      <c r="A99" s="144"/>
      <c r="B99" s="249" t="s">
        <v>6</v>
      </c>
      <c r="C99" s="249"/>
      <c r="D99" s="249"/>
      <c r="E99" s="249"/>
      <c r="F99" s="249"/>
      <c r="G99" s="249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250" t="s">
        <v>7</v>
      </c>
      <c r="B101" s="250"/>
      <c r="C101" s="250"/>
      <c r="D101" s="250"/>
      <c r="E101" s="250"/>
      <c r="F101" s="250"/>
      <c r="G101" s="250"/>
      <c r="H101" s="250"/>
      <c r="I101" s="250"/>
    </row>
    <row r="102" spans="1:9" ht="15.75">
      <c r="A102" s="250" t="s">
        <v>8</v>
      </c>
      <c r="B102" s="250"/>
      <c r="C102" s="250"/>
      <c r="D102" s="250"/>
      <c r="E102" s="250"/>
      <c r="F102" s="250"/>
      <c r="G102" s="250"/>
      <c r="H102" s="250"/>
      <c r="I102" s="250"/>
    </row>
    <row r="103" spans="1:9" ht="15.75">
      <c r="A103" s="239" t="s">
        <v>60</v>
      </c>
      <c r="B103" s="239"/>
      <c r="C103" s="239"/>
      <c r="D103" s="239"/>
      <c r="E103" s="239"/>
      <c r="F103" s="239"/>
      <c r="G103" s="239"/>
      <c r="H103" s="239"/>
      <c r="I103" s="239"/>
    </row>
    <row r="104" spans="1:9" ht="15.75">
      <c r="A104" s="11"/>
    </row>
    <row r="105" spans="1:9" ht="15.75">
      <c r="A105" s="252" t="s">
        <v>9</v>
      </c>
      <c r="B105" s="252"/>
      <c r="C105" s="252"/>
      <c r="D105" s="252"/>
      <c r="E105" s="252"/>
      <c r="F105" s="252"/>
      <c r="G105" s="252"/>
      <c r="H105" s="252"/>
      <c r="I105" s="252"/>
    </row>
    <row r="106" spans="1:9" ht="15.75">
      <c r="A106" s="4"/>
    </row>
    <row r="107" spans="1:9" ht="15.75">
      <c r="B107" s="145" t="s">
        <v>10</v>
      </c>
      <c r="C107" s="253" t="s">
        <v>209</v>
      </c>
      <c r="D107" s="253"/>
      <c r="E107" s="253"/>
      <c r="F107" s="57"/>
      <c r="I107" s="143"/>
    </row>
    <row r="108" spans="1:9">
      <c r="A108" s="144"/>
      <c r="C108" s="249" t="s">
        <v>11</v>
      </c>
      <c r="D108" s="249"/>
      <c r="E108" s="249"/>
      <c r="F108" s="24"/>
      <c r="I108" s="142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145" t="s">
        <v>13</v>
      </c>
      <c r="C110" s="254"/>
      <c r="D110" s="254"/>
      <c r="E110" s="254"/>
      <c r="F110" s="58"/>
      <c r="I110" s="143"/>
    </row>
    <row r="111" spans="1:9">
      <c r="A111" s="144"/>
      <c r="C111" s="229" t="s">
        <v>11</v>
      </c>
      <c r="D111" s="229"/>
      <c r="E111" s="229"/>
      <c r="F111" s="144"/>
      <c r="I111" s="142" t="s">
        <v>12</v>
      </c>
    </row>
    <row r="112" spans="1:9" ht="15.75">
      <c r="A112" s="4" t="s">
        <v>14</v>
      </c>
    </row>
    <row r="113" spans="1:9">
      <c r="A113" s="255" t="s">
        <v>15</v>
      </c>
      <c r="B113" s="255"/>
      <c r="C113" s="255"/>
      <c r="D113" s="255"/>
      <c r="E113" s="255"/>
      <c r="F113" s="255"/>
      <c r="G113" s="255"/>
      <c r="H113" s="255"/>
      <c r="I113" s="255"/>
    </row>
    <row r="114" spans="1:9" ht="47.25" customHeight="1">
      <c r="A114" s="251" t="s">
        <v>16</v>
      </c>
      <c r="B114" s="251"/>
      <c r="C114" s="251"/>
      <c r="D114" s="251"/>
      <c r="E114" s="251"/>
      <c r="F114" s="251"/>
      <c r="G114" s="251"/>
      <c r="H114" s="251"/>
      <c r="I114" s="251"/>
    </row>
    <row r="115" spans="1:9" ht="39.75" customHeight="1">
      <c r="A115" s="251" t="s">
        <v>17</v>
      </c>
      <c r="B115" s="251"/>
      <c r="C115" s="251"/>
      <c r="D115" s="251"/>
      <c r="E115" s="251"/>
      <c r="F115" s="251"/>
      <c r="G115" s="251"/>
      <c r="H115" s="251"/>
      <c r="I115" s="251"/>
    </row>
    <row r="116" spans="1:9" ht="37.5" customHeight="1">
      <c r="A116" s="251" t="s">
        <v>21</v>
      </c>
      <c r="B116" s="251"/>
      <c r="C116" s="251"/>
      <c r="D116" s="251"/>
      <c r="E116" s="251"/>
      <c r="F116" s="251"/>
      <c r="G116" s="251"/>
      <c r="H116" s="251"/>
      <c r="I116" s="251"/>
    </row>
    <row r="117" spans="1:9" ht="15.75">
      <c r="A117" s="251" t="s">
        <v>20</v>
      </c>
      <c r="B117" s="251"/>
      <c r="C117" s="251"/>
      <c r="D117" s="251"/>
      <c r="E117" s="251"/>
      <c r="F117" s="251"/>
      <c r="G117" s="251"/>
      <c r="H117" s="251"/>
      <c r="I117" s="251"/>
    </row>
  </sheetData>
  <mergeCells count="28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4:I44"/>
    <mergeCell ref="A54:I54"/>
    <mergeCell ref="A86:I86"/>
    <mergeCell ref="A90:I90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3"/>
  <sheetViews>
    <sheetView topLeftCell="A96" zoomScaleNormal="100" workbookViewId="0">
      <selection activeCell="J107" sqref="J107"/>
    </sheetView>
  </sheetViews>
  <sheetFormatPr defaultRowHeight="15"/>
  <cols>
    <col min="1" max="1" width="14.42578125" customWidth="1"/>
    <col min="2" max="2" width="48.28515625" customWidth="1"/>
    <col min="3" max="3" width="18.28515625" customWidth="1"/>
    <col min="4" max="4" width="17.85546875" customWidth="1"/>
    <col min="5" max="5" width="0" hidden="1" customWidth="1"/>
    <col min="6" max="6" width="16.42578125" hidden="1" customWidth="1"/>
    <col min="7" max="7" width="17.28515625" customWidth="1"/>
    <col min="8" max="8" width="0" hidden="1" customWidth="1"/>
    <col min="9" max="9" width="16.5703125" customWidth="1"/>
  </cols>
  <sheetData>
    <row r="1" spans="1:9" ht="15.75">
      <c r="A1" s="27" t="s">
        <v>170</v>
      </c>
      <c r="I1" s="26"/>
    </row>
    <row r="2" spans="1:9" ht="15.75">
      <c r="A2" s="28" t="s">
        <v>61</v>
      </c>
    </row>
    <row r="3" spans="1:9" ht="15.75">
      <c r="A3" s="233" t="s">
        <v>173</v>
      </c>
      <c r="B3" s="233"/>
      <c r="C3" s="233"/>
      <c r="D3" s="233"/>
      <c r="E3" s="233"/>
      <c r="F3" s="233"/>
      <c r="G3" s="233"/>
      <c r="H3" s="233"/>
      <c r="I3" s="233"/>
    </row>
    <row r="4" spans="1:9" ht="36" customHeight="1">
      <c r="A4" s="234" t="s">
        <v>127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333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54"/>
      <c r="C6" s="154"/>
      <c r="D6" s="154"/>
      <c r="E6" s="154"/>
      <c r="F6" s="154"/>
      <c r="G6" s="154"/>
      <c r="H6" s="154"/>
      <c r="I6" s="134">
        <v>44469</v>
      </c>
    </row>
    <row r="7" spans="1:9" ht="15.75">
      <c r="B7" s="152"/>
      <c r="C7" s="152"/>
      <c r="D7" s="152"/>
      <c r="E7" s="3"/>
      <c r="F7" s="3"/>
      <c r="G7" s="3"/>
      <c r="H7" s="3"/>
    </row>
    <row r="8" spans="1:9" ht="94.5" customHeight="1">
      <c r="A8" s="236" t="s">
        <v>325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3.75" customHeight="1">
      <c r="A10" s="237" t="s">
        <v>146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58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8" customHeight="1">
      <c r="A16" s="29">
        <v>1</v>
      </c>
      <c r="B16" s="107" t="s">
        <v>84</v>
      </c>
      <c r="C16" s="108" t="s">
        <v>99</v>
      </c>
      <c r="D16" s="107" t="s">
        <v>181</v>
      </c>
      <c r="E16" s="185">
        <v>176.24</v>
      </c>
      <c r="F16" s="109">
        <f>SUM(E16*156/100)</f>
        <v>274.93440000000004</v>
      </c>
      <c r="G16" s="109">
        <v>239.2</v>
      </c>
      <c r="H16" s="66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07" t="s">
        <v>87</v>
      </c>
      <c r="C17" s="108" t="s">
        <v>99</v>
      </c>
      <c r="D17" s="107" t="s">
        <v>182</v>
      </c>
      <c r="E17" s="185">
        <v>704.96</v>
      </c>
      <c r="F17" s="109">
        <f>SUM(E17*104/100)</f>
        <v>733.15839999999992</v>
      </c>
      <c r="G17" s="109">
        <v>239.2</v>
      </c>
      <c r="H17" s="66">
        <v>137.453</v>
      </c>
      <c r="I17" s="13">
        <f>F17/12*G17</f>
        <v>14614.29077333333</v>
      </c>
    </row>
    <row r="18" spans="1:9" ht="15.75" customHeight="1">
      <c r="A18" s="29">
        <v>3</v>
      </c>
      <c r="B18" s="107" t="s">
        <v>88</v>
      </c>
      <c r="C18" s="108" t="s">
        <v>99</v>
      </c>
      <c r="D18" s="107" t="s">
        <v>183</v>
      </c>
      <c r="E18" s="185">
        <f>SUM(E16+E17)</f>
        <v>881.2</v>
      </c>
      <c r="F18" s="109">
        <f>SUM(E18*24/100)</f>
        <v>211.48800000000003</v>
      </c>
      <c r="G18" s="109">
        <v>688.14</v>
      </c>
      <c r="H18" s="66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2" t="s">
        <v>100</v>
      </c>
      <c r="C19" s="63" t="s">
        <v>101</v>
      </c>
      <c r="D19" s="62" t="s">
        <v>102</v>
      </c>
      <c r="E19" s="64">
        <v>28.8</v>
      </c>
      <c r="F19" s="65">
        <f>SUM(E19/10)</f>
        <v>2.88</v>
      </c>
      <c r="G19" s="65">
        <v>232.1</v>
      </c>
      <c r="H19" s="66">
        <f t="shared" ref="H19:H25" si="0">SUM(F19*G19/1000)</f>
        <v>0.66844799999999993</v>
      </c>
      <c r="I19" s="13">
        <f>F19*G19</f>
        <v>668.44799999999998</v>
      </c>
    </row>
    <row r="20" spans="1:9" ht="15.75" customHeight="1">
      <c r="A20" s="29">
        <v>4</v>
      </c>
      <c r="B20" s="62" t="s">
        <v>92</v>
      </c>
      <c r="C20" s="63" t="s">
        <v>99</v>
      </c>
      <c r="D20" s="62" t="s">
        <v>190</v>
      </c>
      <c r="E20" s="64">
        <v>17.5</v>
      </c>
      <c r="F20" s="65">
        <f>SUM(E20*2/100)</f>
        <v>0.35</v>
      </c>
      <c r="G20" s="65">
        <v>297.19</v>
      </c>
      <c r="H20" s="66">
        <f t="shared" si="0"/>
        <v>0.1040165</v>
      </c>
      <c r="I20" s="13">
        <f>F20/2*G20</f>
        <v>52.008249999999997</v>
      </c>
    </row>
    <row r="21" spans="1:9" ht="15" customHeight="1">
      <c r="A21" s="29">
        <v>5</v>
      </c>
      <c r="B21" s="62" t="s">
        <v>93</v>
      </c>
      <c r="C21" s="63" t="s">
        <v>99</v>
      </c>
      <c r="D21" s="73" t="s">
        <v>190</v>
      </c>
      <c r="E21" s="74">
        <v>5.94</v>
      </c>
      <c r="F21" s="65">
        <f>SUM(E21*2/100)</f>
        <v>0.1188</v>
      </c>
      <c r="G21" s="75">
        <v>294.77999999999997</v>
      </c>
      <c r="H21" s="66">
        <f t="shared" si="0"/>
        <v>3.5019863999999998E-2</v>
      </c>
      <c r="I21" s="13">
        <f>F21/2*G21</f>
        <v>17.509931999999999</v>
      </c>
    </row>
    <row r="22" spans="1:9" hidden="1">
      <c r="A22" s="29">
        <v>7</v>
      </c>
      <c r="B22" s="62" t="s">
        <v>103</v>
      </c>
      <c r="C22" s="63" t="s">
        <v>52</v>
      </c>
      <c r="D22" s="62" t="s">
        <v>102</v>
      </c>
      <c r="E22" s="64">
        <v>376</v>
      </c>
      <c r="F22" s="65">
        <f>SUM(E22/100)</f>
        <v>3.76</v>
      </c>
      <c r="G22" s="65">
        <v>367.27</v>
      </c>
      <c r="H22" s="66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2" t="s">
        <v>104</v>
      </c>
      <c r="C23" s="63" t="s">
        <v>52</v>
      </c>
      <c r="D23" s="62" t="s">
        <v>102</v>
      </c>
      <c r="E23" s="64">
        <v>60.4</v>
      </c>
      <c r="F23" s="65">
        <f>SUM(E23/100)</f>
        <v>0.60399999999999998</v>
      </c>
      <c r="G23" s="65">
        <v>60.41</v>
      </c>
      <c r="H23" s="66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2" t="s">
        <v>105</v>
      </c>
      <c r="C24" s="63" t="s">
        <v>52</v>
      </c>
      <c r="D24" s="62" t="s">
        <v>102</v>
      </c>
      <c r="E24" s="64">
        <v>23.75</v>
      </c>
      <c r="F24" s="65">
        <f>SUM(E24/100)</f>
        <v>0.23749999999999999</v>
      </c>
      <c r="G24" s="65">
        <v>294.77999999999997</v>
      </c>
      <c r="H24" s="66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2" t="s">
        <v>97</v>
      </c>
      <c r="C25" s="63" t="s">
        <v>52</v>
      </c>
      <c r="D25" s="62" t="s">
        <v>102</v>
      </c>
      <c r="E25" s="64">
        <v>10.63</v>
      </c>
      <c r="F25" s="65">
        <f>SUM(E25/100)</f>
        <v>0.10630000000000001</v>
      </c>
      <c r="G25" s="65">
        <v>710.37</v>
      </c>
      <c r="H25" s="66">
        <f t="shared" si="0"/>
        <v>7.5512331000000002E-2</v>
      </c>
      <c r="I25" s="13">
        <f>F25*G25</f>
        <v>75.512331000000003</v>
      </c>
    </row>
    <row r="26" spans="1:9" ht="17.25" hidden="1" customHeight="1">
      <c r="A26" s="29">
        <v>6</v>
      </c>
      <c r="B26" s="107" t="s">
        <v>180</v>
      </c>
      <c r="C26" s="108" t="s">
        <v>25</v>
      </c>
      <c r="D26" s="107" t="s">
        <v>184</v>
      </c>
      <c r="E26" s="210">
        <v>5.72</v>
      </c>
      <c r="F26" s="109">
        <f>E26*258</f>
        <v>1475.76</v>
      </c>
      <c r="G26" s="109">
        <v>10.39</v>
      </c>
      <c r="H26" s="66">
        <f>SUM(F26*G26/1000)</f>
        <v>15.333146400000002</v>
      </c>
      <c r="I26" s="13">
        <f>F26/12*G26</f>
        <v>1277.7622000000001</v>
      </c>
    </row>
    <row r="27" spans="1:9">
      <c r="A27" s="240" t="s">
        <v>83</v>
      </c>
      <c r="B27" s="240"/>
      <c r="C27" s="240"/>
      <c r="D27" s="240"/>
      <c r="E27" s="240"/>
      <c r="F27" s="240"/>
      <c r="G27" s="240"/>
      <c r="H27" s="240"/>
      <c r="I27" s="240"/>
    </row>
    <row r="28" spans="1:9" ht="16.5" customHeight="1">
      <c r="A28" s="29"/>
      <c r="B28" s="82" t="s">
        <v>28</v>
      </c>
      <c r="C28" s="63"/>
      <c r="D28" s="62"/>
      <c r="E28" s="64"/>
      <c r="F28" s="65"/>
      <c r="G28" s="65"/>
      <c r="H28" s="66"/>
      <c r="I28" s="13"/>
    </row>
    <row r="29" spans="1:9" ht="16.5" customHeight="1">
      <c r="A29" s="29">
        <v>6</v>
      </c>
      <c r="B29" s="62" t="s">
        <v>106</v>
      </c>
      <c r="C29" s="63" t="s">
        <v>107</v>
      </c>
      <c r="D29" s="62" t="s">
        <v>182</v>
      </c>
      <c r="E29" s="65">
        <v>357.22</v>
      </c>
      <c r="F29" s="65">
        <f>SUM(E29*52/1000)</f>
        <v>18.575440000000004</v>
      </c>
      <c r="G29" s="65">
        <v>212.62</v>
      </c>
      <c r="H29" s="66">
        <f>SUM(F29*G29/1000)</f>
        <v>3.9495100528000009</v>
      </c>
      <c r="I29" s="13">
        <f>F29/6*G29</f>
        <v>658.25167546666682</v>
      </c>
    </row>
    <row r="30" spans="1:9" ht="31.5" customHeight="1">
      <c r="A30" s="29">
        <v>7</v>
      </c>
      <c r="B30" s="62" t="s">
        <v>140</v>
      </c>
      <c r="C30" s="63" t="s">
        <v>107</v>
      </c>
      <c r="D30" s="62" t="s">
        <v>181</v>
      </c>
      <c r="E30" s="65">
        <v>475.06</v>
      </c>
      <c r="F30" s="65">
        <f>SUM(E30*78/1000)</f>
        <v>37.054679999999998</v>
      </c>
      <c r="G30" s="65">
        <v>352.77</v>
      </c>
      <c r="H30" s="66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2" t="s">
        <v>27</v>
      </c>
      <c r="C31" s="63" t="s">
        <v>107</v>
      </c>
      <c r="D31" s="62" t="s">
        <v>190</v>
      </c>
      <c r="E31" s="65">
        <v>357.22</v>
      </c>
      <c r="F31" s="65">
        <f>SUM(E31/1000)</f>
        <v>0.35722000000000004</v>
      </c>
      <c r="G31" s="65">
        <v>4119.68</v>
      </c>
      <c r="H31" s="66">
        <f>SUM(F31*G31/1000)</f>
        <v>1.4716320896000001</v>
      </c>
      <c r="I31" s="13">
        <f>F31*G31</f>
        <v>1471.6320896000002</v>
      </c>
    </row>
    <row r="32" spans="1:9" ht="15.75" customHeight="1">
      <c r="A32" s="29">
        <v>8</v>
      </c>
      <c r="B32" s="62" t="s">
        <v>135</v>
      </c>
      <c r="C32" s="63" t="s">
        <v>39</v>
      </c>
      <c r="D32" s="62" t="s">
        <v>186</v>
      </c>
      <c r="E32" s="65">
        <v>5</v>
      </c>
      <c r="F32" s="65">
        <f>E32*155/100</f>
        <v>7.75</v>
      </c>
      <c r="G32" s="65">
        <v>1775.94</v>
      </c>
      <c r="H32" s="66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2" t="s">
        <v>63</v>
      </c>
      <c r="C33" s="63" t="s">
        <v>33</v>
      </c>
      <c r="D33" s="62" t="s">
        <v>65</v>
      </c>
      <c r="E33" s="64"/>
      <c r="F33" s="65">
        <v>2</v>
      </c>
      <c r="G33" s="65">
        <v>260.95</v>
      </c>
      <c r="H33" s="66">
        <f>SUM(F33*G33/1000)</f>
        <v>0.52190000000000003</v>
      </c>
      <c r="I33" s="13">
        <v>0</v>
      </c>
    </row>
    <row r="34" spans="1:9" hidden="1">
      <c r="A34" s="29"/>
      <c r="B34" s="62" t="s">
        <v>64</v>
      </c>
      <c r="C34" s="63" t="s">
        <v>32</v>
      </c>
      <c r="D34" s="62" t="s">
        <v>65</v>
      </c>
      <c r="E34" s="64"/>
      <c r="F34" s="65">
        <v>1</v>
      </c>
      <c r="G34" s="65">
        <v>1549.92</v>
      </c>
      <c r="H34" s="66">
        <f>SUM(F34*G34/1000)</f>
        <v>1.54992</v>
      </c>
      <c r="I34" s="13">
        <v>0</v>
      </c>
    </row>
    <row r="35" spans="1:9" hidden="1">
      <c r="A35" s="29"/>
      <c r="B35" s="82" t="s">
        <v>5</v>
      </c>
      <c r="C35" s="63"/>
      <c r="D35" s="62"/>
      <c r="E35" s="64"/>
      <c r="F35" s="65"/>
      <c r="G35" s="65"/>
      <c r="H35" s="66" t="s">
        <v>124</v>
      </c>
      <c r="I35" s="13"/>
    </row>
    <row r="36" spans="1:9" hidden="1">
      <c r="A36" s="29">
        <v>6</v>
      </c>
      <c r="B36" s="62" t="s">
        <v>26</v>
      </c>
      <c r="C36" s="63" t="s">
        <v>32</v>
      </c>
      <c r="D36" s="62"/>
      <c r="E36" s="64"/>
      <c r="F36" s="65">
        <v>5</v>
      </c>
      <c r="G36" s="65">
        <v>2083</v>
      </c>
      <c r="H36" s="66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2" t="s">
        <v>66</v>
      </c>
      <c r="C37" s="63" t="s">
        <v>29</v>
      </c>
      <c r="D37" s="62" t="s">
        <v>111</v>
      </c>
      <c r="E37" s="65">
        <v>469.73</v>
      </c>
      <c r="F37" s="65">
        <f>SUM(E37*30/1000)</f>
        <v>14.091900000000001</v>
      </c>
      <c r="G37" s="65">
        <v>2868.09</v>
      </c>
      <c r="H37" s="66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2" t="s">
        <v>67</v>
      </c>
      <c r="C38" s="63" t="s">
        <v>29</v>
      </c>
      <c r="D38" s="62" t="s">
        <v>112</v>
      </c>
      <c r="E38" s="65">
        <v>475.06</v>
      </c>
      <c r="F38" s="65">
        <f>SUM(E38*155/1000)</f>
        <v>73.634299999999996</v>
      </c>
      <c r="G38" s="65">
        <v>478.42</v>
      </c>
      <c r="H38" s="66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2" t="s">
        <v>89</v>
      </c>
      <c r="C39" s="63" t="s">
        <v>128</v>
      </c>
      <c r="D39" s="62" t="s">
        <v>150</v>
      </c>
      <c r="E39" s="64"/>
      <c r="F39" s="65">
        <v>39</v>
      </c>
      <c r="G39" s="65">
        <v>314</v>
      </c>
      <c r="H39" s="66">
        <f>SUM(F39*G39/1000)</f>
        <v>12.246</v>
      </c>
      <c r="I39" s="13">
        <v>0</v>
      </c>
    </row>
    <row r="40" spans="1:9" ht="60" hidden="1">
      <c r="A40" s="29">
        <v>9</v>
      </c>
      <c r="B40" s="62" t="s">
        <v>81</v>
      </c>
      <c r="C40" s="63" t="s">
        <v>107</v>
      </c>
      <c r="D40" s="62" t="s">
        <v>129</v>
      </c>
      <c r="E40" s="65">
        <v>40.6</v>
      </c>
      <c r="F40" s="65">
        <f>SUM(E40*35/1000)</f>
        <v>1.421</v>
      </c>
      <c r="G40" s="65">
        <v>7915.6</v>
      </c>
      <c r="H40" s="66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2" t="s">
        <v>113</v>
      </c>
      <c r="C41" s="63" t="s">
        <v>107</v>
      </c>
      <c r="D41" s="62" t="s">
        <v>68</v>
      </c>
      <c r="E41" s="65">
        <v>167.03</v>
      </c>
      <c r="F41" s="65">
        <f>SUM(E41*45/1000)</f>
        <v>7.5163500000000001</v>
      </c>
      <c r="G41" s="65">
        <v>584.74</v>
      </c>
      <c r="H41" s="66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2" t="s">
        <v>69</v>
      </c>
      <c r="C42" s="63" t="s">
        <v>33</v>
      </c>
      <c r="D42" s="62"/>
      <c r="E42" s="64"/>
      <c r="F42" s="65">
        <v>1.2</v>
      </c>
      <c r="G42" s="65">
        <v>800</v>
      </c>
      <c r="H42" s="66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151</v>
      </c>
      <c r="C43" s="60" t="s">
        <v>29</v>
      </c>
      <c r="D43" s="62" t="s">
        <v>152</v>
      </c>
      <c r="E43" s="64">
        <v>4.2</v>
      </c>
      <c r="F43" s="65">
        <f>SUM(E43*12/1000)</f>
        <v>5.0400000000000007E-2</v>
      </c>
      <c r="G43" s="65">
        <v>270.61</v>
      </c>
      <c r="H43" s="66">
        <f t="shared" si="1"/>
        <v>1.3638744000000003E-2</v>
      </c>
      <c r="I43" s="13">
        <f t="shared" si="2"/>
        <v>2.2731240000000006</v>
      </c>
    </row>
    <row r="44" spans="1:9">
      <c r="A44" s="256" t="s">
        <v>164</v>
      </c>
      <c r="B44" s="257"/>
      <c r="C44" s="257"/>
      <c r="D44" s="257"/>
      <c r="E44" s="257"/>
      <c r="F44" s="257"/>
      <c r="G44" s="257"/>
      <c r="H44" s="257"/>
      <c r="I44" s="258"/>
    </row>
    <row r="45" spans="1:9" ht="15.75" customHeight="1">
      <c r="A45" s="29">
        <v>9</v>
      </c>
      <c r="B45" s="62" t="s">
        <v>114</v>
      </c>
      <c r="C45" s="63" t="s">
        <v>107</v>
      </c>
      <c r="D45" s="62" t="s">
        <v>190</v>
      </c>
      <c r="E45" s="64">
        <v>1603.6</v>
      </c>
      <c r="F45" s="65">
        <f>SUM(E45*2/1000)</f>
        <v>3.2071999999999998</v>
      </c>
      <c r="G45" s="13">
        <v>1158.7</v>
      </c>
      <c r="H45" s="66">
        <f t="shared" ref="H45:H53" si="3">SUM(F45*G45/1000)</f>
        <v>3.71618264</v>
      </c>
      <c r="I45" s="13">
        <f>F45/2*G45</f>
        <v>1858.09132</v>
      </c>
    </row>
    <row r="46" spans="1:9" ht="18" customHeight="1">
      <c r="A46" s="29">
        <v>10</v>
      </c>
      <c r="B46" s="62" t="s">
        <v>34</v>
      </c>
      <c r="C46" s="63" t="s">
        <v>107</v>
      </c>
      <c r="D46" s="62" t="s">
        <v>190</v>
      </c>
      <c r="E46" s="64">
        <v>65</v>
      </c>
      <c r="F46" s="65">
        <f>SUM(E46*2/1000)</f>
        <v>0.13</v>
      </c>
      <c r="G46" s="13">
        <v>790.38</v>
      </c>
      <c r="H46" s="66">
        <f t="shared" si="3"/>
        <v>0.1027494</v>
      </c>
      <c r="I46" s="13">
        <f>F46/2*G46</f>
        <v>51.374700000000004</v>
      </c>
    </row>
    <row r="47" spans="1:9" ht="15.75" customHeight="1">
      <c r="A47" s="29">
        <v>11</v>
      </c>
      <c r="B47" s="62" t="s">
        <v>35</v>
      </c>
      <c r="C47" s="63" t="s">
        <v>107</v>
      </c>
      <c r="D47" s="62" t="s">
        <v>190</v>
      </c>
      <c r="E47" s="64">
        <v>1825.8</v>
      </c>
      <c r="F47" s="65">
        <f>SUM(E47*2/1000)</f>
        <v>3.6515999999999997</v>
      </c>
      <c r="G47" s="13">
        <v>790.38</v>
      </c>
      <c r="H47" s="66">
        <f t="shared" si="3"/>
        <v>2.8861516079999996</v>
      </c>
      <c r="I47" s="13">
        <f t="shared" ref="I47:I52" si="4">F47/2*G47</f>
        <v>1443.0758039999998</v>
      </c>
    </row>
    <row r="48" spans="1:9" ht="16.5" customHeight="1">
      <c r="A48" s="29">
        <v>12</v>
      </c>
      <c r="B48" s="62" t="s">
        <v>36</v>
      </c>
      <c r="C48" s="63" t="s">
        <v>107</v>
      </c>
      <c r="D48" s="62" t="s">
        <v>190</v>
      </c>
      <c r="E48" s="64">
        <v>3163.96</v>
      </c>
      <c r="F48" s="65">
        <f>SUM(E48*2/1000)</f>
        <v>6.3279199999999998</v>
      </c>
      <c r="G48" s="13">
        <v>827.65</v>
      </c>
      <c r="H48" s="66">
        <f t="shared" si="3"/>
        <v>5.2373029879999997</v>
      </c>
      <c r="I48" s="13">
        <f t="shared" si="4"/>
        <v>2618.6514939999997</v>
      </c>
    </row>
    <row r="49" spans="1:9" ht="13.5" customHeight="1">
      <c r="A49" s="29">
        <v>13</v>
      </c>
      <c r="B49" s="62" t="s">
        <v>55</v>
      </c>
      <c r="C49" s="63" t="s">
        <v>107</v>
      </c>
      <c r="D49" s="62" t="s">
        <v>190</v>
      </c>
      <c r="E49" s="64">
        <v>5816.5</v>
      </c>
      <c r="F49" s="65">
        <f>SUM(E49*5/1000)</f>
        <v>29.0825</v>
      </c>
      <c r="G49" s="13">
        <v>1655.27</v>
      </c>
      <c r="H49" s="66">
        <f t="shared" si="3"/>
        <v>48.139389774999998</v>
      </c>
      <c r="I49" s="13">
        <f>F49/5*G49</f>
        <v>9627.8779549999999</v>
      </c>
    </row>
    <row r="50" spans="1:9" ht="45">
      <c r="A50" s="29">
        <v>14</v>
      </c>
      <c r="B50" s="62" t="s">
        <v>115</v>
      </c>
      <c r="C50" s="63" t="s">
        <v>107</v>
      </c>
      <c r="D50" s="62" t="s">
        <v>190</v>
      </c>
      <c r="E50" s="64">
        <v>5816.5</v>
      </c>
      <c r="F50" s="65">
        <f>SUM(E50*2/1000)</f>
        <v>11.632999999999999</v>
      </c>
      <c r="G50" s="13">
        <v>1655.27</v>
      </c>
      <c r="H50" s="66">
        <f t="shared" si="3"/>
        <v>19.255755910000001</v>
      </c>
      <c r="I50" s="13">
        <f t="shared" si="4"/>
        <v>9627.8779549999999</v>
      </c>
    </row>
    <row r="51" spans="1:9" ht="30">
      <c r="A51" s="29">
        <v>15</v>
      </c>
      <c r="B51" s="62" t="s">
        <v>116</v>
      </c>
      <c r="C51" s="63" t="s">
        <v>37</v>
      </c>
      <c r="D51" s="62" t="s">
        <v>190</v>
      </c>
      <c r="E51" s="64">
        <v>25</v>
      </c>
      <c r="F51" s="65">
        <f>SUM(E51*2/100)</f>
        <v>0.5</v>
      </c>
      <c r="G51" s="13">
        <v>3724.37</v>
      </c>
      <c r="H51" s="66">
        <f t="shared" si="3"/>
        <v>1.862185</v>
      </c>
      <c r="I51" s="13">
        <f t="shared" si="4"/>
        <v>931.09249999999997</v>
      </c>
    </row>
    <row r="52" spans="1:9">
      <c r="A52" s="29">
        <v>16</v>
      </c>
      <c r="B52" s="62" t="s">
        <v>38</v>
      </c>
      <c r="C52" s="63" t="s">
        <v>39</v>
      </c>
      <c r="D52" s="62" t="s">
        <v>190</v>
      </c>
      <c r="E52" s="64">
        <v>1</v>
      </c>
      <c r="F52" s="65">
        <v>0.02</v>
      </c>
      <c r="G52" s="13">
        <v>7709.44</v>
      </c>
      <c r="H52" s="66">
        <f t="shared" si="3"/>
        <v>0.15418879999999999</v>
      </c>
      <c r="I52" s="13">
        <f t="shared" si="4"/>
        <v>77.094399999999993</v>
      </c>
    </row>
    <row r="53" spans="1:9" hidden="1">
      <c r="A53" s="29">
        <v>11</v>
      </c>
      <c r="B53" s="62" t="s">
        <v>40</v>
      </c>
      <c r="C53" s="63" t="s">
        <v>30</v>
      </c>
      <c r="D53" s="62" t="s">
        <v>70</v>
      </c>
      <c r="E53" s="64">
        <v>198</v>
      </c>
      <c r="F53" s="65">
        <f>SUM(E53)*3</f>
        <v>594</v>
      </c>
      <c r="G53" s="13">
        <v>89.59</v>
      </c>
      <c r="H53" s="66">
        <f t="shared" si="3"/>
        <v>53.216459999999998</v>
      </c>
      <c r="I53" s="13">
        <f>F53/3*G53</f>
        <v>17738.82</v>
      </c>
    </row>
    <row r="54" spans="1:9">
      <c r="A54" s="241" t="s">
        <v>132</v>
      </c>
      <c r="B54" s="242"/>
      <c r="C54" s="242"/>
      <c r="D54" s="242"/>
      <c r="E54" s="242"/>
      <c r="F54" s="242"/>
      <c r="G54" s="242"/>
      <c r="H54" s="242"/>
      <c r="I54" s="243"/>
    </row>
    <row r="55" spans="1:9" hidden="1">
      <c r="A55" s="29"/>
      <c r="B55" s="82" t="s">
        <v>42</v>
      </c>
      <c r="C55" s="63"/>
      <c r="D55" s="62"/>
      <c r="E55" s="64"/>
      <c r="F55" s="65"/>
      <c r="G55" s="65"/>
      <c r="H55" s="66"/>
      <c r="I55" s="13"/>
    </row>
    <row r="56" spans="1:9" ht="45" hidden="1">
      <c r="A56" s="29">
        <v>16</v>
      </c>
      <c r="B56" s="62" t="s">
        <v>118</v>
      </c>
      <c r="C56" s="63" t="s">
        <v>99</v>
      </c>
      <c r="D56" s="62" t="s">
        <v>71</v>
      </c>
      <c r="E56" s="64">
        <v>118.3</v>
      </c>
      <c r="F56" s="65">
        <f>E56*6/100</f>
        <v>7.0979999999999999</v>
      </c>
      <c r="G56" s="72">
        <v>2110.4699999999998</v>
      </c>
      <c r="H56" s="66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2" t="s">
        <v>153</v>
      </c>
      <c r="C57" s="63" t="s">
        <v>99</v>
      </c>
      <c r="D57" s="62" t="s">
        <v>71</v>
      </c>
      <c r="E57" s="71">
        <v>3.78</v>
      </c>
      <c r="F57" s="13">
        <f>E57*6/100</f>
        <v>0.2268</v>
      </c>
      <c r="G57" s="65">
        <v>2110.4699999999998</v>
      </c>
      <c r="H57" s="66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3" t="s">
        <v>94</v>
      </c>
      <c r="C58" s="63" t="s">
        <v>95</v>
      </c>
      <c r="D58" s="73" t="s">
        <v>41</v>
      </c>
      <c r="E58" s="74">
        <v>5</v>
      </c>
      <c r="F58" s="75">
        <v>10</v>
      </c>
      <c r="G58" s="72">
        <v>246.58</v>
      </c>
      <c r="H58" s="76">
        <v>0.99099999999999999</v>
      </c>
      <c r="I58" s="13">
        <f>F58/2*G58</f>
        <v>1232.9000000000001</v>
      </c>
    </row>
    <row r="59" spans="1:9" ht="18.75" hidden="1" customHeight="1">
      <c r="A59" s="29">
        <v>18</v>
      </c>
      <c r="B59" s="73" t="s">
        <v>154</v>
      </c>
      <c r="C59" s="77" t="s">
        <v>32</v>
      </c>
      <c r="D59" s="73" t="s">
        <v>203</v>
      </c>
      <c r="E59" s="74"/>
      <c r="F59" s="76">
        <v>5</v>
      </c>
      <c r="G59" s="96">
        <v>1645</v>
      </c>
      <c r="H59" s="76">
        <f>SUM(F59*G59/1000)</f>
        <v>8.2249999999999996</v>
      </c>
      <c r="I59" s="96">
        <f>G59*2</f>
        <v>3290</v>
      </c>
    </row>
    <row r="60" spans="1:9" ht="16.5" customHeight="1">
      <c r="A60" s="29"/>
      <c r="B60" s="83" t="s">
        <v>43</v>
      </c>
      <c r="C60" s="77"/>
      <c r="D60" s="62"/>
      <c r="E60" s="64"/>
      <c r="F60" s="65"/>
      <c r="G60" s="65"/>
      <c r="H60" s="65"/>
      <c r="I60" s="119"/>
    </row>
    <row r="61" spans="1:9" hidden="1">
      <c r="A61" s="29"/>
      <c r="B61" s="73" t="s">
        <v>44</v>
      </c>
      <c r="C61" s="77" t="s">
        <v>52</v>
      </c>
      <c r="D61" s="62" t="s">
        <v>53</v>
      </c>
      <c r="E61" s="64">
        <v>352</v>
      </c>
      <c r="F61" s="65">
        <f>E61/100</f>
        <v>3.52</v>
      </c>
      <c r="G61" s="65">
        <v>1082.47</v>
      </c>
      <c r="H61" s="65">
        <f>G61*F61/1000</f>
        <v>3.8102944000000001</v>
      </c>
      <c r="I61" s="119">
        <v>0</v>
      </c>
    </row>
    <row r="62" spans="1:9" ht="18" customHeight="1">
      <c r="A62" s="29">
        <v>17</v>
      </c>
      <c r="B62" s="73" t="s">
        <v>90</v>
      </c>
      <c r="C62" s="77" t="s">
        <v>25</v>
      </c>
      <c r="D62" s="62"/>
      <c r="E62" s="64">
        <v>200</v>
      </c>
      <c r="F62" s="65">
        <f>E62*12</f>
        <v>2400</v>
      </c>
      <c r="G62" s="65">
        <v>1.4</v>
      </c>
      <c r="H62" s="65">
        <f>G62*F62/1000</f>
        <v>3.36</v>
      </c>
      <c r="I62" s="13">
        <f>F62/12*G62</f>
        <v>280</v>
      </c>
    </row>
    <row r="63" spans="1:9" ht="18" customHeight="1">
      <c r="A63" s="29"/>
      <c r="B63" s="83" t="s">
        <v>45</v>
      </c>
      <c r="C63" s="77"/>
      <c r="D63" s="116"/>
      <c r="E63" s="67"/>
      <c r="F63" s="111"/>
      <c r="G63" s="111"/>
      <c r="H63" s="117" t="s">
        <v>124</v>
      </c>
      <c r="I63" s="118"/>
    </row>
    <row r="64" spans="1:9" ht="18" customHeight="1">
      <c r="A64" s="29">
        <v>18</v>
      </c>
      <c r="B64" s="14" t="s">
        <v>46</v>
      </c>
      <c r="C64" s="16" t="s">
        <v>117</v>
      </c>
      <c r="D64" s="14" t="s">
        <v>185</v>
      </c>
      <c r="E64" s="18">
        <v>14</v>
      </c>
      <c r="F64" s="13">
        <f>SUM(E64)</f>
        <v>14</v>
      </c>
      <c r="G64" s="13">
        <v>303.35000000000002</v>
      </c>
      <c r="H64" s="61">
        <f t="shared" ref="H64:H83" si="5">SUM(F64*G64/1000)</f>
        <v>4.2469000000000001</v>
      </c>
      <c r="I64" s="13">
        <f>G64*5</f>
        <v>1516.75</v>
      </c>
    </row>
    <row r="65" spans="1:9">
      <c r="A65" s="29">
        <v>19</v>
      </c>
      <c r="B65" s="14" t="s">
        <v>47</v>
      </c>
      <c r="C65" s="16" t="s">
        <v>117</v>
      </c>
      <c r="D65" s="14" t="s">
        <v>192</v>
      </c>
      <c r="E65" s="18">
        <v>7</v>
      </c>
      <c r="F65" s="13">
        <f>SUM(E65)</f>
        <v>7</v>
      </c>
      <c r="G65" s="213">
        <v>104.01</v>
      </c>
      <c r="H65" s="61">
        <f t="shared" si="5"/>
        <v>0.72806999999999999</v>
      </c>
      <c r="I65" s="13">
        <f>G65*2</f>
        <v>208.02</v>
      </c>
    </row>
    <row r="66" spans="1:9" hidden="1">
      <c r="A66" s="29">
        <v>24</v>
      </c>
      <c r="B66" s="14" t="s">
        <v>48</v>
      </c>
      <c r="C66" s="16" t="s">
        <v>119</v>
      </c>
      <c r="D66" s="14" t="s">
        <v>53</v>
      </c>
      <c r="E66" s="64">
        <v>23808</v>
      </c>
      <c r="F66" s="13">
        <f>SUM(E66/100)</f>
        <v>238.08</v>
      </c>
      <c r="G66" s="13">
        <v>289.37</v>
      </c>
      <c r="H66" s="61">
        <f t="shared" si="5"/>
        <v>68.893209600000006</v>
      </c>
      <c r="I66" s="13">
        <f t="shared" ref="I66:I71" si="6">F66*G66</f>
        <v>68893.209600000002</v>
      </c>
    </row>
    <row r="67" spans="1:9" hidden="1">
      <c r="A67" s="29">
        <v>25</v>
      </c>
      <c r="B67" s="14" t="s">
        <v>49</v>
      </c>
      <c r="C67" s="16" t="s">
        <v>120</v>
      </c>
      <c r="D67" s="14"/>
      <c r="E67" s="64">
        <v>23808</v>
      </c>
      <c r="F67" s="13">
        <f>SUM(E67/1000)</f>
        <v>23.808</v>
      </c>
      <c r="G67" s="13">
        <v>225.35</v>
      </c>
      <c r="H67" s="61">
        <f t="shared" si="5"/>
        <v>5.3651327999999996</v>
      </c>
      <c r="I67" s="13">
        <f t="shared" si="6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4">
        <v>3810</v>
      </c>
      <c r="F68" s="13">
        <f>SUM(E68/100)</f>
        <v>38.1</v>
      </c>
      <c r="G68" s="13">
        <v>2829.78</v>
      </c>
      <c r="H68" s="61">
        <f t="shared" si="5"/>
        <v>107.81461800000001</v>
      </c>
      <c r="I68" s="13">
        <f t="shared" si="6"/>
        <v>107814.61800000002</v>
      </c>
    </row>
    <row r="69" spans="1:9" hidden="1">
      <c r="A69" s="29">
        <v>27</v>
      </c>
      <c r="B69" s="79" t="s">
        <v>121</v>
      </c>
      <c r="C69" s="16" t="s">
        <v>33</v>
      </c>
      <c r="D69" s="14"/>
      <c r="E69" s="64">
        <v>12.8</v>
      </c>
      <c r="F69" s="13">
        <f>SUM(E69)</f>
        <v>12.8</v>
      </c>
      <c r="G69" s="13">
        <v>44.31</v>
      </c>
      <c r="H69" s="61">
        <f t="shared" si="5"/>
        <v>0.56716800000000001</v>
      </c>
      <c r="I69" s="13">
        <f t="shared" si="6"/>
        <v>567.16800000000001</v>
      </c>
    </row>
    <row r="70" spans="1:9" hidden="1">
      <c r="A70" s="29">
        <v>28</v>
      </c>
      <c r="B70" s="79" t="s">
        <v>130</v>
      </c>
      <c r="C70" s="16" t="s">
        <v>33</v>
      </c>
      <c r="D70" s="14"/>
      <c r="E70" s="64">
        <v>12.8</v>
      </c>
      <c r="F70" s="13">
        <f>SUM(E70)</f>
        <v>12.8</v>
      </c>
      <c r="G70" s="13">
        <v>47.79</v>
      </c>
      <c r="H70" s="61">
        <f t="shared" si="5"/>
        <v>0.61171200000000003</v>
      </c>
      <c r="I70" s="13">
        <f t="shared" si="6"/>
        <v>611.71199999999999</v>
      </c>
    </row>
    <row r="71" spans="1:9" ht="19.5" customHeight="1">
      <c r="A71" s="29">
        <v>20</v>
      </c>
      <c r="B71" s="14" t="s">
        <v>56</v>
      </c>
      <c r="C71" s="16" t="s">
        <v>57</v>
      </c>
      <c r="D71" s="14" t="s">
        <v>191</v>
      </c>
      <c r="E71" s="18">
        <v>6</v>
      </c>
      <c r="F71" s="65">
        <f>SUM(E71)</f>
        <v>6</v>
      </c>
      <c r="G71" s="13">
        <v>68.040000000000006</v>
      </c>
      <c r="H71" s="61">
        <f t="shared" si="5"/>
        <v>0.40823999999999999</v>
      </c>
      <c r="I71" s="13">
        <f t="shared" si="6"/>
        <v>408.24</v>
      </c>
    </row>
    <row r="72" spans="1:9" ht="33" customHeight="1">
      <c r="A72" s="29">
        <v>21</v>
      </c>
      <c r="B72" s="79" t="s">
        <v>155</v>
      </c>
      <c r="C72" s="16"/>
      <c r="D72" s="14" t="s">
        <v>191</v>
      </c>
      <c r="E72" s="18">
        <v>1</v>
      </c>
      <c r="F72" s="13">
        <v>12</v>
      </c>
      <c r="G72" s="13">
        <v>1194</v>
      </c>
      <c r="H72" s="61">
        <f t="shared" si="5"/>
        <v>14.327999999999999</v>
      </c>
      <c r="I72" s="13">
        <f>F72/12*G72</f>
        <v>1194</v>
      </c>
    </row>
    <row r="73" spans="1:9" ht="17.25" customHeight="1">
      <c r="A73" s="29"/>
      <c r="B73" s="155" t="s">
        <v>156</v>
      </c>
      <c r="C73" s="16"/>
      <c r="D73" s="14"/>
      <c r="E73" s="18"/>
      <c r="F73" s="55"/>
      <c r="G73" s="13"/>
      <c r="H73" s="61"/>
      <c r="I73" s="13"/>
    </row>
    <row r="74" spans="1:9" ht="35.25" customHeight="1">
      <c r="A74" s="29">
        <v>22</v>
      </c>
      <c r="B74" s="14" t="s">
        <v>157</v>
      </c>
      <c r="C74" s="29" t="s">
        <v>158</v>
      </c>
      <c r="D74" s="14"/>
      <c r="E74" s="18">
        <v>5816.5</v>
      </c>
      <c r="F74" s="65">
        <f>SUM(E74)*12</f>
        <v>69798</v>
      </c>
      <c r="G74" s="13">
        <v>2.37</v>
      </c>
      <c r="H74" s="61">
        <f>SUM(F74*G74/1000)</f>
        <v>165.42126000000002</v>
      </c>
      <c r="I74" s="13">
        <f>F74/12*G74</f>
        <v>13785.105000000001</v>
      </c>
    </row>
    <row r="75" spans="1:9" ht="27.75" customHeight="1">
      <c r="A75" s="29">
        <v>23</v>
      </c>
      <c r="B75" s="46" t="s">
        <v>159</v>
      </c>
      <c r="C75" s="60" t="s">
        <v>117</v>
      </c>
      <c r="D75" s="14" t="s">
        <v>190</v>
      </c>
      <c r="E75" s="113">
        <v>1</v>
      </c>
      <c r="F75" s="75">
        <f>E75*12</f>
        <v>12</v>
      </c>
      <c r="G75" s="96">
        <v>55.55</v>
      </c>
      <c r="H75" s="61">
        <f>SUM(F75*G75/1000)</f>
        <v>0.66659999999999986</v>
      </c>
      <c r="I75" s="13">
        <f>F75/12*G75</f>
        <v>55.55</v>
      </c>
    </row>
    <row r="76" spans="1:9" hidden="1">
      <c r="A76" s="105"/>
      <c r="B76" s="155" t="s">
        <v>72</v>
      </c>
      <c r="C76" s="16"/>
      <c r="D76" s="14"/>
      <c r="E76" s="18"/>
      <c r="F76" s="13"/>
      <c r="G76" s="13"/>
      <c r="H76" s="61" t="s">
        <v>124</v>
      </c>
      <c r="I76" s="106"/>
    </row>
    <row r="77" spans="1:9" ht="30" hidden="1">
      <c r="A77" s="105"/>
      <c r="B77" s="14" t="s">
        <v>160</v>
      </c>
      <c r="C77" s="16" t="s">
        <v>30</v>
      </c>
      <c r="D77" s="14" t="s">
        <v>65</v>
      </c>
      <c r="E77" s="18">
        <v>2</v>
      </c>
      <c r="F77" s="65">
        <f>E77</f>
        <v>2</v>
      </c>
      <c r="G77" s="13">
        <v>2112.2800000000002</v>
      </c>
      <c r="H77" s="61">
        <f>G77*F77/1000</f>
        <v>4.2245600000000003</v>
      </c>
      <c r="I77" s="106">
        <v>0</v>
      </c>
    </row>
    <row r="78" spans="1:9" hidden="1">
      <c r="A78" s="105"/>
      <c r="B78" s="46" t="s">
        <v>161</v>
      </c>
      <c r="C78" s="60" t="s">
        <v>117</v>
      </c>
      <c r="D78" s="14" t="s">
        <v>65</v>
      </c>
      <c r="E78" s="18">
        <v>5</v>
      </c>
      <c r="F78" s="13">
        <v>5</v>
      </c>
      <c r="G78" s="13">
        <v>136.19999999999999</v>
      </c>
      <c r="H78" s="61">
        <f>SUM(F78*G78/1000)</f>
        <v>0.68100000000000005</v>
      </c>
      <c r="I78" s="106">
        <v>0</v>
      </c>
    </row>
    <row r="79" spans="1:9" hidden="1">
      <c r="A79" s="105"/>
      <c r="B79" s="14" t="s">
        <v>73</v>
      </c>
      <c r="C79" s="16" t="s">
        <v>162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1">
        <f>SUM(F79*G79/1000)</f>
        <v>0.41051399999999999</v>
      </c>
      <c r="I79" s="106">
        <v>0</v>
      </c>
    </row>
    <row r="80" spans="1:9" hidden="1">
      <c r="A80" s="105"/>
      <c r="B80" s="14" t="s">
        <v>74</v>
      </c>
      <c r="C80" s="16" t="s">
        <v>30</v>
      </c>
      <c r="D80" s="14" t="s">
        <v>65</v>
      </c>
      <c r="E80" s="18">
        <v>1</v>
      </c>
      <c r="F80" s="55">
        <v>1</v>
      </c>
      <c r="G80" s="13">
        <v>1163.47</v>
      </c>
      <c r="H80" s="61">
        <f>SUM(F80*G80/1000)</f>
        <v>1.16347</v>
      </c>
      <c r="I80" s="106">
        <v>0</v>
      </c>
    </row>
    <row r="81" spans="1:9" hidden="1">
      <c r="A81" s="105"/>
      <c r="B81" s="46" t="s">
        <v>163</v>
      </c>
      <c r="C81" s="60" t="s">
        <v>117</v>
      </c>
      <c r="D81" s="14" t="s">
        <v>65</v>
      </c>
      <c r="E81" s="18">
        <v>1</v>
      </c>
      <c r="F81" s="65">
        <f>E81</f>
        <v>1</v>
      </c>
      <c r="G81" s="13">
        <v>1670.07</v>
      </c>
      <c r="H81" s="61">
        <f>SUM(F81*G81/1000)</f>
        <v>1.6700699999999999</v>
      </c>
      <c r="I81" s="106">
        <v>0</v>
      </c>
    </row>
    <row r="82" spans="1:9" hidden="1">
      <c r="A82" s="105"/>
      <c r="B82" s="80" t="s">
        <v>75</v>
      </c>
      <c r="C82" s="16"/>
      <c r="D82" s="14"/>
      <c r="E82" s="18"/>
      <c r="F82" s="13"/>
      <c r="G82" s="13" t="s">
        <v>124</v>
      </c>
      <c r="H82" s="61" t="s">
        <v>124</v>
      </c>
      <c r="I82" s="106"/>
    </row>
    <row r="83" spans="1:9" hidden="1">
      <c r="A83" s="105"/>
      <c r="B83" s="42" t="s">
        <v>125</v>
      </c>
      <c r="C83" s="16" t="s">
        <v>76</v>
      </c>
      <c r="D83" s="14"/>
      <c r="E83" s="18"/>
      <c r="F83" s="13">
        <v>0.6</v>
      </c>
      <c r="G83" s="13">
        <v>4144.28</v>
      </c>
      <c r="H83" s="61">
        <f t="shared" si="5"/>
        <v>2.4865679999999997</v>
      </c>
      <c r="I83" s="106">
        <v>0</v>
      </c>
    </row>
    <row r="84" spans="1:9" ht="28.5">
      <c r="A84" s="105"/>
      <c r="B84" s="155" t="s">
        <v>122</v>
      </c>
      <c r="C84" s="80"/>
      <c r="D84" s="112"/>
      <c r="E84" s="31"/>
      <c r="F84" s="114"/>
      <c r="G84" s="114"/>
      <c r="H84" s="115">
        <f>SUM(H56:H83)</f>
        <v>411.53215745600005</v>
      </c>
      <c r="I84" s="106"/>
    </row>
    <row r="85" spans="1:9">
      <c r="A85" s="105">
        <v>24</v>
      </c>
      <c r="B85" s="62" t="s">
        <v>123</v>
      </c>
      <c r="C85" s="16"/>
      <c r="D85" s="14"/>
      <c r="E85" s="56"/>
      <c r="F85" s="13">
        <v>1</v>
      </c>
      <c r="G85" s="13">
        <v>378.5</v>
      </c>
      <c r="H85" s="61">
        <f>G85*F85/1000</f>
        <v>0.3785</v>
      </c>
      <c r="I85" s="106">
        <f>G85*1</f>
        <v>378.5</v>
      </c>
    </row>
    <row r="86" spans="1:9">
      <c r="A86" s="230" t="s">
        <v>133</v>
      </c>
      <c r="B86" s="231"/>
      <c r="C86" s="231"/>
      <c r="D86" s="231"/>
      <c r="E86" s="231"/>
      <c r="F86" s="231"/>
      <c r="G86" s="231"/>
      <c r="H86" s="231"/>
      <c r="I86" s="232"/>
    </row>
    <row r="87" spans="1:9" ht="16.5" customHeight="1">
      <c r="A87" s="105">
        <v>25</v>
      </c>
      <c r="B87" s="62" t="s">
        <v>126</v>
      </c>
      <c r="C87" s="16" t="s">
        <v>54</v>
      </c>
      <c r="D87" s="81"/>
      <c r="E87" s="13">
        <v>5816.5</v>
      </c>
      <c r="F87" s="13">
        <f>SUM(E87*12)</f>
        <v>69798</v>
      </c>
      <c r="G87" s="13">
        <v>3.22</v>
      </c>
      <c r="H87" s="61">
        <f>SUM(F87*G87/1000)</f>
        <v>224.74956000000003</v>
      </c>
      <c r="I87" s="13">
        <f>F87/12*G87</f>
        <v>18729.13</v>
      </c>
    </row>
    <row r="88" spans="1:9" ht="36.75" customHeight="1">
      <c r="A88" s="29">
        <v>26</v>
      </c>
      <c r="B88" s="14" t="s">
        <v>77</v>
      </c>
      <c r="C88" s="16"/>
      <c r="D88" s="81"/>
      <c r="E88" s="64">
        <f>E87</f>
        <v>5816.5</v>
      </c>
      <c r="F88" s="13">
        <f>E88*12</f>
        <v>69798</v>
      </c>
      <c r="G88" s="13">
        <v>3.64</v>
      </c>
      <c r="H88" s="61">
        <f>F88*G88/1000</f>
        <v>254.06471999999999</v>
      </c>
      <c r="I88" s="13">
        <f>F88/12*G88</f>
        <v>21172.06</v>
      </c>
    </row>
    <row r="89" spans="1:9">
      <c r="A89" s="153"/>
      <c r="B89" s="34" t="s">
        <v>79</v>
      </c>
      <c r="C89" s="35"/>
      <c r="D89" s="15"/>
      <c r="E89" s="15"/>
      <c r="F89" s="15"/>
      <c r="G89" s="18"/>
      <c r="H89" s="18"/>
      <c r="I89" s="31">
        <f>I88+I87+I75+I74+I72+I71+I65+I64+I62+I52+I51+I50+I49+I48+I47+I46+I45+I32+I30+I29+I21+I20+I18+I17+I16+I85</f>
        <v>121385.2425694</v>
      </c>
    </row>
    <row r="90" spans="1:9">
      <c r="A90" s="244" t="s">
        <v>59</v>
      </c>
      <c r="B90" s="245"/>
      <c r="C90" s="245"/>
      <c r="D90" s="245"/>
      <c r="E90" s="245"/>
      <c r="F90" s="245"/>
      <c r="G90" s="245"/>
      <c r="H90" s="245"/>
      <c r="I90" s="246"/>
    </row>
    <row r="91" spans="1:9">
      <c r="A91" s="29">
        <v>27</v>
      </c>
      <c r="B91" s="48" t="s">
        <v>334</v>
      </c>
      <c r="C91" s="219" t="s">
        <v>91</v>
      </c>
      <c r="D91" s="87"/>
      <c r="E91" s="33"/>
      <c r="F91" s="33">
        <v>0.1</v>
      </c>
      <c r="G91" s="33">
        <v>4113.16</v>
      </c>
      <c r="H91" s="85"/>
      <c r="I91" s="47">
        <f>G91*0.1</f>
        <v>411.31600000000003</v>
      </c>
    </row>
    <row r="92" spans="1:9">
      <c r="A92" s="29">
        <v>28</v>
      </c>
      <c r="B92" s="48" t="s">
        <v>294</v>
      </c>
      <c r="C92" s="86" t="s">
        <v>82</v>
      </c>
      <c r="D92" s="87"/>
      <c r="E92" s="33"/>
      <c r="F92" s="33">
        <v>2</v>
      </c>
      <c r="G92" s="33">
        <v>280.70999999999998</v>
      </c>
      <c r="H92" s="85"/>
      <c r="I92" s="47">
        <f>G92*1</f>
        <v>280.70999999999998</v>
      </c>
    </row>
    <row r="93" spans="1:9">
      <c r="A93" s="29">
        <v>29</v>
      </c>
      <c r="B93" s="48" t="s">
        <v>335</v>
      </c>
      <c r="C93" s="86"/>
      <c r="D93" s="87" t="s">
        <v>339</v>
      </c>
      <c r="E93" s="33"/>
      <c r="F93" s="33">
        <v>32.5</v>
      </c>
      <c r="G93" s="33">
        <v>404.52</v>
      </c>
      <c r="H93" s="85"/>
      <c r="I93" s="47">
        <f>G93*12.5</f>
        <v>5056.5</v>
      </c>
    </row>
    <row r="94" spans="1:9" ht="30">
      <c r="A94" s="29">
        <v>30</v>
      </c>
      <c r="B94" s="223" t="s">
        <v>260</v>
      </c>
      <c r="C94" s="29" t="s">
        <v>166</v>
      </c>
      <c r="D94" s="87" t="s">
        <v>337</v>
      </c>
      <c r="E94" s="33"/>
      <c r="F94" s="33">
        <v>3.2</v>
      </c>
      <c r="G94" s="33">
        <v>1380.91</v>
      </c>
      <c r="H94" s="85"/>
      <c r="I94" s="47">
        <f>G94*0.2</f>
        <v>276.18200000000002</v>
      </c>
    </row>
    <row r="95" spans="1:9" ht="30">
      <c r="A95" s="29">
        <v>31</v>
      </c>
      <c r="B95" s="48" t="s">
        <v>174</v>
      </c>
      <c r="C95" s="86" t="s">
        <v>86</v>
      </c>
      <c r="D95" s="87" t="s">
        <v>336</v>
      </c>
      <c r="E95" s="33"/>
      <c r="F95" s="33">
        <v>7</v>
      </c>
      <c r="G95" s="33">
        <v>697.33</v>
      </c>
      <c r="H95" s="85"/>
      <c r="I95" s="47">
        <f>G95*3</f>
        <v>2091.9900000000002</v>
      </c>
    </row>
    <row r="96" spans="1:9" ht="30">
      <c r="A96" s="29">
        <v>32</v>
      </c>
      <c r="B96" s="48" t="s">
        <v>295</v>
      </c>
      <c r="C96" s="86" t="s">
        <v>86</v>
      </c>
      <c r="D96" s="87" t="s">
        <v>338</v>
      </c>
      <c r="E96" s="33"/>
      <c r="F96" s="33">
        <v>3</v>
      </c>
      <c r="G96" s="33">
        <v>614.47</v>
      </c>
      <c r="H96" s="85"/>
      <c r="I96" s="47">
        <f>G96*1</f>
        <v>614.47</v>
      </c>
    </row>
    <row r="97" spans="1:9">
      <c r="A97" s="29">
        <v>33</v>
      </c>
      <c r="B97" s="48" t="s">
        <v>310</v>
      </c>
      <c r="C97" s="86" t="s">
        <v>86</v>
      </c>
      <c r="D97" s="87"/>
      <c r="E97" s="33"/>
      <c r="F97" s="33">
        <v>2</v>
      </c>
      <c r="G97" s="33">
        <v>344.83</v>
      </c>
      <c r="H97" s="85"/>
      <c r="I97" s="47">
        <f>G97*1</f>
        <v>344.83</v>
      </c>
    </row>
    <row r="98" spans="1:9">
      <c r="A98" s="29">
        <v>34</v>
      </c>
      <c r="B98" s="48" t="s">
        <v>148</v>
      </c>
      <c r="C98" s="86" t="s">
        <v>166</v>
      </c>
      <c r="D98" s="87" t="s">
        <v>341</v>
      </c>
      <c r="E98" s="33"/>
      <c r="F98" s="33">
        <v>76</v>
      </c>
      <c r="G98" s="33">
        <v>295.36</v>
      </c>
      <c r="H98" s="85"/>
      <c r="I98" s="47">
        <v>0</v>
      </c>
    </row>
    <row r="99" spans="1:9">
      <c r="A99" s="29">
        <v>35</v>
      </c>
      <c r="B99" s="48" t="s">
        <v>165</v>
      </c>
      <c r="C99" s="86" t="s">
        <v>117</v>
      </c>
      <c r="D99" s="87" t="s">
        <v>340</v>
      </c>
      <c r="E99" s="33"/>
      <c r="F99" s="33">
        <v>5</v>
      </c>
      <c r="G99" s="33">
        <v>101.85</v>
      </c>
      <c r="H99" s="85"/>
      <c r="I99" s="47">
        <v>0</v>
      </c>
    </row>
    <row r="100" spans="1:9" ht="13.5" customHeight="1">
      <c r="A100" s="29"/>
      <c r="B100" s="40" t="s">
        <v>51</v>
      </c>
      <c r="C100" s="36"/>
      <c r="D100" s="44"/>
      <c r="E100" s="36">
        <v>1</v>
      </c>
      <c r="F100" s="36"/>
      <c r="G100" s="36"/>
      <c r="H100" s="36"/>
      <c r="I100" s="31">
        <f>SUM(I91:I97)</f>
        <v>9075.9979999999996</v>
      </c>
    </row>
    <row r="101" spans="1:9">
      <c r="A101" s="29"/>
      <c r="B101" s="42" t="s">
        <v>78</v>
      </c>
      <c r="C101" s="15"/>
      <c r="D101" s="15"/>
      <c r="E101" s="37"/>
      <c r="F101" s="37"/>
      <c r="G101" s="38"/>
      <c r="H101" s="38"/>
      <c r="I101" s="17">
        <v>0</v>
      </c>
    </row>
    <row r="102" spans="1:9">
      <c r="A102" s="45"/>
      <c r="B102" s="41" t="s">
        <v>147</v>
      </c>
      <c r="C102" s="32"/>
      <c r="D102" s="32"/>
      <c r="E102" s="32"/>
      <c r="F102" s="32"/>
      <c r="G102" s="32"/>
      <c r="H102" s="32"/>
      <c r="I102" s="39">
        <f>I100+I89</f>
        <v>130461.24056939999</v>
      </c>
    </row>
    <row r="103" spans="1:9" ht="15.75">
      <c r="A103" s="247" t="s">
        <v>344</v>
      </c>
      <c r="B103" s="247"/>
      <c r="C103" s="247"/>
      <c r="D103" s="247"/>
      <c r="E103" s="247"/>
      <c r="F103" s="247"/>
      <c r="G103" s="247"/>
      <c r="H103" s="247"/>
      <c r="I103" s="247"/>
    </row>
    <row r="104" spans="1:9" ht="15.75">
      <c r="A104" s="54"/>
      <c r="B104" s="248" t="s">
        <v>345</v>
      </c>
      <c r="C104" s="248"/>
      <c r="D104" s="248"/>
      <c r="E104" s="248"/>
      <c r="F104" s="248"/>
      <c r="G104" s="248"/>
      <c r="H104" s="59"/>
      <c r="I104" s="3"/>
    </row>
    <row r="105" spans="1:9">
      <c r="A105" s="151"/>
      <c r="B105" s="249" t="s">
        <v>6</v>
      </c>
      <c r="C105" s="249"/>
      <c r="D105" s="249"/>
      <c r="E105" s="249"/>
      <c r="F105" s="249"/>
      <c r="G105" s="249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50" t="s">
        <v>7</v>
      </c>
      <c r="B107" s="250"/>
      <c r="C107" s="250"/>
      <c r="D107" s="250"/>
      <c r="E107" s="250"/>
      <c r="F107" s="250"/>
      <c r="G107" s="250"/>
      <c r="H107" s="250"/>
      <c r="I107" s="250"/>
    </row>
    <row r="108" spans="1:9" ht="15.75">
      <c r="A108" s="250" t="s">
        <v>8</v>
      </c>
      <c r="B108" s="250"/>
      <c r="C108" s="250"/>
      <c r="D108" s="250"/>
      <c r="E108" s="250"/>
      <c r="F108" s="250"/>
      <c r="G108" s="250"/>
      <c r="H108" s="250"/>
      <c r="I108" s="250"/>
    </row>
    <row r="109" spans="1:9" ht="15.75">
      <c r="A109" s="239" t="s">
        <v>60</v>
      </c>
      <c r="B109" s="239"/>
      <c r="C109" s="239"/>
      <c r="D109" s="239"/>
      <c r="E109" s="239"/>
      <c r="F109" s="239"/>
      <c r="G109" s="239"/>
      <c r="H109" s="239"/>
      <c r="I109" s="239"/>
    </row>
    <row r="110" spans="1:9" ht="15.75">
      <c r="A110" s="11"/>
    </row>
    <row r="111" spans="1:9" ht="15.75">
      <c r="A111" s="252" t="s">
        <v>9</v>
      </c>
      <c r="B111" s="252"/>
      <c r="C111" s="252"/>
      <c r="D111" s="252"/>
      <c r="E111" s="252"/>
      <c r="F111" s="252"/>
      <c r="G111" s="252"/>
      <c r="H111" s="252"/>
      <c r="I111" s="252"/>
    </row>
    <row r="112" spans="1:9" ht="15.75">
      <c r="A112" s="4"/>
    </row>
    <row r="113" spans="1:9" ht="15.75">
      <c r="B113" s="152" t="s">
        <v>10</v>
      </c>
      <c r="C113" s="253" t="s">
        <v>209</v>
      </c>
      <c r="D113" s="253"/>
      <c r="E113" s="253"/>
      <c r="F113" s="57"/>
      <c r="I113" s="150"/>
    </row>
    <row r="114" spans="1:9">
      <c r="A114" s="151"/>
      <c r="C114" s="249" t="s">
        <v>11</v>
      </c>
      <c r="D114" s="249"/>
      <c r="E114" s="249"/>
      <c r="F114" s="24"/>
      <c r="I114" s="149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52" t="s">
        <v>13</v>
      </c>
      <c r="C116" s="254"/>
      <c r="D116" s="254"/>
      <c r="E116" s="254"/>
      <c r="F116" s="58"/>
      <c r="I116" s="150"/>
    </row>
    <row r="117" spans="1:9">
      <c r="A117" s="151"/>
      <c r="C117" s="229" t="s">
        <v>11</v>
      </c>
      <c r="D117" s="229"/>
      <c r="E117" s="229"/>
      <c r="F117" s="151"/>
      <c r="I117" s="149" t="s">
        <v>12</v>
      </c>
    </row>
    <row r="118" spans="1:9" ht="15.75">
      <c r="A118" s="4" t="s">
        <v>14</v>
      </c>
    </row>
    <row r="119" spans="1:9">
      <c r="A119" s="255" t="s">
        <v>15</v>
      </c>
      <c r="B119" s="255"/>
      <c r="C119" s="255"/>
      <c r="D119" s="255"/>
      <c r="E119" s="255"/>
      <c r="F119" s="255"/>
      <c r="G119" s="255"/>
      <c r="H119" s="255"/>
      <c r="I119" s="255"/>
    </row>
    <row r="120" spans="1:9" ht="44.25" customHeight="1">
      <c r="A120" s="251" t="s">
        <v>16</v>
      </c>
      <c r="B120" s="251"/>
      <c r="C120" s="251"/>
      <c r="D120" s="251"/>
      <c r="E120" s="251"/>
      <c r="F120" s="251"/>
      <c r="G120" s="251"/>
      <c r="H120" s="251"/>
      <c r="I120" s="251"/>
    </row>
    <row r="121" spans="1:9" ht="36.75" customHeight="1">
      <c r="A121" s="251" t="s">
        <v>17</v>
      </c>
      <c r="B121" s="251"/>
      <c r="C121" s="251"/>
      <c r="D121" s="251"/>
      <c r="E121" s="251"/>
      <c r="F121" s="251"/>
      <c r="G121" s="251"/>
      <c r="H121" s="251"/>
      <c r="I121" s="251"/>
    </row>
    <row r="122" spans="1:9" ht="30.75" customHeight="1">
      <c r="A122" s="251" t="s">
        <v>21</v>
      </c>
      <c r="B122" s="251"/>
      <c r="C122" s="251"/>
      <c r="D122" s="251"/>
      <c r="E122" s="251"/>
      <c r="F122" s="251"/>
      <c r="G122" s="251"/>
      <c r="H122" s="251"/>
      <c r="I122" s="251"/>
    </row>
    <row r="123" spans="1:9" ht="15.75">
      <c r="A123" s="251" t="s">
        <v>20</v>
      </c>
      <c r="B123" s="251"/>
      <c r="C123" s="251"/>
      <c r="D123" s="251"/>
      <c r="E123" s="251"/>
      <c r="F123" s="251"/>
      <c r="G123" s="251"/>
      <c r="H123" s="251"/>
      <c r="I123" s="251"/>
    </row>
  </sheetData>
  <mergeCells count="28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7:I27"/>
    <mergeCell ref="A44:I44"/>
    <mergeCell ref="A54:I54"/>
    <mergeCell ref="A86:I86"/>
    <mergeCell ref="A90:I90"/>
    <mergeCell ref="A103:I103"/>
    <mergeCell ref="B104:G104"/>
    <mergeCell ref="B105:G105"/>
    <mergeCell ref="A107:I107"/>
    <mergeCell ref="A108:I108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2022-01-26T06:34:38Z</cp:lastPrinted>
  <dcterms:created xsi:type="dcterms:W3CDTF">2016-03-25T08:33:47Z</dcterms:created>
  <dcterms:modified xsi:type="dcterms:W3CDTF">2022-01-26T06:35:19Z</dcterms:modified>
</cp:coreProperties>
</file>