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-45" windowWidth="15480" windowHeight="11280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16" r:id="rId11"/>
    <sheet name="12.16" sheetId="8" r:id="rId12"/>
  </sheets>
  <definedNames>
    <definedName name="_xlnm._FilterDatabase" localSheetId="11" hidden="1">'12.16'!$G$12:$G$65</definedName>
    <definedName name="_xlnm.Print_Area" localSheetId="0">'01.16'!$A$1:$I$126</definedName>
    <definedName name="_xlnm.Print_Area" localSheetId="1">'02.16'!$A$1:$I$108</definedName>
    <definedName name="_xlnm.Print_Area" localSheetId="2">'03.16'!$A$1:$I$111</definedName>
    <definedName name="_xlnm.Print_Area" localSheetId="3">'04.16'!$A$1:$I$110</definedName>
    <definedName name="_xlnm.Print_Area" localSheetId="4">'05.16'!$A$1:$I$106</definedName>
    <definedName name="_xlnm.Print_Area" localSheetId="5">'06.16'!$A$1:$I$124</definedName>
    <definedName name="_xlnm.Print_Area" localSheetId="6">'07.16'!$A$1:$I$109</definedName>
    <definedName name="_xlnm.Print_Area" localSheetId="7">'08.16'!$A$1:$I$107</definedName>
    <definedName name="_xlnm.Print_Area" localSheetId="8">'09.16'!$A$1:$I$106</definedName>
    <definedName name="_xlnm.Print_Area" localSheetId="9">'10.16'!$A$1:$I$111</definedName>
    <definedName name="_xlnm.Print_Area" localSheetId="10">'11.16'!$A$1:$G$109</definedName>
    <definedName name="_xlnm.Print_Area" localSheetId="11">'12.16'!$A$1:$G$105</definedName>
  </definedNames>
  <calcPr calcId="124519"/>
</workbook>
</file>

<file path=xl/calcChain.xml><?xml version="1.0" encoding="utf-8"?>
<calcChain xmlns="http://schemas.openxmlformats.org/spreadsheetml/2006/main">
  <c r="I86" i="26"/>
  <c r="I87"/>
  <c r="I85"/>
  <c r="I84"/>
  <c r="I83"/>
  <c r="I82"/>
  <c r="I60"/>
  <c r="H87"/>
  <c r="H86"/>
  <c r="H85"/>
  <c r="H84"/>
  <c r="H83"/>
  <c r="H82"/>
  <c r="I81"/>
  <c r="H81"/>
  <c r="I88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H60"/>
  <c r="F58"/>
  <c r="I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82" i="25"/>
  <c r="I67"/>
  <c r="F82"/>
  <c r="H82" s="1"/>
  <c r="I81"/>
  <c r="H81"/>
  <c r="I83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H58" s="1"/>
  <c r="H74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83" i="24"/>
  <c r="I82"/>
  <c r="I60"/>
  <c r="I54"/>
  <c r="H83"/>
  <c r="F82"/>
  <c r="H82" s="1"/>
  <c r="I81"/>
  <c r="H81"/>
  <c r="I84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H60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4" i="23"/>
  <c r="I83"/>
  <c r="I85"/>
  <c r="H81"/>
  <c r="I81"/>
  <c r="H85"/>
  <c r="H84"/>
  <c r="H83"/>
  <c r="I82"/>
  <c r="H82"/>
  <c r="I86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H58" s="1"/>
  <c r="H74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100" i="22"/>
  <c r="H99"/>
  <c r="H98"/>
  <c r="H97"/>
  <c r="F96"/>
  <c r="H96" s="1"/>
  <c r="H95"/>
  <c r="H94"/>
  <c r="H93"/>
  <c r="H92"/>
  <c r="H91"/>
  <c r="F90"/>
  <c r="H90" s="1"/>
  <c r="H89"/>
  <c r="H88"/>
  <c r="H87"/>
  <c r="H86"/>
  <c r="H85"/>
  <c r="H84"/>
  <c r="H83"/>
  <c r="H82"/>
  <c r="I81"/>
  <c r="H81"/>
  <c r="I101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H58" s="1"/>
  <c r="H74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2" i="21"/>
  <c r="H82"/>
  <c r="I81"/>
  <c r="H81"/>
  <c r="I83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I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82" i="20"/>
  <c r="H82"/>
  <c r="I79"/>
  <c r="I87"/>
  <c r="I85"/>
  <c r="I86"/>
  <c r="I84"/>
  <c r="I83"/>
  <c r="I54"/>
  <c r="H86"/>
  <c r="F85"/>
  <c r="H85" s="1"/>
  <c r="H84"/>
  <c r="H83"/>
  <c r="I81"/>
  <c r="H81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H58" s="1"/>
  <c r="H74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H43"/>
  <c r="F43"/>
  <c r="I43" s="1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87" i="19"/>
  <c r="I83"/>
  <c r="I84"/>
  <c r="I85"/>
  <c r="I86"/>
  <c r="I60"/>
  <c r="H87"/>
  <c r="H86"/>
  <c r="H85"/>
  <c r="H84"/>
  <c r="H83"/>
  <c r="I82"/>
  <c r="H82"/>
  <c r="I81"/>
  <c r="H81"/>
  <c r="I88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H60"/>
  <c r="F58"/>
  <c r="H58" s="1"/>
  <c r="H74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H43"/>
  <c r="F43"/>
  <c r="I43" s="1"/>
  <c r="F42"/>
  <c r="I42" s="1"/>
  <c r="F41"/>
  <c r="I41" s="1"/>
  <c r="H40"/>
  <c r="F39"/>
  <c r="I39" s="1"/>
  <c r="I38"/>
  <c r="H38"/>
  <c r="H36"/>
  <c r="H35"/>
  <c r="H34"/>
  <c r="F34"/>
  <c r="I34" s="1"/>
  <c r="F33"/>
  <c r="I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4" i="18"/>
  <c r="I83"/>
  <c r="I82"/>
  <c r="H81"/>
  <c r="I81"/>
  <c r="I69"/>
  <c r="I60"/>
  <c r="H84"/>
  <c r="H83"/>
  <c r="H82"/>
  <c r="I85"/>
  <c r="E78"/>
  <c r="F78" s="1"/>
  <c r="F77"/>
  <c r="I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H60"/>
  <c r="F58"/>
  <c r="H58" s="1"/>
  <c r="H74" s="1"/>
  <c r="I55"/>
  <c r="F55"/>
  <c r="H55" s="1"/>
  <c r="H54"/>
  <c r="F53"/>
  <c r="H53" s="1"/>
  <c r="F52"/>
  <c r="H52" s="1"/>
  <c r="H51"/>
  <c r="F51"/>
  <c r="I51" s="1"/>
  <c r="H50"/>
  <c r="F50"/>
  <c r="H49"/>
  <c r="F49"/>
  <c r="H48"/>
  <c r="F48"/>
  <c r="H47"/>
  <c r="F47"/>
  <c r="H46"/>
  <c r="F46"/>
  <c r="I44"/>
  <c r="H44"/>
  <c r="F43"/>
  <c r="H43" s="1"/>
  <c r="F42"/>
  <c r="I42" s="1"/>
  <c r="F41"/>
  <c r="H41" s="1"/>
  <c r="H40"/>
  <c r="F39"/>
  <c r="H39" s="1"/>
  <c r="I38"/>
  <c r="H38"/>
  <c r="H36"/>
  <c r="H35"/>
  <c r="H34"/>
  <c r="F34"/>
  <c r="I34" s="1"/>
  <c r="F33"/>
  <c r="H33" s="1"/>
  <c r="F32"/>
  <c r="I32" s="1"/>
  <c r="F31"/>
  <c r="H31" s="1"/>
  <c r="H28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105" i="17"/>
  <c r="I103"/>
  <c r="I79"/>
  <c r="H20" i="26" l="1"/>
  <c r="H16"/>
  <c r="H27"/>
  <c r="H39"/>
  <c r="H58"/>
  <c r="H74" s="1"/>
  <c r="H43"/>
  <c r="H41"/>
  <c r="H33"/>
  <c r="H31"/>
  <c r="I78"/>
  <c r="I79" s="1"/>
  <c r="I90" s="1"/>
  <c r="H78"/>
  <c r="H79" s="1"/>
  <c r="H17"/>
  <c r="H18"/>
  <c r="H21"/>
  <c r="H28"/>
  <c r="H32"/>
  <c r="H42"/>
  <c r="H51"/>
  <c r="H77"/>
  <c r="H20" i="25"/>
  <c r="I50"/>
  <c r="I48"/>
  <c r="I46"/>
  <c r="H16"/>
  <c r="H27"/>
  <c r="I49"/>
  <c r="I47"/>
  <c r="H39"/>
  <c r="H43"/>
  <c r="H41"/>
  <c r="H33"/>
  <c r="H31"/>
  <c r="I78"/>
  <c r="H78"/>
  <c r="H79" s="1"/>
  <c r="H17"/>
  <c r="H18"/>
  <c r="H21"/>
  <c r="H28"/>
  <c r="H32"/>
  <c r="H42"/>
  <c r="H51"/>
  <c r="I58"/>
  <c r="H77"/>
  <c r="H17" i="24"/>
  <c r="H77"/>
  <c r="H28"/>
  <c r="H51"/>
  <c r="H42"/>
  <c r="H32"/>
  <c r="H21"/>
  <c r="I18"/>
  <c r="H18"/>
  <c r="I78"/>
  <c r="H78"/>
  <c r="H79" s="1"/>
  <c r="H74"/>
  <c r="I16"/>
  <c r="I20"/>
  <c r="I27"/>
  <c r="I31"/>
  <c r="I33"/>
  <c r="I39"/>
  <c r="I41"/>
  <c r="I43"/>
  <c r="I58"/>
  <c r="H21" i="23"/>
  <c r="H28"/>
  <c r="H17"/>
  <c r="I18"/>
  <c r="H18"/>
  <c r="I78"/>
  <c r="H78"/>
  <c r="H79" s="1"/>
  <c r="I16"/>
  <c r="I20"/>
  <c r="I27"/>
  <c r="I31"/>
  <c r="H32"/>
  <c r="I33"/>
  <c r="I39"/>
  <c r="I41"/>
  <c r="H42"/>
  <c r="I43"/>
  <c r="H51"/>
  <c r="I58"/>
  <c r="H77"/>
  <c r="H17" i="22"/>
  <c r="H39"/>
  <c r="H41"/>
  <c r="H43"/>
  <c r="H33"/>
  <c r="H21"/>
  <c r="I18"/>
  <c r="H18"/>
  <c r="I78"/>
  <c r="H78"/>
  <c r="H79" s="1"/>
  <c r="I16"/>
  <c r="I20"/>
  <c r="I27"/>
  <c r="H28"/>
  <c r="I31"/>
  <c r="H32"/>
  <c r="H42"/>
  <c r="H51"/>
  <c r="I58"/>
  <c r="H77"/>
  <c r="H16" i="21"/>
  <c r="H39"/>
  <c r="I19"/>
  <c r="I26"/>
  <c r="I24"/>
  <c r="I50"/>
  <c r="I48"/>
  <c r="I46"/>
  <c r="I66"/>
  <c r="I64"/>
  <c r="I22"/>
  <c r="I25"/>
  <c r="I23"/>
  <c r="I49"/>
  <c r="I47"/>
  <c r="I62"/>
  <c r="I65"/>
  <c r="I63"/>
  <c r="H58"/>
  <c r="H74" s="1"/>
  <c r="H41"/>
  <c r="H43"/>
  <c r="H20"/>
  <c r="H27"/>
  <c r="H31"/>
  <c r="H33"/>
  <c r="I78"/>
  <c r="H78"/>
  <c r="H79" s="1"/>
  <c r="H17"/>
  <c r="H18"/>
  <c r="H21"/>
  <c r="H28"/>
  <c r="H32"/>
  <c r="H42"/>
  <c r="H51"/>
  <c r="H77"/>
  <c r="H16" i="20"/>
  <c r="H27"/>
  <c r="H33"/>
  <c r="H39"/>
  <c r="I52"/>
  <c r="I53"/>
  <c r="H20"/>
  <c r="H31"/>
  <c r="H41"/>
  <c r="I78"/>
  <c r="H78"/>
  <c r="H79" s="1"/>
  <c r="H17"/>
  <c r="H18"/>
  <c r="H21"/>
  <c r="H28"/>
  <c r="H32"/>
  <c r="H42"/>
  <c r="H51"/>
  <c r="I58"/>
  <c r="I89" s="1"/>
  <c r="H77"/>
  <c r="H39" i="19"/>
  <c r="H33"/>
  <c r="H17"/>
  <c r="H41"/>
  <c r="I18"/>
  <c r="H18"/>
  <c r="I78"/>
  <c r="H78"/>
  <c r="H79" s="1"/>
  <c r="I16"/>
  <c r="I20"/>
  <c r="H21"/>
  <c r="I27"/>
  <c r="H28"/>
  <c r="I31"/>
  <c r="H32"/>
  <c r="H42"/>
  <c r="H51"/>
  <c r="I58"/>
  <c r="H77"/>
  <c r="H17" i="18"/>
  <c r="H32"/>
  <c r="H42"/>
  <c r="H77"/>
  <c r="H21"/>
  <c r="I18"/>
  <c r="H18"/>
  <c r="I78"/>
  <c r="H78"/>
  <c r="H79" s="1"/>
  <c r="I20"/>
  <c r="I27"/>
  <c r="I31"/>
  <c r="I33"/>
  <c r="I39"/>
  <c r="I41"/>
  <c r="I43"/>
  <c r="I58"/>
  <c r="I16"/>
  <c r="I79" i="25" l="1"/>
  <c r="I85" s="1"/>
  <c r="I79" i="24"/>
  <c r="I86" s="1"/>
  <c r="I79" i="23"/>
  <c r="I88" s="1"/>
  <c r="I79" i="22"/>
  <c r="I103" s="1"/>
  <c r="I79" i="21"/>
  <c r="I85" s="1"/>
  <c r="I79" i="19"/>
  <c r="I90" s="1"/>
  <c r="I79" i="18"/>
  <c r="I87"/>
  <c r="H102" i="17" l="1"/>
  <c r="H101"/>
  <c r="H100"/>
  <c r="H99"/>
  <c r="F98"/>
  <c r="H98" s="1"/>
  <c r="H97"/>
  <c r="H96"/>
  <c r="H95"/>
  <c r="H94"/>
  <c r="H93"/>
  <c r="F92"/>
  <c r="H92" s="1"/>
  <c r="H91"/>
  <c r="H90"/>
  <c r="H89"/>
  <c r="H88"/>
  <c r="H87"/>
  <c r="H86"/>
  <c r="H85"/>
  <c r="H84"/>
  <c r="I83"/>
  <c r="H83"/>
  <c r="I82"/>
  <c r="H82"/>
  <c r="I81"/>
  <c r="H81"/>
  <c r="E78"/>
  <c r="F78" s="1"/>
  <c r="F77"/>
  <c r="H77" s="1"/>
  <c r="H75"/>
  <c r="H73"/>
  <c r="H71"/>
  <c r="H70"/>
  <c r="H69"/>
  <c r="H67"/>
  <c r="F66"/>
  <c r="H66" s="1"/>
  <c r="F65"/>
  <c r="H65" s="1"/>
  <c r="F64"/>
  <c r="H64" s="1"/>
  <c r="F63"/>
  <c r="H63" s="1"/>
  <c r="F62"/>
  <c r="H62" s="1"/>
  <c r="H61"/>
  <c r="I60"/>
  <c r="H60"/>
  <c r="F58"/>
  <c r="I58" s="1"/>
  <c r="I55"/>
  <c r="F55"/>
  <c r="H55" s="1"/>
  <c r="H54"/>
  <c r="F53"/>
  <c r="H53" s="1"/>
  <c r="F52"/>
  <c r="H52" s="1"/>
  <c r="H5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I38"/>
  <c r="H38"/>
  <c r="F28"/>
  <c r="I28" s="1"/>
  <c r="H36"/>
  <c r="H35"/>
  <c r="F27"/>
  <c r="H27" s="1"/>
  <c r="H34"/>
  <c r="F34"/>
  <c r="I34" s="1"/>
  <c r="F33"/>
  <c r="H33" s="1"/>
  <c r="F32"/>
  <c r="H32" s="1"/>
  <c r="F31"/>
  <c r="H31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H18" s="1"/>
  <c r="F17"/>
  <c r="H17" s="1"/>
  <c r="F16"/>
  <c r="I16" s="1"/>
  <c r="I33" l="1"/>
  <c r="I31"/>
  <c r="I32"/>
  <c r="H28"/>
  <c r="H39"/>
  <c r="H43"/>
  <c r="H16"/>
  <c r="H20"/>
  <c r="H41"/>
  <c r="I78"/>
  <c r="H78"/>
  <c r="H79" s="1"/>
  <c r="I17"/>
  <c r="I18"/>
  <c r="I21"/>
  <c r="I27"/>
  <c r="I42"/>
  <c r="H58"/>
  <c r="H74" s="1"/>
  <c r="I77"/>
  <c r="G78" i="8" l="1"/>
  <c r="G82" l="1"/>
  <c r="G84" s="1"/>
  <c r="E32"/>
  <c r="G86" i="16" l="1"/>
  <c r="G78"/>
  <c r="G61"/>
  <c r="G62"/>
  <c r="G63"/>
  <c r="G64"/>
  <c r="G65"/>
  <c r="G66"/>
  <c r="G88" l="1"/>
  <c r="G60"/>
  <c r="E32"/>
</calcChain>
</file>

<file path=xl/sharedStrings.xml><?xml version="1.0" encoding="utf-8"?>
<sst xmlns="http://schemas.openxmlformats.org/spreadsheetml/2006/main" count="2572" uniqueCount="229">
  <si>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</si>
  <si>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</si>
  <si>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</si>
  <si>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</si>
  <si>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</si>
  <si>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</si>
  <si>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</si>
  <si>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</si>
  <si>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</si>
  <si>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</si>
  <si>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</si>
  <si>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</si>
  <si>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</si>
  <si>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</si>
  <si>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</si>
  <si>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</si>
  <si>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</si>
  <si>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</si>
  <si>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</si>
  <si>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</si>
  <si>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</si>
  <si>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</si>
  <si>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</si>
  <si>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</si>
  <si>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</si>
  <si>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</si>
  <si>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</si>
  <si>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</si>
  <si>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</si>
  <si>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</si>
  <si>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</si>
  <si>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</si>
  <si>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</si>
  <si>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</si>
  <si>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</si>
  <si>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</si>
  <si>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</si>
  <si>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</si>
  <si>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</si>
  <si>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</si>
  <si>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</si>
  <si>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</si>
  <si>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</si>
  <si>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</si>
  <si>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</si>
  <si>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</si>
  <si>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</si>
  <si>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</si>
  <si>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</si>
  <si>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</si>
  <si>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</si>
  <si>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</si>
  <si>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</si>
  <si>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</si>
  <si>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</si>
  <si>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</si>
  <si>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</si>
  <si>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</si>
  <si>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</si>
  <si>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</si>
  <si>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</si>
  <si>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</si>
  <si>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</si>
  <si>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</si>
  <si>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</si>
  <si>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</si>
  <si>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</si>
  <si>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</si>
  <si>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</si>
  <si>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</si>
  <si>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</si>
  <si>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</si>
  <si>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</si>
  <si>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</si>
  <si>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</si>
  <si>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</si>
  <si>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</si>
  <si>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</si>
  <si>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</si>
  <si>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</si>
  <si>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</si>
  <si>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</si>
  <si>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</si>
  <si>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</si>
  <si>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</si>
  <si>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</si>
  <si>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- петли</t>
  </si>
  <si>
    <t>Смена дверных приборов (замки навесные)</t>
  </si>
  <si>
    <t>II. Уборка земельного участка</t>
  </si>
  <si>
    <t xml:space="preserve">II. Уборка земельного участка </t>
  </si>
  <si>
    <t>ООО «Жилсервис»</t>
  </si>
  <si>
    <t>АКТ №11</t>
  </si>
  <si>
    <t>за период с 01.11.2016 г. по 30.11.2016 г.</t>
  </si>
  <si>
    <t>Влажное подметание лестничных клеток 1 этажа</t>
  </si>
  <si>
    <t>100м2</t>
  </si>
  <si>
    <t>3 раза в неделю 156 раз в год</t>
  </si>
  <si>
    <t>2 раза в неделю 104 раза в год</t>
  </si>
  <si>
    <t>30 раз за сезон</t>
  </si>
  <si>
    <t>155 раз за сезон</t>
  </si>
  <si>
    <t>1000м2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</si>
  <si>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</si>
  <si>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</si>
  <si>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</si>
  <si>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</si>
  <si>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</si>
  <si>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</si>
  <si>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</si>
  <si>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</si>
  <si>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</si>
  <si>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</si>
  <si>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</si>
  <si>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</si>
  <si>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</si>
  <si>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</si>
  <si>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</si>
  <si>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</si>
  <si>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</si>
  <si>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</si>
  <si>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</si>
  <si>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</si>
  <si>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</si>
  <si>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</si>
  <si>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</si>
  <si>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</si>
  <si>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</si>
  <si>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</si>
  <si>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</si>
  <si>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</si>
  <si>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</si>
  <si>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>за период с 01.12.2016 г. по 31.12.2016 г.</t>
  </si>
  <si>
    <t>ежедневно 365 раз</t>
  </si>
  <si>
    <t xml:space="preserve"> </t>
  </si>
  <si>
    <t>Прочистка каналов</t>
  </si>
  <si>
    <t>Снятие показаний эл.счетчика коммунального назначения</t>
  </si>
  <si>
    <t>Влажное подметание лестничных клеток 2-4 этажа</t>
  </si>
  <si>
    <t>Мытье лестничных  площадок и маршей 1-4 этаж.</t>
  </si>
  <si>
    <t xml:space="preserve">2 раза в месяц   24 раза в год </t>
  </si>
  <si>
    <t xml:space="preserve">1 раз в месяц </t>
  </si>
  <si>
    <t>1 раз в 2 месяца</t>
  </si>
  <si>
    <t>Сдвигание снега в дни снегопада (крыльца, тротуары)</t>
  </si>
  <si>
    <t>35 раз за сезон</t>
  </si>
  <si>
    <t xml:space="preserve">Пескопосыпка территории: крыльца и тротуары </t>
  </si>
  <si>
    <t>1 раз в месяц (5 раз за сезон)</t>
  </si>
  <si>
    <t>Замена ламп ДРЛ</t>
  </si>
  <si>
    <t>Прочистка засоров ГВС, XВC</t>
  </si>
  <si>
    <t>3м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</si>
  <si>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</si>
  <si>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</si>
  <si>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Посыпка подвала реагентом</t>
  </si>
  <si>
    <t>Установка дверных полотен</t>
  </si>
  <si>
    <t>полотно</t>
  </si>
  <si>
    <t>АКТ №12</t>
  </si>
  <si>
    <t xml:space="preserve">приемки оказанных услуг и выполненных работ по содержанию и текущему ремонту
общего имущества в многоквартирном доме №51 по ул.Октябрьская пгт.Ярега
</t>
  </si>
  <si>
    <t>2. Всего за период с 01.12.2016 по 31.12.2016 выполнено работ (оказано услуг) на общую сумму: 40950,50 руб.</t>
  </si>
  <si>
    <t>(сорок тысяч девятьсот пятьдесят рублей 50 копеек)</t>
  </si>
  <si>
    <t>2. Всего за период с 01.11.2016 по 30.11.2016 выполнено работ (оказано услуг) на общую сумму: 50452,90 руб.</t>
  </si>
  <si>
    <t>(пятьдесят тысяч четыреста пятьдесят два рубля 90 копеек)</t>
  </si>
  <si>
    <r>
      <t xml:space="preserve">    Собственники помещений в многоквартирном доме, расположенном по адресу: пгт.Ярега, ул.Октябрьская, д.51,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14.02.2014г.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</si>
  <si>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51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д.51</t>
    </r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</si>
  <si>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</si>
  <si>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</si>
  <si>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</si>
  <si>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</si>
  <si>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АКТ №1</t>
  </si>
  <si>
    <t>Вывоз снега с придомовой территории</t>
  </si>
  <si>
    <t>1м3</t>
  </si>
  <si>
    <t>Ремонт и регулировка доводчика (со стоимостью доводчика)</t>
  </si>
  <si>
    <t>1шт.</t>
  </si>
  <si>
    <t>Смена арматуры - вентилей и клапанов обратных муфтовых диаметром до 20 мм</t>
  </si>
  <si>
    <t>Смена тройника диаметром 20 мм</t>
  </si>
  <si>
    <t xml:space="preserve">Смена сгонов у трубопроводов диаметром до 20 мм </t>
  </si>
  <si>
    <t>1 сгон</t>
  </si>
  <si>
    <t>Смена вентилей диаметром до 20 мм (смена барашка)</t>
  </si>
  <si>
    <t>Смена пакетных выключателей</t>
  </si>
  <si>
    <t>Работа автовышки</t>
  </si>
  <si>
    <t>маш/час</t>
  </si>
  <si>
    <t>Ремонт отдельных мест покрытия из асбоцементных листов обыкновенного профиля</t>
  </si>
  <si>
    <t>10 м2</t>
  </si>
  <si>
    <t>Смена трубопроводов на металл-полимерные трубы диаметром до 20мм</t>
  </si>
  <si>
    <t>Ремонт ограждений контейнерной площадки</t>
  </si>
  <si>
    <t>тыс.руб.</t>
  </si>
  <si>
    <t>Устройство хомута диаметром до 50 мм</t>
  </si>
  <si>
    <t>Монтаж таймера освещения ТО-2</t>
  </si>
  <si>
    <t>Уплотнение сгонов (с заменой перехода чугун-пластик Ду 50 с манжетой)</t>
  </si>
  <si>
    <t>Смена трубопроводов на полипропленовые трубы PN25 диаметром 25 мм</t>
  </si>
  <si>
    <t>Мелкий ремонт электропроводки</t>
  </si>
  <si>
    <t>5 раз в год</t>
  </si>
  <si>
    <t>2. Всего за период с 01.01.2016 по 31.01.2016 выполнено работ (оказано услуг) на общую сумму: 46880,34 руб.</t>
  </si>
  <si>
    <t>ежемесячно</t>
  </si>
  <si>
    <t>(сорок шесть тысяч восемьсот восемьдесят рублей 34 копейки)</t>
  </si>
  <si>
    <t>АКТ №2</t>
  </si>
  <si>
    <t>за период с 01.02.2016 г. по 29.02.2016 г.</t>
  </si>
  <si>
    <t>2. Всего за период с 01.02.2016 по 29.02.2016 выполнено работ (оказано услуг) на общую сумму: 41939,12 руб.</t>
  </si>
  <si>
    <t>(сорок одна тысяча девятьсот тридцать девять рублей 12 копеек)</t>
  </si>
  <si>
    <t>АКТ №3</t>
  </si>
  <si>
    <t>за период с 01.03.2016 г. по 31.03.2016 г.</t>
  </si>
  <si>
    <t>III. Содержание общего имущества МКД</t>
  </si>
  <si>
    <t>IV. Прочие услуги</t>
  </si>
  <si>
    <t>2. Всего за период с 01.03.2016 по 31.03.2016 выполнено работ (оказано услуг) на общую сумму: 43921,62 руб.</t>
  </si>
  <si>
    <t>(сорок три тысячи девятьсот двадцать один рубль 62 копейки)</t>
  </si>
  <si>
    <t>АКТ №4</t>
  </si>
  <si>
    <t>за период с 01.04.2016 г. по 30.04.2016 г.</t>
  </si>
  <si>
    <t>2. Всего за период с 01.04.2016 по 30.04.2016 выполнено работ (оказано услуг) на общую сумму: 63537,16 руб.</t>
  </si>
  <si>
    <t>(шестьдесят три тысячи пятьсот тридцать семь рублей 16 копеек)</t>
  </si>
  <si>
    <t>АКТ №5</t>
  </si>
  <si>
    <t>за период с 01.05.2016 г. по 31.05.2016 г.</t>
  </si>
  <si>
    <t>2. Всего за период с 01.05.2016 по 31.05.2016 выполнено работ (оказано услуг) на общую сумму: 93248,41 руб.</t>
  </si>
  <si>
    <t>(девяносто три тысячи двести сорок восемь рублей 41 копейка)</t>
  </si>
  <si>
    <t>АКТ №6</t>
  </si>
  <si>
    <t>за период с 01.06.2016 г. по 30.06.2016 г.</t>
  </si>
  <si>
    <t>III. Прочие услуги</t>
  </si>
  <si>
    <t>2. Всего за период с 01.06.2016 по 30.06.2016 выполнено работ (оказано услуг) на общую сумму: 31597,84 руб.</t>
  </si>
  <si>
    <t>(тридцать одна тысяча пятьсот девяносто семь рублей 84 копейки)</t>
  </si>
  <si>
    <t>АКТ №7</t>
  </si>
  <si>
    <t>за период с 01.07.2016 г. по 31.07.2016 г.</t>
  </si>
  <si>
    <t>2. Всего за период с 01.07.2016 по 31.07.2016 выполнено работ (оказано услуг) на общую сумму: 32099,96 руб.</t>
  </si>
  <si>
    <t>(тридцать две тысячи девяносто девять рублей 96 копеек)</t>
  </si>
  <si>
    <t>АКТ №8</t>
  </si>
  <si>
    <t>за период с 01.08.2016 г. по 31.08.2016 г.</t>
  </si>
  <si>
    <t>2. Всего за период с 01.08.2016 по 31.08.2016 выполнено работ (оказано услуг) на общую сумму: 52028,33 руб.</t>
  </si>
  <si>
    <t>(пятьдесят две тысячи двадцать восемь рублей 33 копейки)</t>
  </si>
  <si>
    <t>АКТ №9</t>
  </si>
  <si>
    <t>за период с 01.09.2016 г. по 30.09.2016 г.</t>
  </si>
  <si>
    <t>2. Всего за период с 01.09.2016 по 30.09.2016 выполнено работ (оказано услуг) на общую сумму: 35987,01 руб.</t>
  </si>
  <si>
    <t>(тридцать пять тысяч девятьсот восемьдесят семь рублей 01 копейка)</t>
  </si>
  <si>
    <t>АКТ №10</t>
  </si>
  <si>
    <t>за период с 01.10.2016 г. по 31.10.2016 г.</t>
  </si>
  <si>
    <t>2. Всего за период с 01.10.2016 по 31.10.2016 выполнено работ (оказано услуг) на общую сумму: 35607,92 руб.</t>
  </si>
  <si>
    <t>(тридцать пять тысяч шестьсот семь рублей 92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</si>
</sst>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7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left" vertical="center" wrapText="1"/>
    </xf>
    <xf numFmtId="4" fontId="11" fillId="3" borderId="9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1" fillId="3" borderId="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1" fillId="2" borderId="15" xfId="0" applyNumberFormat="1" applyFont="1" applyFill="1" applyBorder="1" applyAlignment="1" applyProtection="1">
      <alignment horizontal="left" vertical="center" wrapText="1"/>
    </xf>
    <xf numFmtId="0" fontId="11" fillId="2" borderId="1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4" fontId="18" fillId="4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1" fillId="0" borderId="1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2" borderId="14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8" fillId="4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6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2" t="s">
        <v>90</v>
      </c>
      <c r="I1" s="31"/>
    </row>
    <row r="2" spans="1:9" ht="15.75">
      <c r="A2" s="33" t="s">
        <v>60</v>
      </c>
    </row>
    <row r="3" spans="1:9" ht="15.75">
      <c r="A3" s="161" t="s">
        <v>163</v>
      </c>
      <c r="B3" s="161"/>
      <c r="C3" s="161"/>
      <c r="D3" s="161"/>
      <c r="E3" s="161"/>
      <c r="F3" s="161"/>
      <c r="G3" s="161"/>
      <c r="H3" s="161"/>
      <c r="I3" s="161"/>
    </row>
    <row r="4" spans="1:9" ht="31.5" customHeight="1">
      <c r="A4" s="162" t="s">
        <v>152</v>
      </c>
      <c r="B4" s="162"/>
      <c r="C4" s="162"/>
      <c r="D4" s="162"/>
      <c r="E4" s="162"/>
      <c r="F4" s="162"/>
      <c r="G4" s="162"/>
      <c r="H4" s="162"/>
      <c r="I4" s="162"/>
    </row>
    <row r="5" spans="1:9" ht="15.75">
      <c r="A5" s="161" t="s">
        <v>78</v>
      </c>
      <c r="B5" s="163"/>
      <c r="C5" s="163"/>
      <c r="D5" s="163"/>
      <c r="E5" s="163"/>
      <c r="F5" s="163"/>
      <c r="G5" s="163"/>
      <c r="H5" s="163"/>
      <c r="I5" s="163"/>
    </row>
    <row r="6" spans="1:9" ht="15.75">
      <c r="A6" s="2"/>
      <c r="B6" s="97"/>
      <c r="C6" s="97"/>
      <c r="D6" s="97"/>
      <c r="E6" s="97"/>
      <c r="F6" s="97"/>
      <c r="G6" s="97"/>
      <c r="H6" s="97"/>
      <c r="I6" s="35">
        <v>42400</v>
      </c>
    </row>
    <row r="7" spans="1:9" ht="15.75">
      <c r="B7" s="98"/>
      <c r="C7" s="98"/>
      <c r="D7" s="98"/>
      <c r="E7" s="3"/>
      <c r="F7" s="3"/>
      <c r="G7" s="3"/>
      <c r="H7" s="3"/>
    </row>
    <row r="8" spans="1:9" ht="78.75" customHeight="1">
      <c r="A8" s="164" t="s">
        <v>157</v>
      </c>
      <c r="B8" s="164"/>
      <c r="C8" s="164"/>
      <c r="D8" s="164"/>
      <c r="E8" s="164"/>
      <c r="F8" s="164"/>
      <c r="G8" s="164"/>
      <c r="H8" s="164"/>
      <c r="I8" s="164"/>
    </row>
    <row r="9" spans="1:9" ht="15.75">
      <c r="A9" s="4"/>
    </row>
    <row r="10" spans="1:9" ht="47.25" customHeight="1">
      <c r="A10" s="165" t="s">
        <v>158</v>
      </c>
      <c r="B10" s="165"/>
      <c r="C10" s="165"/>
      <c r="D10" s="165"/>
      <c r="E10" s="165"/>
      <c r="F10" s="165"/>
      <c r="G10" s="165"/>
      <c r="H10" s="165"/>
      <c r="I10" s="165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6" t="s">
        <v>57</v>
      </c>
      <c r="B14" s="166"/>
      <c r="C14" s="166"/>
      <c r="D14" s="166"/>
      <c r="E14" s="166"/>
      <c r="F14" s="166"/>
      <c r="G14" s="166"/>
      <c r="H14" s="166"/>
      <c r="I14" s="166"/>
    </row>
    <row r="15" spans="1:9">
      <c r="A15" s="159" t="s">
        <v>4</v>
      </c>
      <c r="B15" s="159"/>
      <c r="C15" s="159"/>
      <c r="D15" s="159"/>
      <c r="E15" s="159"/>
      <c r="F15" s="159"/>
      <c r="G15" s="159"/>
      <c r="H15" s="159"/>
      <c r="I15" s="159"/>
    </row>
    <row r="16" spans="1:9" ht="31.5" customHeight="1">
      <c r="A16" s="34">
        <v>1</v>
      </c>
      <c r="B16" s="120" t="s">
        <v>93</v>
      </c>
      <c r="C16" s="121" t="s">
        <v>94</v>
      </c>
      <c r="D16" s="120" t="s">
        <v>95</v>
      </c>
      <c r="E16" s="122">
        <v>55</v>
      </c>
      <c r="F16" s="123">
        <f>SUM(E16*156/100)</f>
        <v>85.8</v>
      </c>
      <c r="G16" s="123">
        <v>187.48</v>
      </c>
      <c r="H16" s="124">
        <f t="shared" ref="H16:H26" si="0">SUM(F16*G16/1000)</f>
        <v>16.085783999999997</v>
      </c>
      <c r="I16" s="14">
        <f>F16/12*G16</f>
        <v>1340.4819999999997</v>
      </c>
    </row>
    <row r="17" spans="1:9" ht="31.5" customHeight="1">
      <c r="A17" s="34">
        <v>2</v>
      </c>
      <c r="B17" s="120" t="s">
        <v>134</v>
      </c>
      <c r="C17" s="121" t="s">
        <v>94</v>
      </c>
      <c r="D17" s="120" t="s">
        <v>96</v>
      </c>
      <c r="E17" s="122">
        <v>165</v>
      </c>
      <c r="F17" s="123">
        <f>SUM(E17*104/100)</f>
        <v>171.6</v>
      </c>
      <c r="G17" s="123">
        <v>187.48</v>
      </c>
      <c r="H17" s="124">
        <f t="shared" si="0"/>
        <v>32.171567999999994</v>
      </c>
      <c r="I17" s="14">
        <f>F17/12*G17</f>
        <v>2680.9639999999995</v>
      </c>
    </row>
    <row r="18" spans="1:9" ht="31.5" customHeight="1">
      <c r="A18" s="34">
        <v>3</v>
      </c>
      <c r="B18" s="120" t="s">
        <v>135</v>
      </c>
      <c r="C18" s="121" t="s">
        <v>94</v>
      </c>
      <c r="D18" s="120" t="s">
        <v>136</v>
      </c>
      <c r="E18" s="122">
        <f>SUM(E16+E17)</f>
        <v>220</v>
      </c>
      <c r="F18" s="123">
        <f>SUM(E18*24/100)</f>
        <v>52.8</v>
      </c>
      <c r="G18" s="123">
        <v>539.30999999999995</v>
      </c>
      <c r="H18" s="124">
        <f t="shared" si="0"/>
        <v>28.475567999999996</v>
      </c>
      <c r="I18" s="14">
        <f>F18/12*G18</f>
        <v>2372.9639999999995</v>
      </c>
    </row>
    <row r="19" spans="1:9" ht="15.75" hidden="1" customHeight="1">
      <c r="A19" s="34">
        <v>4</v>
      </c>
      <c r="B19" s="120" t="s">
        <v>103</v>
      </c>
      <c r="C19" s="121" t="s">
        <v>104</v>
      </c>
      <c r="D19" s="120" t="s">
        <v>105</v>
      </c>
      <c r="E19" s="122">
        <v>32.4</v>
      </c>
      <c r="F19" s="123">
        <f>SUM(E19/10)</f>
        <v>3.2399999999999998</v>
      </c>
      <c r="G19" s="123">
        <v>181.91</v>
      </c>
      <c r="H19" s="124">
        <f t="shared" si="0"/>
        <v>0.58938839999999992</v>
      </c>
      <c r="I19" s="14">
        <v>0</v>
      </c>
    </row>
    <row r="20" spans="1:9" ht="15.75" customHeight="1">
      <c r="A20" s="34">
        <v>4</v>
      </c>
      <c r="B20" s="120" t="s">
        <v>106</v>
      </c>
      <c r="C20" s="121" t="s">
        <v>94</v>
      </c>
      <c r="D20" s="120" t="s">
        <v>137</v>
      </c>
      <c r="E20" s="122">
        <v>12.24</v>
      </c>
      <c r="F20" s="123">
        <f>SUM(E20*12/100)</f>
        <v>1.4687999999999999</v>
      </c>
      <c r="G20" s="123">
        <v>232.92</v>
      </c>
      <c r="H20" s="124">
        <f t="shared" si="0"/>
        <v>0.342112896</v>
      </c>
      <c r="I20" s="14">
        <f>F20/12*G20</f>
        <v>28.509407999999997</v>
      </c>
    </row>
    <row r="21" spans="1:9" ht="15.75" customHeight="1">
      <c r="A21" s="34">
        <v>5</v>
      </c>
      <c r="B21" s="120" t="s">
        <v>107</v>
      </c>
      <c r="C21" s="121" t="s">
        <v>94</v>
      </c>
      <c r="D21" s="120" t="s">
        <v>138</v>
      </c>
      <c r="E21" s="122">
        <v>10.08</v>
      </c>
      <c r="F21" s="123">
        <f>SUM(E21*6/100)</f>
        <v>0.6048</v>
      </c>
      <c r="G21" s="123">
        <v>231.03</v>
      </c>
      <c r="H21" s="124">
        <f t="shared" si="0"/>
        <v>0.13972694399999999</v>
      </c>
      <c r="I21" s="14">
        <f>F21/6*G21</f>
        <v>23.287824000000001</v>
      </c>
    </row>
    <row r="22" spans="1:9" ht="15.75" hidden="1" customHeight="1">
      <c r="A22" s="34">
        <v>7</v>
      </c>
      <c r="B22" s="120" t="s">
        <v>108</v>
      </c>
      <c r="C22" s="121" t="s">
        <v>51</v>
      </c>
      <c r="D22" s="120" t="s">
        <v>105</v>
      </c>
      <c r="E22" s="122">
        <v>293.76</v>
      </c>
      <c r="F22" s="123">
        <f>SUM(E22/100)</f>
        <v>2.9375999999999998</v>
      </c>
      <c r="G22" s="123">
        <v>287.83999999999997</v>
      </c>
      <c r="H22" s="124">
        <f t="shared" si="0"/>
        <v>0.84555878399999984</v>
      </c>
      <c r="I22" s="14">
        <v>0</v>
      </c>
    </row>
    <row r="23" spans="1:9" ht="15.75" hidden="1" customHeight="1">
      <c r="A23" s="34">
        <v>8</v>
      </c>
      <c r="B23" s="120" t="s">
        <v>109</v>
      </c>
      <c r="C23" s="121" t="s">
        <v>51</v>
      </c>
      <c r="D23" s="120" t="s">
        <v>105</v>
      </c>
      <c r="E23" s="125">
        <v>17.64</v>
      </c>
      <c r="F23" s="123">
        <f>SUM(E23/100)</f>
        <v>0.1764</v>
      </c>
      <c r="G23" s="123">
        <v>47.34</v>
      </c>
      <c r="H23" s="124">
        <f t="shared" si="0"/>
        <v>8.3507760000000007E-3</v>
      </c>
      <c r="I23" s="14">
        <v>0</v>
      </c>
    </row>
    <row r="24" spans="1:9" ht="15.75" hidden="1" customHeight="1">
      <c r="A24" s="34">
        <v>9</v>
      </c>
      <c r="B24" s="120" t="s">
        <v>110</v>
      </c>
      <c r="C24" s="121" t="s">
        <v>51</v>
      </c>
      <c r="D24" s="120" t="s">
        <v>111</v>
      </c>
      <c r="E24" s="122">
        <v>10.8</v>
      </c>
      <c r="F24" s="123">
        <f>E24/100</f>
        <v>0.10800000000000001</v>
      </c>
      <c r="G24" s="123">
        <v>416.62</v>
      </c>
      <c r="H24" s="124">
        <f t="shared" si="0"/>
        <v>4.4994960000000007E-2</v>
      </c>
      <c r="I24" s="14">
        <v>0</v>
      </c>
    </row>
    <row r="25" spans="1:9" ht="15.75" hidden="1" customHeight="1">
      <c r="A25" s="34">
        <v>10</v>
      </c>
      <c r="B25" s="120" t="s">
        <v>112</v>
      </c>
      <c r="C25" s="121" t="s">
        <v>51</v>
      </c>
      <c r="D25" s="120" t="s">
        <v>52</v>
      </c>
      <c r="E25" s="122">
        <v>12.6</v>
      </c>
      <c r="F25" s="123">
        <f>E25/100</f>
        <v>0.126</v>
      </c>
      <c r="G25" s="123">
        <v>231.03</v>
      </c>
      <c r="H25" s="124">
        <f>G25*F25/1000</f>
        <v>2.9109780000000002E-2</v>
      </c>
      <c r="I25" s="14">
        <v>0</v>
      </c>
    </row>
    <row r="26" spans="1:9" ht="15.75" hidden="1" customHeight="1">
      <c r="A26" s="34">
        <v>11</v>
      </c>
      <c r="B26" s="120" t="s">
        <v>113</v>
      </c>
      <c r="C26" s="121" t="s">
        <v>51</v>
      </c>
      <c r="D26" s="120" t="s">
        <v>105</v>
      </c>
      <c r="E26" s="122">
        <v>14.4</v>
      </c>
      <c r="F26" s="123">
        <f>SUM(E26/100)</f>
        <v>0.14400000000000002</v>
      </c>
      <c r="G26" s="123">
        <v>556.74</v>
      </c>
      <c r="H26" s="124">
        <f t="shared" si="0"/>
        <v>8.0170560000000016E-2</v>
      </c>
      <c r="I26" s="14">
        <v>0</v>
      </c>
    </row>
    <row r="27" spans="1:9" ht="15.75" customHeight="1">
      <c r="A27" s="34">
        <v>6</v>
      </c>
      <c r="B27" s="120" t="s">
        <v>62</v>
      </c>
      <c r="C27" s="121" t="s">
        <v>31</v>
      </c>
      <c r="D27" s="120" t="s">
        <v>130</v>
      </c>
      <c r="E27" s="122">
        <v>0.1</v>
      </c>
      <c r="F27" s="123">
        <f>SUM(E27*365)</f>
        <v>36.5</v>
      </c>
      <c r="G27" s="123">
        <v>157.18</v>
      </c>
      <c r="H27" s="124">
        <f>SUM(F27*G27/1000)</f>
        <v>5.737070000000001</v>
      </c>
      <c r="I27" s="14">
        <f>F27/12*G27</f>
        <v>478.08916666666664</v>
      </c>
    </row>
    <row r="28" spans="1:9" ht="15.75" customHeight="1">
      <c r="A28" s="34">
        <v>7</v>
      </c>
      <c r="B28" s="128" t="s">
        <v>23</v>
      </c>
      <c r="C28" s="121" t="s">
        <v>24</v>
      </c>
      <c r="D28" s="128" t="s">
        <v>131</v>
      </c>
      <c r="E28" s="122">
        <v>2054.6</v>
      </c>
      <c r="F28" s="123">
        <f>SUM(E28*12)</f>
        <v>24655.199999999997</v>
      </c>
      <c r="G28" s="123">
        <v>6.15</v>
      </c>
      <c r="H28" s="124">
        <f>SUM(F28*G28/1000)</f>
        <v>151.62947999999997</v>
      </c>
      <c r="I28" s="14">
        <f>F28/12*G28</f>
        <v>12635.79</v>
      </c>
    </row>
    <row r="29" spans="1:9" ht="15.75" customHeight="1">
      <c r="A29" s="147" t="s">
        <v>88</v>
      </c>
      <c r="B29" s="148"/>
      <c r="C29" s="148"/>
      <c r="D29" s="148"/>
      <c r="E29" s="148"/>
      <c r="F29" s="148"/>
      <c r="G29" s="148"/>
      <c r="H29" s="148"/>
      <c r="I29" s="149"/>
    </row>
    <row r="30" spans="1:9" ht="15.75" hidden="1" customHeight="1">
      <c r="A30" s="34"/>
      <c r="B30" s="144" t="s">
        <v>27</v>
      </c>
      <c r="C30" s="121"/>
      <c r="D30" s="120"/>
      <c r="E30" s="122"/>
      <c r="F30" s="123"/>
      <c r="G30" s="123"/>
      <c r="H30" s="124"/>
      <c r="I30" s="14"/>
    </row>
    <row r="31" spans="1:9" ht="31.5" hidden="1" customHeight="1">
      <c r="A31" s="34">
        <v>8</v>
      </c>
      <c r="B31" s="120" t="s">
        <v>118</v>
      </c>
      <c r="C31" s="121" t="s">
        <v>99</v>
      </c>
      <c r="D31" s="120" t="s">
        <v>114</v>
      </c>
      <c r="E31" s="123">
        <v>600.63</v>
      </c>
      <c r="F31" s="123">
        <f>SUM(E31*52/1000)</f>
        <v>31.232759999999999</v>
      </c>
      <c r="G31" s="123">
        <v>166.65</v>
      </c>
      <c r="H31" s="124">
        <f t="shared" ref="H31:H36" si="1">SUM(F31*G31/1000)</f>
        <v>5.2049394540000007</v>
      </c>
      <c r="I31" s="14">
        <f>F31/6*G31</f>
        <v>867.4899089999999</v>
      </c>
    </row>
    <row r="32" spans="1:9" ht="31.5" hidden="1" customHeight="1">
      <c r="A32" s="34">
        <v>9</v>
      </c>
      <c r="B32" s="120" t="s">
        <v>117</v>
      </c>
      <c r="C32" s="121" t="s">
        <v>99</v>
      </c>
      <c r="D32" s="120" t="s">
        <v>115</v>
      </c>
      <c r="E32" s="123">
        <v>186.39</v>
      </c>
      <c r="F32" s="123">
        <f>SUM(E32*78/1000)</f>
        <v>14.538419999999999</v>
      </c>
      <c r="G32" s="123">
        <v>276.48</v>
      </c>
      <c r="H32" s="124">
        <f t="shared" si="1"/>
        <v>4.0195823615999995</v>
      </c>
      <c r="I32" s="14">
        <f t="shared" ref="I32:I34" si="2">F32/6*G32</f>
        <v>669.93039359999989</v>
      </c>
    </row>
    <row r="33" spans="1:9" ht="15.75" hidden="1" customHeight="1">
      <c r="A33" s="34">
        <v>16</v>
      </c>
      <c r="B33" s="120" t="s">
        <v>26</v>
      </c>
      <c r="C33" s="121" t="s">
        <v>99</v>
      </c>
      <c r="D33" s="120" t="s">
        <v>52</v>
      </c>
      <c r="E33" s="123">
        <v>600.63</v>
      </c>
      <c r="F33" s="123">
        <f>SUM(E33/1000)</f>
        <v>0.60063</v>
      </c>
      <c r="G33" s="123">
        <v>3228.73</v>
      </c>
      <c r="H33" s="124">
        <f t="shared" si="1"/>
        <v>1.9392720999000002</v>
      </c>
      <c r="I33" s="14">
        <f>F33*G33</f>
        <v>1939.2720999000001</v>
      </c>
    </row>
    <row r="34" spans="1:9" ht="15.75" hidden="1" customHeight="1">
      <c r="A34" s="34">
        <v>10</v>
      </c>
      <c r="B34" s="120" t="s">
        <v>116</v>
      </c>
      <c r="C34" s="121" t="s">
        <v>29</v>
      </c>
      <c r="D34" s="120" t="s">
        <v>61</v>
      </c>
      <c r="E34" s="127">
        <v>0.33333333333333331</v>
      </c>
      <c r="F34" s="123">
        <f>155/3</f>
        <v>51.666666666666664</v>
      </c>
      <c r="G34" s="123">
        <v>60.6</v>
      </c>
      <c r="H34" s="124">
        <f>SUM(G34*155/3/1000)</f>
        <v>3.1309999999999998</v>
      </c>
      <c r="I34" s="14">
        <f t="shared" si="2"/>
        <v>521.83333333333337</v>
      </c>
    </row>
    <row r="35" spans="1:9" ht="15.75" hidden="1" customHeight="1">
      <c r="A35" s="34"/>
      <c r="B35" s="120" t="s">
        <v>63</v>
      </c>
      <c r="C35" s="121" t="s">
        <v>31</v>
      </c>
      <c r="D35" s="120" t="s">
        <v>65</v>
      </c>
      <c r="E35" s="122"/>
      <c r="F35" s="123">
        <v>2</v>
      </c>
      <c r="G35" s="123">
        <v>204.52</v>
      </c>
      <c r="H35" s="124">
        <f t="shared" si="1"/>
        <v>0.40904000000000001</v>
      </c>
      <c r="I35" s="14">
        <v>0</v>
      </c>
    </row>
    <row r="36" spans="1:9" ht="15.75" hidden="1" customHeight="1">
      <c r="A36" s="34"/>
      <c r="B36" s="120" t="s">
        <v>64</v>
      </c>
      <c r="C36" s="121" t="s">
        <v>30</v>
      </c>
      <c r="D36" s="120" t="s">
        <v>65</v>
      </c>
      <c r="E36" s="122"/>
      <c r="F36" s="123">
        <v>1</v>
      </c>
      <c r="G36" s="123">
        <v>1214.74</v>
      </c>
      <c r="H36" s="124">
        <f t="shared" si="1"/>
        <v>1.2147399999999999</v>
      </c>
      <c r="I36" s="14">
        <v>0</v>
      </c>
    </row>
    <row r="37" spans="1:9" ht="15.75" customHeight="1">
      <c r="A37" s="34"/>
      <c r="B37" s="144" t="s">
        <v>5</v>
      </c>
      <c r="C37" s="121"/>
      <c r="D37" s="120"/>
      <c r="E37" s="122"/>
      <c r="F37" s="123"/>
      <c r="G37" s="123"/>
      <c r="H37" s="124" t="s">
        <v>131</v>
      </c>
      <c r="I37" s="14"/>
    </row>
    <row r="38" spans="1:9" ht="15.75" customHeight="1">
      <c r="A38" s="34">
        <v>8</v>
      </c>
      <c r="B38" s="120" t="s">
        <v>25</v>
      </c>
      <c r="C38" s="121" t="s">
        <v>30</v>
      </c>
      <c r="D38" s="120"/>
      <c r="E38" s="122"/>
      <c r="F38" s="123">
        <v>5</v>
      </c>
      <c r="G38" s="123">
        <v>1632.6</v>
      </c>
      <c r="H38" s="124">
        <f t="shared" ref="H38:H44" si="3">SUM(F38*G38/1000)</f>
        <v>8.1630000000000003</v>
      </c>
      <c r="I38" s="14">
        <f>F38/6*G38</f>
        <v>1360.5</v>
      </c>
    </row>
    <row r="39" spans="1:9" ht="15.75" customHeight="1">
      <c r="A39" s="34">
        <v>9</v>
      </c>
      <c r="B39" s="120" t="s">
        <v>139</v>
      </c>
      <c r="C39" s="121" t="s">
        <v>28</v>
      </c>
      <c r="D39" s="120" t="s">
        <v>97</v>
      </c>
      <c r="E39" s="122">
        <v>186.39</v>
      </c>
      <c r="F39" s="123">
        <f>E39*30/1000</f>
        <v>5.5916999999999994</v>
      </c>
      <c r="G39" s="123">
        <v>2247.8000000000002</v>
      </c>
      <c r="H39" s="124">
        <f>G39*F39/1000</f>
        <v>12.56902326</v>
      </c>
      <c r="I39" s="14">
        <f>F39/6*G39</f>
        <v>2094.8372100000001</v>
      </c>
    </row>
    <row r="40" spans="1:9" ht="15.75" hidden="1" customHeight="1">
      <c r="A40" s="34"/>
      <c r="B40" s="120" t="s">
        <v>164</v>
      </c>
      <c r="C40" s="121" t="s">
        <v>165</v>
      </c>
      <c r="D40" s="120" t="s">
        <v>65</v>
      </c>
      <c r="E40" s="122"/>
      <c r="F40" s="123">
        <v>72.3</v>
      </c>
      <c r="G40" s="123">
        <v>199.44</v>
      </c>
      <c r="H40" s="124">
        <f>G40*F40/1000</f>
        <v>14.419511999999999</v>
      </c>
      <c r="I40" s="14">
        <v>0</v>
      </c>
    </row>
    <row r="41" spans="1:9" ht="15.75" customHeight="1">
      <c r="A41" s="34">
        <v>10</v>
      </c>
      <c r="B41" s="120" t="s">
        <v>66</v>
      </c>
      <c r="C41" s="121" t="s">
        <v>28</v>
      </c>
      <c r="D41" s="120" t="s">
        <v>98</v>
      </c>
      <c r="E41" s="123">
        <v>186.39</v>
      </c>
      <c r="F41" s="123">
        <f>SUM(E41*155/1000)</f>
        <v>28.890449999999998</v>
      </c>
      <c r="G41" s="123">
        <v>374.95</v>
      </c>
      <c r="H41" s="124">
        <f t="shared" si="3"/>
        <v>10.832474227499999</v>
      </c>
      <c r="I41" s="14">
        <f>F41/6*G41</f>
        <v>1805.4123712499998</v>
      </c>
    </row>
    <row r="42" spans="1:9" ht="47.25" customHeight="1">
      <c r="A42" s="34">
        <v>11</v>
      </c>
      <c r="B42" s="120" t="s">
        <v>84</v>
      </c>
      <c r="C42" s="121" t="s">
        <v>99</v>
      </c>
      <c r="D42" s="120" t="s">
        <v>140</v>
      </c>
      <c r="E42" s="123">
        <v>52.2</v>
      </c>
      <c r="F42" s="123">
        <f>SUM(E42*35/1000)</f>
        <v>1.827</v>
      </c>
      <c r="G42" s="123">
        <v>6203.7</v>
      </c>
      <c r="H42" s="124">
        <f t="shared" si="3"/>
        <v>11.3341599</v>
      </c>
      <c r="I42" s="14">
        <f>F42/6*G42</f>
        <v>1889.0266499999998</v>
      </c>
    </row>
    <row r="43" spans="1:9" ht="15.75" customHeight="1">
      <c r="A43" s="34">
        <v>12</v>
      </c>
      <c r="B43" s="120" t="s">
        <v>141</v>
      </c>
      <c r="C43" s="121" t="s">
        <v>99</v>
      </c>
      <c r="D43" s="120" t="s">
        <v>67</v>
      </c>
      <c r="E43" s="123">
        <v>52.2</v>
      </c>
      <c r="F43" s="123">
        <f>SUM(E43*45/1000)</f>
        <v>2.3490000000000002</v>
      </c>
      <c r="G43" s="123">
        <v>458.28</v>
      </c>
      <c r="H43" s="124">
        <f t="shared" si="3"/>
        <v>1.0764997199999999</v>
      </c>
      <c r="I43" s="14">
        <f>F43/6*G43</f>
        <v>179.41661999999999</v>
      </c>
    </row>
    <row r="44" spans="1:9" ht="15.75" customHeight="1">
      <c r="A44" s="34">
        <v>13</v>
      </c>
      <c r="B44" s="120" t="s">
        <v>68</v>
      </c>
      <c r="C44" s="121" t="s">
        <v>31</v>
      </c>
      <c r="D44" s="120"/>
      <c r="E44" s="122"/>
      <c r="F44" s="123">
        <v>0.5</v>
      </c>
      <c r="G44" s="123">
        <v>853.06</v>
      </c>
      <c r="H44" s="124">
        <f t="shared" si="3"/>
        <v>0.42652999999999996</v>
      </c>
      <c r="I44" s="14">
        <f>F44/6*G44</f>
        <v>71.088333333333324</v>
      </c>
    </row>
    <row r="45" spans="1:9" ht="15.75" customHeight="1">
      <c r="A45" s="147" t="s">
        <v>159</v>
      </c>
      <c r="B45" s="148"/>
      <c r="C45" s="148"/>
      <c r="D45" s="148"/>
      <c r="E45" s="148"/>
      <c r="F45" s="148"/>
      <c r="G45" s="148"/>
      <c r="H45" s="148"/>
      <c r="I45" s="149"/>
    </row>
    <row r="46" spans="1:9" ht="15.75" hidden="1" customHeight="1">
      <c r="A46" s="34"/>
      <c r="B46" s="120" t="s">
        <v>119</v>
      </c>
      <c r="C46" s="121" t="s">
        <v>99</v>
      </c>
      <c r="D46" s="120" t="s">
        <v>41</v>
      </c>
      <c r="E46" s="122">
        <v>917.75</v>
      </c>
      <c r="F46" s="123">
        <f>SUM(E46*2/1000)</f>
        <v>1.8354999999999999</v>
      </c>
      <c r="G46" s="14">
        <v>865.61</v>
      </c>
      <c r="H46" s="124">
        <f t="shared" ref="H46:H55" si="4">SUM(F46*G46/1000)</f>
        <v>1.5888271549999999</v>
      </c>
      <c r="I46" s="14">
        <v>0</v>
      </c>
    </row>
    <row r="47" spans="1:9" ht="15.75" hidden="1" customHeight="1">
      <c r="A47" s="34"/>
      <c r="B47" s="120" t="s">
        <v>34</v>
      </c>
      <c r="C47" s="121" t="s">
        <v>99</v>
      </c>
      <c r="D47" s="120" t="s">
        <v>41</v>
      </c>
      <c r="E47" s="122">
        <v>48</v>
      </c>
      <c r="F47" s="123">
        <f>E47*2/1000</f>
        <v>9.6000000000000002E-2</v>
      </c>
      <c r="G47" s="14">
        <v>619.46</v>
      </c>
      <c r="H47" s="124">
        <f t="shared" si="4"/>
        <v>5.9468160000000006E-2</v>
      </c>
      <c r="I47" s="14">
        <v>0</v>
      </c>
    </row>
    <row r="48" spans="1:9" ht="15.75" hidden="1" customHeight="1">
      <c r="A48" s="34"/>
      <c r="B48" s="120" t="s">
        <v>35</v>
      </c>
      <c r="C48" s="121" t="s">
        <v>99</v>
      </c>
      <c r="D48" s="120" t="s">
        <v>41</v>
      </c>
      <c r="E48" s="122">
        <v>937.4</v>
      </c>
      <c r="F48" s="123">
        <f>SUM(E48*2/1000)</f>
        <v>1.8748</v>
      </c>
      <c r="G48" s="14">
        <v>619.46</v>
      </c>
      <c r="H48" s="124">
        <f t="shared" si="4"/>
        <v>1.161363608</v>
      </c>
      <c r="I48" s="14">
        <v>0</v>
      </c>
    </row>
    <row r="49" spans="1:9" ht="15.75" hidden="1" customHeight="1">
      <c r="A49" s="34"/>
      <c r="B49" s="120" t="s">
        <v>36</v>
      </c>
      <c r="C49" s="121" t="s">
        <v>99</v>
      </c>
      <c r="D49" s="120" t="s">
        <v>41</v>
      </c>
      <c r="E49" s="122">
        <v>1243.28</v>
      </c>
      <c r="F49" s="123">
        <f>SUM(E49*2/1000)</f>
        <v>2.4865599999999999</v>
      </c>
      <c r="G49" s="14">
        <v>648.64</v>
      </c>
      <c r="H49" s="124">
        <f t="shared" si="4"/>
        <v>1.6128822783999999</v>
      </c>
      <c r="I49" s="14">
        <v>0</v>
      </c>
    </row>
    <row r="50" spans="1:9" ht="15.75" hidden="1" customHeight="1">
      <c r="A50" s="34"/>
      <c r="B50" s="120" t="s">
        <v>32</v>
      </c>
      <c r="C50" s="121" t="s">
        <v>33</v>
      </c>
      <c r="D50" s="120" t="s">
        <v>41</v>
      </c>
      <c r="E50" s="122">
        <v>64.5</v>
      </c>
      <c r="F50" s="123">
        <f>SUM(E50*2/100)</f>
        <v>1.29</v>
      </c>
      <c r="G50" s="14">
        <v>77.84</v>
      </c>
      <c r="H50" s="124">
        <f t="shared" si="4"/>
        <v>0.10041360000000001</v>
      </c>
      <c r="I50" s="14">
        <v>0</v>
      </c>
    </row>
    <row r="51" spans="1:9" ht="15.75" customHeight="1">
      <c r="A51" s="34">
        <v>14</v>
      </c>
      <c r="B51" s="120" t="s">
        <v>54</v>
      </c>
      <c r="C51" s="121" t="s">
        <v>99</v>
      </c>
      <c r="D51" s="120" t="s">
        <v>186</v>
      </c>
      <c r="E51" s="122">
        <v>678.4</v>
      </c>
      <c r="F51" s="123">
        <f>SUM(E51*5/1000)</f>
        <v>3.3919999999999999</v>
      </c>
      <c r="G51" s="14">
        <v>1297.28</v>
      </c>
      <c r="H51" s="124">
        <f t="shared" si="4"/>
        <v>4.4003737599999999</v>
      </c>
      <c r="I51" s="14">
        <f>F51/5*G51</f>
        <v>880.07475199999999</v>
      </c>
    </row>
    <row r="52" spans="1:9" ht="31.5" hidden="1" customHeight="1">
      <c r="A52" s="34"/>
      <c r="B52" s="120" t="s">
        <v>100</v>
      </c>
      <c r="C52" s="121" t="s">
        <v>99</v>
      </c>
      <c r="D52" s="120" t="s">
        <v>41</v>
      </c>
      <c r="E52" s="122">
        <v>678.4</v>
      </c>
      <c r="F52" s="123">
        <f>SUM(E52*2/1000)</f>
        <v>1.3568</v>
      </c>
      <c r="G52" s="14">
        <v>1297.28</v>
      </c>
      <c r="H52" s="124">
        <f t="shared" si="4"/>
        <v>1.7601495039999999</v>
      </c>
      <c r="I52" s="14">
        <v>0</v>
      </c>
    </row>
    <row r="53" spans="1:9" ht="31.5" hidden="1" customHeight="1">
      <c r="A53" s="34"/>
      <c r="B53" s="120" t="s">
        <v>101</v>
      </c>
      <c r="C53" s="121" t="s">
        <v>37</v>
      </c>
      <c r="D53" s="120" t="s">
        <v>41</v>
      </c>
      <c r="E53" s="122">
        <v>12</v>
      </c>
      <c r="F53" s="123">
        <f>SUM(E53*2/100)</f>
        <v>0.24</v>
      </c>
      <c r="G53" s="14">
        <v>2918.89</v>
      </c>
      <c r="H53" s="124">
        <f t="shared" si="4"/>
        <v>0.70053359999999998</v>
      </c>
      <c r="I53" s="14">
        <v>0</v>
      </c>
    </row>
    <row r="54" spans="1:9" ht="15.75" hidden="1" customHeight="1">
      <c r="A54" s="34"/>
      <c r="B54" s="120" t="s">
        <v>38</v>
      </c>
      <c r="C54" s="121" t="s">
        <v>39</v>
      </c>
      <c r="D54" s="120" t="s">
        <v>41</v>
      </c>
      <c r="E54" s="122">
        <v>1</v>
      </c>
      <c r="F54" s="123">
        <v>0.02</v>
      </c>
      <c r="G54" s="14">
        <v>6042.12</v>
      </c>
      <c r="H54" s="124">
        <f t="shared" si="4"/>
        <v>0.1208424</v>
      </c>
      <c r="I54" s="14">
        <v>0</v>
      </c>
    </row>
    <row r="55" spans="1:9" ht="15.75" customHeight="1">
      <c r="A55" s="34">
        <v>15</v>
      </c>
      <c r="B55" s="120" t="s">
        <v>40</v>
      </c>
      <c r="C55" s="121" t="s">
        <v>120</v>
      </c>
      <c r="D55" s="120" t="s">
        <v>69</v>
      </c>
      <c r="E55" s="122">
        <v>72</v>
      </c>
      <c r="F55" s="123">
        <f>SUM(E55)*3</f>
        <v>216</v>
      </c>
      <c r="G55" s="14">
        <v>70.209999999999994</v>
      </c>
      <c r="H55" s="124">
        <f t="shared" si="4"/>
        <v>15.165359999999998</v>
      </c>
      <c r="I55" s="14">
        <f>E55*G55</f>
        <v>5055.12</v>
      </c>
    </row>
    <row r="56" spans="1:9" ht="15.75" customHeight="1">
      <c r="A56" s="147" t="s">
        <v>160</v>
      </c>
      <c r="B56" s="148"/>
      <c r="C56" s="148"/>
      <c r="D56" s="148"/>
      <c r="E56" s="148"/>
      <c r="F56" s="148"/>
      <c r="G56" s="148"/>
      <c r="H56" s="148"/>
      <c r="I56" s="149"/>
    </row>
    <row r="57" spans="1:9" ht="15.75" customHeight="1">
      <c r="A57" s="34"/>
      <c r="B57" s="144" t="s">
        <v>42</v>
      </c>
      <c r="C57" s="121"/>
      <c r="D57" s="120"/>
      <c r="E57" s="122"/>
      <c r="F57" s="123"/>
      <c r="G57" s="123"/>
      <c r="H57" s="124"/>
      <c r="I57" s="14"/>
    </row>
    <row r="58" spans="1:9" ht="31.5" customHeight="1">
      <c r="A58" s="34">
        <v>16</v>
      </c>
      <c r="B58" s="120" t="s">
        <v>121</v>
      </c>
      <c r="C58" s="121" t="s">
        <v>94</v>
      </c>
      <c r="D58" s="120" t="s">
        <v>122</v>
      </c>
      <c r="E58" s="122">
        <v>110.66</v>
      </c>
      <c r="F58" s="123">
        <f>SUM(E58*6/100)</f>
        <v>6.6396000000000006</v>
      </c>
      <c r="G58" s="14">
        <v>1654.04</v>
      </c>
      <c r="H58" s="124">
        <f>SUM(F58*G58/1000)</f>
        <v>10.982163984000001</v>
      </c>
      <c r="I58" s="14">
        <f>F58/6*G58</f>
        <v>1830.360664</v>
      </c>
    </row>
    <row r="59" spans="1:9" ht="15.75" customHeight="1">
      <c r="A59" s="34"/>
      <c r="B59" s="145" t="s">
        <v>43</v>
      </c>
      <c r="C59" s="129"/>
      <c r="D59" s="130"/>
      <c r="E59" s="131"/>
      <c r="F59" s="132"/>
      <c r="G59" s="132"/>
      <c r="H59" s="133" t="s">
        <v>131</v>
      </c>
      <c r="I59" s="14"/>
    </row>
    <row r="60" spans="1:9" ht="15.75" customHeight="1">
      <c r="A60" s="34">
        <v>17</v>
      </c>
      <c r="B60" s="16" t="s">
        <v>44</v>
      </c>
      <c r="C60" s="18" t="s">
        <v>120</v>
      </c>
      <c r="D60" s="16" t="s">
        <v>65</v>
      </c>
      <c r="E60" s="21">
        <v>8</v>
      </c>
      <c r="F60" s="123">
        <v>8</v>
      </c>
      <c r="G60" s="14">
        <v>237.74</v>
      </c>
      <c r="H60" s="134">
        <f t="shared" ref="H60:H73" si="5">SUM(F60*G60/1000)</f>
        <v>1.9019200000000001</v>
      </c>
      <c r="I60" s="14">
        <f>G60</f>
        <v>237.74</v>
      </c>
    </row>
    <row r="61" spans="1:9" ht="15.75" hidden="1" customHeight="1">
      <c r="A61" s="34"/>
      <c r="B61" s="16" t="s">
        <v>45</v>
      </c>
      <c r="C61" s="18" t="s">
        <v>120</v>
      </c>
      <c r="D61" s="16" t="s">
        <v>65</v>
      </c>
      <c r="E61" s="21">
        <v>3</v>
      </c>
      <c r="F61" s="123">
        <v>3</v>
      </c>
      <c r="G61" s="14">
        <v>81.510000000000005</v>
      </c>
      <c r="H61" s="134">
        <f t="shared" si="5"/>
        <v>0.24453000000000003</v>
      </c>
      <c r="I61" s="14">
        <v>0</v>
      </c>
    </row>
    <row r="62" spans="1:9" ht="15.75" hidden="1" customHeight="1">
      <c r="A62" s="34"/>
      <c r="B62" s="16" t="s">
        <v>46</v>
      </c>
      <c r="C62" s="18" t="s">
        <v>123</v>
      </c>
      <c r="D62" s="16" t="s">
        <v>52</v>
      </c>
      <c r="E62" s="122">
        <v>8539</v>
      </c>
      <c r="F62" s="14">
        <f>SUM(E62/100)</f>
        <v>85.39</v>
      </c>
      <c r="G62" s="14">
        <v>226.79</v>
      </c>
      <c r="H62" s="134">
        <f t="shared" si="5"/>
        <v>19.3655981</v>
      </c>
      <c r="I62" s="14">
        <v>0</v>
      </c>
    </row>
    <row r="63" spans="1:9" ht="15.75" hidden="1" customHeight="1">
      <c r="A63" s="34"/>
      <c r="B63" s="16" t="s">
        <v>47</v>
      </c>
      <c r="C63" s="18" t="s">
        <v>124</v>
      </c>
      <c r="D63" s="16"/>
      <c r="E63" s="122">
        <v>8539</v>
      </c>
      <c r="F63" s="14">
        <f>SUM(E63/1000)</f>
        <v>8.5389999999999997</v>
      </c>
      <c r="G63" s="14">
        <v>176.61</v>
      </c>
      <c r="H63" s="134">
        <f t="shared" si="5"/>
        <v>1.5080727900000002</v>
      </c>
      <c r="I63" s="14">
        <v>0</v>
      </c>
    </row>
    <row r="64" spans="1:9" ht="15.75" hidden="1" customHeight="1">
      <c r="A64" s="34"/>
      <c r="B64" s="16" t="s">
        <v>48</v>
      </c>
      <c r="C64" s="18" t="s">
        <v>75</v>
      </c>
      <c r="D64" s="16" t="s">
        <v>52</v>
      </c>
      <c r="E64" s="122">
        <v>1370</v>
      </c>
      <c r="F64" s="14">
        <f>SUM(E64/100)</f>
        <v>13.7</v>
      </c>
      <c r="G64" s="14">
        <v>2217.7800000000002</v>
      </c>
      <c r="H64" s="134">
        <f t="shared" si="5"/>
        <v>30.383586000000005</v>
      </c>
      <c r="I64" s="14">
        <v>0</v>
      </c>
    </row>
    <row r="65" spans="1:9" ht="15.75" hidden="1" customHeight="1">
      <c r="A65" s="34"/>
      <c r="B65" s="135" t="s">
        <v>125</v>
      </c>
      <c r="C65" s="18" t="s">
        <v>31</v>
      </c>
      <c r="D65" s="16"/>
      <c r="E65" s="122">
        <v>9</v>
      </c>
      <c r="F65" s="14">
        <f>SUM(E65)</f>
        <v>9</v>
      </c>
      <c r="G65" s="14">
        <v>42.67</v>
      </c>
      <c r="H65" s="134">
        <f t="shared" si="5"/>
        <v>0.38403000000000004</v>
      </c>
      <c r="I65" s="14">
        <v>0</v>
      </c>
    </row>
    <row r="66" spans="1:9" ht="15.75" hidden="1" customHeight="1">
      <c r="A66" s="34"/>
      <c r="B66" s="135" t="s">
        <v>126</v>
      </c>
      <c r="C66" s="18" t="s">
        <v>31</v>
      </c>
      <c r="D66" s="16"/>
      <c r="E66" s="122">
        <v>9</v>
      </c>
      <c r="F66" s="14">
        <f>SUM(E66)</f>
        <v>9</v>
      </c>
      <c r="G66" s="14">
        <v>39.81</v>
      </c>
      <c r="H66" s="134">
        <f t="shared" si="5"/>
        <v>0.35829</v>
      </c>
      <c r="I66" s="14">
        <v>0</v>
      </c>
    </row>
    <row r="67" spans="1:9" ht="15.75" hidden="1" customHeight="1">
      <c r="A67" s="34"/>
      <c r="B67" s="16" t="s">
        <v>55</v>
      </c>
      <c r="C67" s="18" t="s">
        <v>56</v>
      </c>
      <c r="D67" s="16" t="s">
        <v>52</v>
      </c>
      <c r="E67" s="21">
        <v>3</v>
      </c>
      <c r="F67" s="123">
        <v>3</v>
      </c>
      <c r="G67" s="14">
        <v>53.62</v>
      </c>
      <c r="H67" s="134">
        <f t="shared" si="5"/>
        <v>0.16085999999999998</v>
      </c>
      <c r="I67" s="14">
        <v>0</v>
      </c>
    </row>
    <row r="68" spans="1:9" ht="15.75" hidden="1" customHeight="1">
      <c r="A68" s="34"/>
      <c r="B68" s="36" t="s">
        <v>70</v>
      </c>
      <c r="C68" s="18"/>
      <c r="D68" s="16"/>
      <c r="E68" s="21"/>
      <c r="F68" s="14"/>
      <c r="G68" s="14"/>
      <c r="H68" s="134" t="s">
        <v>131</v>
      </c>
      <c r="I68" s="14"/>
    </row>
    <row r="69" spans="1:9" ht="15.75" hidden="1" customHeight="1">
      <c r="A69" s="34"/>
      <c r="B69" s="16" t="s">
        <v>71</v>
      </c>
      <c r="C69" s="18" t="s">
        <v>73</v>
      </c>
      <c r="D69" s="16"/>
      <c r="E69" s="21">
        <v>2</v>
      </c>
      <c r="F69" s="14">
        <v>0.2</v>
      </c>
      <c r="G69" s="14">
        <v>536.23</v>
      </c>
      <c r="H69" s="134">
        <f t="shared" si="5"/>
        <v>0.10724600000000001</v>
      </c>
      <c r="I69" s="14">
        <v>0</v>
      </c>
    </row>
    <row r="70" spans="1:9" ht="15.75" hidden="1" customHeight="1">
      <c r="A70" s="34"/>
      <c r="B70" s="16" t="s">
        <v>72</v>
      </c>
      <c r="C70" s="18" t="s">
        <v>29</v>
      </c>
      <c r="D70" s="16"/>
      <c r="E70" s="21">
        <v>1</v>
      </c>
      <c r="F70" s="116">
        <v>1</v>
      </c>
      <c r="G70" s="14">
        <v>911.85</v>
      </c>
      <c r="H70" s="134">
        <f>F70*G70/1000</f>
        <v>0.91185000000000005</v>
      </c>
      <c r="I70" s="14">
        <v>0</v>
      </c>
    </row>
    <row r="71" spans="1:9" ht="15.75" hidden="1" customHeight="1">
      <c r="A71" s="34"/>
      <c r="B71" s="16" t="s">
        <v>143</v>
      </c>
      <c r="C71" s="18" t="s">
        <v>29</v>
      </c>
      <c r="D71" s="16"/>
      <c r="E71" s="21">
        <v>1</v>
      </c>
      <c r="F71" s="14">
        <v>1</v>
      </c>
      <c r="G71" s="14">
        <v>383.25</v>
      </c>
      <c r="H71" s="134">
        <f>G71*F71/1000</f>
        <v>0.38324999999999998</v>
      </c>
      <c r="I71" s="14">
        <v>0</v>
      </c>
    </row>
    <row r="72" spans="1:9" ht="15.75" hidden="1" customHeight="1">
      <c r="A72" s="34"/>
      <c r="B72" s="136" t="s">
        <v>74</v>
      </c>
      <c r="C72" s="18"/>
      <c r="D72" s="16"/>
      <c r="E72" s="21"/>
      <c r="F72" s="14"/>
      <c r="G72" s="14" t="s">
        <v>131</v>
      </c>
      <c r="H72" s="134" t="s">
        <v>131</v>
      </c>
      <c r="I72" s="14"/>
    </row>
    <row r="73" spans="1:9" ht="15.75" hidden="1" customHeight="1">
      <c r="A73" s="34"/>
      <c r="B73" s="63" t="s">
        <v>132</v>
      </c>
      <c r="C73" s="18" t="s">
        <v>75</v>
      </c>
      <c r="D73" s="16"/>
      <c r="E73" s="21"/>
      <c r="F73" s="14">
        <v>1.35</v>
      </c>
      <c r="G73" s="14">
        <v>2949.85</v>
      </c>
      <c r="H73" s="134">
        <f t="shared" si="5"/>
        <v>3.9822975</v>
      </c>
      <c r="I73" s="14">
        <v>0</v>
      </c>
    </row>
    <row r="74" spans="1:9" ht="15.75" hidden="1" customHeight="1">
      <c r="A74" s="34"/>
      <c r="B74" s="115" t="s">
        <v>102</v>
      </c>
      <c r="C74" s="137"/>
      <c r="D74" s="36"/>
      <c r="E74" s="37"/>
      <c r="F74" s="126"/>
      <c r="G74" s="126"/>
      <c r="H74" s="138">
        <f>SUM(H58:H73)</f>
        <v>70.673694374000007</v>
      </c>
      <c r="I74" s="126"/>
    </row>
    <row r="75" spans="1:9" ht="15.75" hidden="1" customHeight="1">
      <c r="A75" s="34"/>
      <c r="B75" s="120" t="s">
        <v>127</v>
      </c>
      <c r="C75" s="18"/>
      <c r="D75" s="16"/>
      <c r="E75" s="139"/>
      <c r="F75" s="14">
        <v>1</v>
      </c>
      <c r="G75" s="14">
        <v>7101.4</v>
      </c>
      <c r="H75" s="134">
        <f>G75*F75/1000</f>
        <v>7.1013999999999999</v>
      </c>
      <c r="I75" s="14">
        <v>0</v>
      </c>
    </row>
    <row r="76" spans="1:9" ht="15.75" customHeight="1">
      <c r="A76" s="147" t="s">
        <v>161</v>
      </c>
      <c r="B76" s="148"/>
      <c r="C76" s="148"/>
      <c r="D76" s="148"/>
      <c r="E76" s="148"/>
      <c r="F76" s="148"/>
      <c r="G76" s="148"/>
      <c r="H76" s="148"/>
      <c r="I76" s="149"/>
    </row>
    <row r="77" spans="1:9" ht="15.75" customHeight="1">
      <c r="A77" s="34">
        <v>18</v>
      </c>
      <c r="B77" s="120" t="s">
        <v>128</v>
      </c>
      <c r="C77" s="18" t="s">
        <v>53</v>
      </c>
      <c r="D77" s="140" t="s">
        <v>188</v>
      </c>
      <c r="E77" s="14">
        <v>2054.6</v>
      </c>
      <c r="F77" s="14">
        <f>SUM(E77*12)</f>
        <v>24655.199999999997</v>
      </c>
      <c r="G77" s="14">
        <v>2.2400000000000002</v>
      </c>
      <c r="H77" s="134">
        <f>SUM(F77*G77/1000)</f>
        <v>55.227648000000002</v>
      </c>
      <c r="I77" s="14">
        <f>F77/12*G77</f>
        <v>4602.3040000000001</v>
      </c>
    </row>
    <row r="78" spans="1:9" ht="31.5" customHeight="1">
      <c r="A78" s="34">
        <v>19</v>
      </c>
      <c r="B78" s="16" t="s">
        <v>76</v>
      </c>
      <c r="C78" s="18"/>
      <c r="D78" s="140" t="s">
        <v>188</v>
      </c>
      <c r="E78" s="122">
        <f>E77</f>
        <v>2054.6</v>
      </c>
      <c r="F78" s="14">
        <f>E78*12</f>
        <v>24655.199999999997</v>
      </c>
      <c r="G78" s="14">
        <v>1.74</v>
      </c>
      <c r="H78" s="134">
        <f>F78*G78/1000</f>
        <v>42.900047999999998</v>
      </c>
      <c r="I78" s="14">
        <f>F78/12*G78</f>
        <v>3575.0039999999999</v>
      </c>
    </row>
    <row r="79" spans="1:9" ht="15.75" customHeight="1">
      <c r="A79" s="34"/>
      <c r="B79" s="50" t="s">
        <v>80</v>
      </c>
      <c r="C79" s="137"/>
      <c r="D79" s="136"/>
      <c r="E79" s="126"/>
      <c r="F79" s="126"/>
      <c r="G79" s="126"/>
      <c r="H79" s="138">
        <f>H78</f>
        <v>42.900047999999998</v>
      </c>
      <c r="I79" s="126">
        <f>I16+I17+I18+I20+I21+I27+I28+I38+I39+I41+I42+I43+I44+I51+I55+I58+I60+I77+I78</f>
        <v>43140.970999249999</v>
      </c>
    </row>
    <row r="80" spans="1:9" ht="15.75" customHeight="1">
      <c r="A80" s="34"/>
      <c r="B80" s="75" t="s">
        <v>58</v>
      </c>
      <c r="C80" s="18"/>
      <c r="D80" s="63"/>
      <c r="E80" s="14"/>
      <c r="F80" s="14"/>
      <c r="G80" s="14"/>
      <c r="H80" s="14"/>
      <c r="I80" s="14"/>
    </row>
    <row r="81" spans="1:9" ht="31.5" customHeight="1">
      <c r="A81" s="34">
        <v>20</v>
      </c>
      <c r="B81" s="141" t="s">
        <v>166</v>
      </c>
      <c r="C81" s="34" t="s">
        <v>167</v>
      </c>
      <c r="D81" s="63"/>
      <c r="E81" s="14"/>
      <c r="F81" s="14">
        <v>1</v>
      </c>
      <c r="G81" s="14">
        <v>1835.8</v>
      </c>
      <c r="H81" s="134">
        <f>G81*F81/1000</f>
        <v>1.8357999999999999</v>
      </c>
      <c r="I81" s="14">
        <f>G81</f>
        <v>1835.8</v>
      </c>
    </row>
    <row r="82" spans="1:9" ht="15.75" customHeight="1">
      <c r="A82" s="34">
        <v>21</v>
      </c>
      <c r="B82" s="76" t="s">
        <v>133</v>
      </c>
      <c r="C82" s="77" t="s">
        <v>120</v>
      </c>
      <c r="D82" s="63"/>
      <c r="E82" s="14"/>
      <c r="F82" s="14">
        <v>432</v>
      </c>
      <c r="G82" s="14">
        <v>50.68</v>
      </c>
      <c r="H82" s="14">
        <f>G82*F82/1000</f>
        <v>21.893759999999997</v>
      </c>
      <c r="I82" s="14">
        <f>G82*36</f>
        <v>1824.48</v>
      </c>
    </row>
    <row r="83" spans="1:9" ht="31.5" customHeight="1">
      <c r="A83" s="34">
        <v>22</v>
      </c>
      <c r="B83" s="76" t="s">
        <v>79</v>
      </c>
      <c r="C83" s="18" t="s">
        <v>29</v>
      </c>
      <c r="D83" s="63"/>
      <c r="E83" s="14"/>
      <c r="F83" s="14">
        <v>4</v>
      </c>
      <c r="G83" s="14">
        <v>79.09</v>
      </c>
      <c r="H83" s="14">
        <f t="shared" ref="H83:H99" si="6">G83*F83/1000</f>
        <v>0.31636000000000003</v>
      </c>
      <c r="I83" s="14">
        <f>G83</f>
        <v>79.09</v>
      </c>
    </row>
    <row r="84" spans="1:9" ht="31.5" hidden="1" customHeight="1">
      <c r="A84" s="34"/>
      <c r="B84" s="76" t="s">
        <v>168</v>
      </c>
      <c r="C84" s="18" t="s">
        <v>29</v>
      </c>
      <c r="D84" s="63"/>
      <c r="E84" s="14"/>
      <c r="F84" s="14">
        <v>3</v>
      </c>
      <c r="G84" s="14">
        <v>559.62</v>
      </c>
      <c r="H84" s="134">
        <f t="shared" si="6"/>
        <v>1.67886</v>
      </c>
      <c r="I84" s="14">
        <v>0</v>
      </c>
    </row>
    <row r="85" spans="1:9" ht="15.75" hidden="1" customHeight="1">
      <c r="A85" s="34"/>
      <c r="B85" s="76" t="s">
        <v>169</v>
      </c>
      <c r="C85" s="18" t="s">
        <v>29</v>
      </c>
      <c r="D85" s="63"/>
      <c r="E85" s="14"/>
      <c r="F85" s="14">
        <v>2</v>
      </c>
      <c r="G85" s="14">
        <v>195.95</v>
      </c>
      <c r="H85" s="134">
        <f t="shared" si="6"/>
        <v>0.39189999999999997</v>
      </c>
      <c r="I85" s="14">
        <v>0</v>
      </c>
    </row>
    <row r="86" spans="1:9" ht="15.75" hidden="1" customHeight="1">
      <c r="A86" s="34"/>
      <c r="B86" s="76" t="s">
        <v>170</v>
      </c>
      <c r="C86" s="77" t="s">
        <v>171</v>
      </c>
      <c r="D86" s="63"/>
      <c r="E86" s="14"/>
      <c r="F86" s="14">
        <v>1</v>
      </c>
      <c r="G86" s="14">
        <v>195.95</v>
      </c>
      <c r="H86" s="134">
        <f t="shared" si="6"/>
        <v>0.19594999999999999</v>
      </c>
      <c r="I86" s="14">
        <v>0</v>
      </c>
    </row>
    <row r="87" spans="1:9" ht="15.75" hidden="1" customHeight="1">
      <c r="A87" s="34"/>
      <c r="B87" s="76" t="s">
        <v>172</v>
      </c>
      <c r="C87" s="18" t="s">
        <v>29</v>
      </c>
      <c r="D87" s="63"/>
      <c r="E87" s="14"/>
      <c r="F87" s="14">
        <v>1</v>
      </c>
      <c r="G87" s="14">
        <v>476.76</v>
      </c>
      <c r="H87" s="134">
        <f t="shared" si="6"/>
        <v>0.47676000000000002</v>
      </c>
      <c r="I87" s="14">
        <v>0</v>
      </c>
    </row>
    <row r="88" spans="1:9" ht="31.5" hidden="1" customHeight="1">
      <c r="A88" s="34"/>
      <c r="B88" s="76" t="s">
        <v>146</v>
      </c>
      <c r="C88" s="77" t="s">
        <v>147</v>
      </c>
      <c r="D88" s="63"/>
      <c r="E88" s="14"/>
      <c r="F88" s="14">
        <v>1</v>
      </c>
      <c r="G88" s="14">
        <v>51.39</v>
      </c>
      <c r="H88" s="134">
        <f t="shared" si="6"/>
        <v>5.1389999999999998E-2</v>
      </c>
      <c r="I88" s="14">
        <v>0</v>
      </c>
    </row>
    <row r="89" spans="1:9" ht="15.75" hidden="1" customHeight="1">
      <c r="A89" s="34"/>
      <c r="B89" s="76" t="s">
        <v>173</v>
      </c>
      <c r="C89" s="77" t="s">
        <v>120</v>
      </c>
      <c r="D89" s="63"/>
      <c r="E89" s="14"/>
      <c r="F89" s="14">
        <v>1</v>
      </c>
      <c r="G89" s="14">
        <v>484.76</v>
      </c>
      <c r="H89" s="134">
        <f t="shared" si="6"/>
        <v>0.48475999999999997</v>
      </c>
      <c r="I89" s="14">
        <v>0</v>
      </c>
    </row>
    <row r="90" spans="1:9" ht="15.75" hidden="1" customHeight="1">
      <c r="A90" s="34"/>
      <c r="B90" s="76" t="s">
        <v>174</v>
      </c>
      <c r="C90" s="77" t="s">
        <v>175</v>
      </c>
      <c r="D90" s="63"/>
      <c r="E90" s="14"/>
      <c r="F90" s="14">
        <v>4</v>
      </c>
      <c r="G90" s="14">
        <v>1501</v>
      </c>
      <c r="H90" s="134">
        <f t="shared" si="6"/>
        <v>6.0039999999999996</v>
      </c>
      <c r="I90" s="14">
        <v>0</v>
      </c>
    </row>
    <row r="91" spans="1:9" ht="15.75" hidden="1" customHeight="1">
      <c r="A91" s="34"/>
      <c r="B91" s="76" t="s">
        <v>82</v>
      </c>
      <c r="C91" s="77" t="s">
        <v>120</v>
      </c>
      <c r="D91" s="63"/>
      <c r="E91" s="14"/>
      <c r="F91" s="14">
        <v>2</v>
      </c>
      <c r="G91" s="14">
        <v>180.15</v>
      </c>
      <c r="H91" s="134">
        <f t="shared" si="6"/>
        <v>0.36030000000000001</v>
      </c>
      <c r="I91" s="14">
        <v>0</v>
      </c>
    </row>
    <row r="92" spans="1:9" ht="31.5" hidden="1" customHeight="1">
      <c r="A92" s="34"/>
      <c r="B92" s="76" t="s">
        <v>176</v>
      </c>
      <c r="C92" s="77" t="s">
        <v>177</v>
      </c>
      <c r="D92" s="63"/>
      <c r="E92" s="14"/>
      <c r="F92" s="14">
        <f>11.868/10</f>
        <v>1.1868000000000001</v>
      </c>
      <c r="G92" s="14">
        <v>5641.28</v>
      </c>
      <c r="H92" s="134">
        <f t="shared" si="6"/>
        <v>6.6950711040000002</v>
      </c>
      <c r="I92" s="14">
        <v>0</v>
      </c>
    </row>
    <row r="93" spans="1:9" ht="31.5" hidden="1" customHeight="1">
      <c r="A93" s="34"/>
      <c r="B93" s="76" t="s">
        <v>178</v>
      </c>
      <c r="C93" s="77" t="s">
        <v>81</v>
      </c>
      <c r="D93" s="63"/>
      <c r="E93" s="14"/>
      <c r="F93" s="14">
        <v>4</v>
      </c>
      <c r="G93" s="14">
        <v>2057</v>
      </c>
      <c r="H93" s="134">
        <f t="shared" si="6"/>
        <v>8.2279999999999998</v>
      </c>
      <c r="I93" s="14">
        <v>0</v>
      </c>
    </row>
    <row r="94" spans="1:9" ht="15.75" hidden="1" customHeight="1">
      <c r="A94" s="34"/>
      <c r="B94" s="76" t="s">
        <v>179</v>
      </c>
      <c r="C94" s="77" t="s">
        <v>180</v>
      </c>
      <c r="D94" s="63"/>
      <c r="E94" s="14"/>
      <c r="F94" s="14">
        <v>1</v>
      </c>
      <c r="G94" s="14">
        <v>3244</v>
      </c>
      <c r="H94" s="134">
        <f t="shared" si="6"/>
        <v>3.2440000000000002</v>
      </c>
      <c r="I94" s="14">
        <v>0</v>
      </c>
    </row>
    <row r="95" spans="1:9" ht="15.75" hidden="1" customHeight="1">
      <c r="A95" s="34"/>
      <c r="B95" s="76" t="s">
        <v>181</v>
      </c>
      <c r="C95" s="77" t="s">
        <v>85</v>
      </c>
      <c r="D95" s="63"/>
      <c r="E95" s="14"/>
      <c r="F95" s="14">
        <v>2</v>
      </c>
      <c r="G95" s="14">
        <v>185.81</v>
      </c>
      <c r="H95" s="134">
        <f t="shared" si="6"/>
        <v>0.37162000000000001</v>
      </c>
      <c r="I95" s="14">
        <v>0</v>
      </c>
    </row>
    <row r="96" spans="1:9" ht="31.5" hidden="1" customHeight="1">
      <c r="A96" s="34"/>
      <c r="B96" s="76" t="s">
        <v>83</v>
      </c>
      <c r="C96" s="77" t="s">
        <v>37</v>
      </c>
      <c r="D96" s="63"/>
      <c r="E96" s="14"/>
      <c r="F96" s="14">
        <v>0.02</v>
      </c>
      <c r="G96" s="14">
        <v>3397.65</v>
      </c>
      <c r="H96" s="134">
        <f t="shared" si="6"/>
        <v>6.7953E-2</v>
      </c>
      <c r="I96" s="14">
        <v>0</v>
      </c>
    </row>
    <row r="97" spans="1:9" ht="15.75" hidden="1" customHeight="1">
      <c r="A97" s="34"/>
      <c r="B97" s="94" t="s">
        <v>87</v>
      </c>
      <c r="C97" s="77" t="s">
        <v>120</v>
      </c>
      <c r="D97" s="63"/>
      <c r="E97" s="14"/>
      <c r="F97" s="14">
        <v>1</v>
      </c>
      <c r="G97" s="14">
        <v>179.96</v>
      </c>
      <c r="H97" s="134">
        <f t="shared" si="6"/>
        <v>0.17996000000000001</v>
      </c>
      <c r="I97" s="14">
        <v>0</v>
      </c>
    </row>
    <row r="98" spans="1:9" ht="15.75" hidden="1" customHeight="1">
      <c r="A98" s="34"/>
      <c r="B98" s="142" t="s">
        <v>144</v>
      </c>
      <c r="C98" s="143" t="s">
        <v>145</v>
      </c>
      <c r="D98" s="63"/>
      <c r="E98" s="14"/>
      <c r="F98" s="14">
        <f>12/3</f>
        <v>4</v>
      </c>
      <c r="G98" s="14">
        <v>1063.47</v>
      </c>
      <c r="H98" s="134">
        <f t="shared" si="6"/>
        <v>4.2538800000000005</v>
      </c>
      <c r="I98" s="14">
        <v>0</v>
      </c>
    </row>
    <row r="99" spans="1:9" ht="15.75" hidden="1" customHeight="1">
      <c r="A99" s="34"/>
      <c r="B99" s="94" t="s">
        <v>182</v>
      </c>
      <c r="C99" s="77" t="s">
        <v>180</v>
      </c>
      <c r="D99" s="63"/>
      <c r="E99" s="14"/>
      <c r="F99" s="14">
        <v>1</v>
      </c>
      <c r="G99" s="14">
        <v>13776</v>
      </c>
      <c r="H99" s="134">
        <f t="shared" si="6"/>
        <v>13.776</v>
      </c>
      <c r="I99" s="14">
        <v>0</v>
      </c>
    </row>
    <row r="100" spans="1:9" ht="31.5" hidden="1" customHeight="1">
      <c r="A100" s="34"/>
      <c r="B100" s="76" t="s">
        <v>183</v>
      </c>
      <c r="C100" s="77" t="s">
        <v>120</v>
      </c>
      <c r="D100" s="63"/>
      <c r="E100" s="14"/>
      <c r="F100" s="14">
        <v>1</v>
      </c>
      <c r="G100" s="14">
        <v>97.18</v>
      </c>
      <c r="H100" s="134">
        <f>G100*F100/1000</f>
        <v>9.7180000000000002E-2</v>
      </c>
      <c r="I100" s="14">
        <v>0</v>
      </c>
    </row>
    <row r="101" spans="1:9" ht="31.5" hidden="1" customHeight="1">
      <c r="A101" s="34"/>
      <c r="B101" s="76" t="s">
        <v>184</v>
      </c>
      <c r="C101" s="77" t="s">
        <v>81</v>
      </c>
      <c r="D101" s="63"/>
      <c r="E101" s="14"/>
      <c r="F101" s="14">
        <v>2</v>
      </c>
      <c r="G101" s="14">
        <v>1272</v>
      </c>
      <c r="H101" s="134">
        <f t="shared" ref="H101:H102" si="7">G101*F101/1000</f>
        <v>2.544</v>
      </c>
      <c r="I101" s="14">
        <v>0</v>
      </c>
    </row>
    <row r="102" spans="1:9" ht="15.75" hidden="1" customHeight="1">
      <c r="A102" s="34"/>
      <c r="B102" s="76" t="s">
        <v>185</v>
      </c>
      <c r="C102" s="95" t="s">
        <v>81</v>
      </c>
      <c r="D102" s="63"/>
      <c r="E102" s="14"/>
      <c r="F102" s="14">
        <v>1</v>
      </c>
      <c r="G102" s="14">
        <v>18</v>
      </c>
      <c r="H102" s="134">
        <f t="shared" si="7"/>
        <v>1.7999999999999999E-2</v>
      </c>
      <c r="I102" s="14">
        <v>0</v>
      </c>
    </row>
    <row r="103" spans="1:9" ht="15.75" customHeight="1">
      <c r="A103" s="34"/>
      <c r="B103" s="57" t="s">
        <v>49</v>
      </c>
      <c r="C103" s="53"/>
      <c r="D103" s="66"/>
      <c r="E103" s="53">
        <v>1</v>
      </c>
      <c r="F103" s="53"/>
      <c r="G103" s="53"/>
      <c r="H103" s="53"/>
      <c r="I103" s="37">
        <f>SUM(I81:I102)</f>
        <v>3739.37</v>
      </c>
    </row>
    <row r="104" spans="1:9" ht="15.75" customHeight="1">
      <c r="A104" s="34"/>
      <c r="B104" s="63" t="s">
        <v>77</v>
      </c>
      <c r="C104" s="17"/>
      <c r="D104" s="17"/>
      <c r="E104" s="54"/>
      <c r="F104" s="54"/>
      <c r="G104" s="55"/>
      <c r="H104" s="55"/>
      <c r="I104" s="20">
        <v>0</v>
      </c>
    </row>
    <row r="105" spans="1:9" ht="15.75" customHeight="1">
      <c r="A105" s="67"/>
      <c r="B105" s="58" t="s">
        <v>50</v>
      </c>
      <c r="C105" s="43"/>
      <c r="D105" s="43"/>
      <c r="E105" s="43"/>
      <c r="F105" s="43"/>
      <c r="G105" s="43"/>
      <c r="H105" s="43"/>
      <c r="I105" s="56">
        <f>I79+I103</f>
        <v>46880.340999250002</v>
      </c>
    </row>
    <row r="106" spans="1:9" ht="15.75">
      <c r="A106" s="160" t="s">
        <v>187</v>
      </c>
      <c r="B106" s="160"/>
      <c r="C106" s="160"/>
      <c r="D106" s="160"/>
      <c r="E106" s="160"/>
      <c r="F106" s="160"/>
      <c r="G106" s="160"/>
      <c r="H106" s="160"/>
      <c r="I106" s="160"/>
    </row>
    <row r="107" spans="1:9" ht="15.75">
      <c r="A107" s="102"/>
      <c r="B107" s="155" t="s">
        <v>189</v>
      </c>
      <c r="C107" s="155"/>
      <c r="D107" s="155"/>
      <c r="E107" s="155"/>
      <c r="F107" s="155"/>
      <c r="G107" s="155"/>
      <c r="H107" s="119"/>
      <c r="I107" s="3"/>
    </row>
    <row r="108" spans="1:9">
      <c r="A108" s="101"/>
      <c r="B108" s="151" t="s">
        <v>6</v>
      </c>
      <c r="C108" s="151"/>
      <c r="D108" s="151"/>
      <c r="E108" s="151"/>
      <c r="F108" s="151"/>
      <c r="G108" s="151"/>
      <c r="H108" s="29"/>
      <c r="I108" s="5"/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>
      <c r="A110" s="156" t="s">
        <v>7</v>
      </c>
      <c r="B110" s="156"/>
      <c r="C110" s="156"/>
      <c r="D110" s="156"/>
      <c r="E110" s="156"/>
      <c r="F110" s="156"/>
      <c r="G110" s="156"/>
      <c r="H110" s="156"/>
      <c r="I110" s="156"/>
    </row>
    <row r="111" spans="1:9" ht="15.75">
      <c r="A111" s="156" t="s">
        <v>8</v>
      </c>
      <c r="B111" s="156"/>
      <c r="C111" s="156"/>
      <c r="D111" s="156"/>
      <c r="E111" s="156"/>
      <c r="F111" s="156"/>
      <c r="G111" s="156"/>
      <c r="H111" s="156"/>
      <c r="I111" s="156"/>
    </row>
    <row r="112" spans="1:9" ht="15.75">
      <c r="A112" s="157" t="s">
        <v>59</v>
      </c>
      <c r="B112" s="157"/>
      <c r="C112" s="157"/>
      <c r="D112" s="157"/>
      <c r="E112" s="157"/>
      <c r="F112" s="157"/>
      <c r="G112" s="157"/>
      <c r="H112" s="157"/>
      <c r="I112" s="157"/>
    </row>
    <row r="113" spans="1:9" ht="15.75">
      <c r="A113" s="11"/>
    </row>
    <row r="114" spans="1:9" ht="15.75">
      <c r="A114" s="158" t="s">
        <v>9</v>
      </c>
      <c r="B114" s="158"/>
      <c r="C114" s="158"/>
      <c r="D114" s="158"/>
      <c r="E114" s="158"/>
      <c r="F114" s="158"/>
      <c r="G114" s="158"/>
      <c r="H114" s="158"/>
      <c r="I114" s="158"/>
    </row>
    <row r="115" spans="1:9" ht="15.75">
      <c r="A115" s="4"/>
    </row>
    <row r="116" spans="1:9" ht="15.75">
      <c r="B116" s="98" t="s">
        <v>10</v>
      </c>
      <c r="C116" s="150" t="s">
        <v>162</v>
      </c>
      <c r="D116" s="150"/>
      <c r="E116" s="150"/>
      <c r="F116" s="117"/>
      <c r="I116" s="100"/>
    </row>
    <row r="117" spans="1:9">
      <c r="A117" s="101"/>
      <c r="C117" s="151" t="s">
        <v>11</v>
      </c>
      <c r="D117" s="151"/>
      <c r="E117" s="151"/>
      <c r="F117" s="29"/>
      <c r="I117" s="99" t="s">
        <v>12</v>
      </c>
    </row>
    <row r="118" spans="1:9" ht="15.75">
      <c r="A118" s="30"/>
      <c r="C118" s="12"/>
      <c r="D118" s="12"/>
      <c r="G118" s="12"/>
      <c r="H118" s="12"/>
    </row>
    <row r="119" spans="1:9" ht="15.75">
      <c r="B119" s="98" t="s">
        <v>13</v>
      </c>
      <c r="C119" s="152"/>
      <c r="D119" s="152"/>
      <c r="E119" s="152"/>
      <c r="F119" s="118"/>
      <c r="I119" s="100"/>
    </row>
    <row r="120" spans="1:9">
      <c r="A120" s="101"/>
      <c r="C120" s="153" t="s">
        <v>11</v>
      </c>
      <c r="D120" s="153"/>
      <c r="E120" s="153"/>
      <c r="F120" s="101"/>
      <c r="I120" s="99" t="s">
        <v>12</v>
      </c>
    </row>
    <row r="121" spans="1:9" ht="15.75">
      <c r="A121" s="4" t="s">
        <v>14</v>
      </c>
    </row>
    <row r="122" spans="1:9">
      <c r="A122" s="154" t="s">
        <v>15</v>
      </c>
      <c r="B122" s="154"/>
      <c r="C122" s="154"/>
      <c r="D122" s="154"/>
      <c r="E122" s="154"/>
      <c r="F122" s="154"/>
      <c r="G122" s="154"/>
      <c r="H122" s="154"/>
      <c r="I122" s="154"/>
    </row>
    <row r="123" spans="1:9" ht="45" customHeight="1">
      <c r="A123" s="146" t="s">
        <v>16</v>
      </c>
      <c r="B123" s="146"/>
      <c r="C123" s="146"/>
      <c r="D123" s="146"/>
      <c r="E123" s="146"/>
      <c r="F123" s="146"/>
      <c r="G123" s="146"/>
      <c r="H123" s="146"/>
      <c r="I123" s="146"/>
    </row>
    <row r="124" spans="1:9" ht="30" customHeight="1">
      <c r="A124" s="146" t="s">
        <v>17</v>
      </c>
      <c r="B124" s="146"/>
      <c r="C124" s="146"/>
      <c r="D124" s="146"/>
      <c r="E124" s="146"/>
      <c r="F124" s="146"/>
      <c r="G124" s="146"/>
      <c r="H124" s="146"/>
      <c r="I124" s="146"/>
    </row>
    <row r="125" spans="1:9" ht="30" customHeight="1">
      <c r="A125" s="146" t="s">
        <v>21</v>
      </c>
      <c r="B125" s="146"/>
      <c r="C125" s="146"/>
      <c r="D125" s="146"/>
      <c r="E125" s="146"/>
      <c r="F125" s="146"/>
      <c r="G125" s="146"/>
      <c r="H125" s="146"/>
      <c r="I125" s="146"/>
    </row>
    <row r="126" spans="1:9" ht="15" customHeight="1">
      <c r="A126" s="146" t="s">
        <v>20</v>
      </c>
      <c r="B126" s="146"/>
      <c r="C126" s="146"/>
      <c r="D126" s="146"/>
      <c r="E126" s="146"/>
      <c r="F126" s="146"/>
      <c r="G126" s="146"/>
      <c r="H126" s="146"/>
      <c r="I126" s="146"/>
    </row>
  </sheetData>
  <mergeCells count="27">
    <mergeCell ref="A14:I14"/>
    <mergeCell ref="A3:I3"/>
    <mergeCell ref="A4:I4"/>
    <mergeCell ref="A5:I5"/>
    <mergeCell ref="A8:I8"/>
    <mergeCell ref="A10:I10"/>
    <mergeCell ref="A112:I112"/>
    <mergeCell ref="A114:I114"/>
    <mergeCell ref="A15:I15"/>
    <mergeCell ref="A29:I29"/>
    <mergeCell ref="A106:I106"/>
    <mergeCell ref="A124:I124"/>
    <mergeCell ref="A125:I125"/>
    <mergeCell ref="A126:I126"/>
    <mergeCell ref="A45:I45"/>
    <mergeCell ref="A56:I56"/>
    <mergeCell ref="A76:I76"/>
    <mergeCell ref="C116:E116"/>
    <mergeCell ref="C117:E117"/>
    <mergeCell ref="C119:E119"/>
    <mergeCell ref="C120:E120"/>
    <mergeCell ref="A122:I122"/>
    <mergeCell ref="A123:I123"/>
    <mergeCell ref="B107:G107"/>
    <mergeCell ref="B108:G108"/>
    <mergeCell ref="A110:I110"/>
    <mergeCell ref="A111:I111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2" t="s">
        <v>90</v>
      </c>
      <c r="I1" s="31"/>
    </row>
    <row r="2" spans="1:9" ht="15.75">
      <c r="A2" s="33" t="s">
        <v>60</v>
      </c>
    </row>
    <row r="3" spans="1:9" ht="15.75">
      <c r="A3" s="161" t="s">
        <v>225</v>
      </c>
      <c r="B3" s="161"/>
      <c r="C3" s="161"/>
      <c r="D3" s="161"/>
      <c r="E3" s="161"/>
      <c r="F3" s="161"/>
      <c r="G3" s="161"/>
      <c r="H3" s="161"/>
      <c r="I3" s="161"/>
    </row>
    <row r="4" spans="1:9" ht="31.5" customHeight="1">
      <c r="A4" s="162" t="s">
        <v>152</v>
      </c>
      <c r="B4" s="162"/>
      <c r="C4" s="162"/>
      <c r="D4" s="162"/>
      <c r="E4" s="162"/>
      <c r="F4" s="162"/>
      <c r="G4" s="162"/>
      <c r="H4" s="162"/>
      <c r="I4" s="162"/>
    </row>
    <row r="5" spans="1:9" ht="15.75">
      <c r="A5" s="161" t="s">
        <v>226</v>
      </c>
      <c r="B5" s="163"/>
      <c r="C5" s="163"/>
      <c r="D5" s="163"/>
      <c r="E5" s="163"/>
      <c r="F5" s="163"/>
      <c r="G5" s="163"/>
      <c r="H5" s="163"/>
      <c r="I5" s="163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5">
        <v>42674</v>
      </c>
    </row>
    <row r="7" spans="1:9" ht="15.75">
      <c r="B7" s="107"/>
      <c r="C7" s="107"/>
      <c r="D7" s="107"/>
      <c r="E7" s="3"/>
      <c r="F7" s="3"/>
      <c r="G7" s="3"/>
      <c r="H7" s="3"/>
    </row>
    <row r="8" spans="1:9" ht="78.75" customHeight="1">
      <c r="A8" s="164" t="s">
        <v>157</v>
      </c>
      <c r="B8" s="164"/>
      <c r="C8" s="164"/>
      <c r="D8" s="164"/>
      <c r="E8" s="164"/>
      <c r="F8" s="164"/>
      <c r="G8" s="164"/>
      <c r="H8" s="164"/>
      <c r="I8" s="164"/>
    </row>
    <row r="9" spans="1:9" ht="15.75">
      <c r="A9" s="4"/>
    </row>
    <row r="10" spans="1:9" ht="47.25" customHeight="1">
      <c r="A10" s="165" t="s">
        <v>158</v>
      </c>
      <c r="B10" s="165"/>
      <c r="C10" s="165"/>
      <c r="D10" s="165"/>
      <c r="E10" s="165"/>
      <c r="F10" s="165"/>
      <c r="G10" s="165"/>
      <c r="H10" s="165"/>
      <c r="I10" s="165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6" t="s">
        <v>57</v>
      </c>
      <c r="B14" s="166"/>
      <c r="C14" s="166"/>
      <c r="D14" s="166"/>
      <c r="E14" s="166"/>
      <c r="F14" s="166"/>
      <c r="G14" s="166"/>
      <c r="H14" s="166"/>
      <c r="I14" s="166"/>
    </row>
    <row r="15" spans="1:9">
      <c r="A15" s="159" t="s">
        <v>4</v>
      </c>
      <c r="B15" s="159"/>
      <c r="C15" s="159"/>
      <c r="D15" s="159"/>
      <c r="E15" s="159"/>
      <c r="F15" s="159"/>
      <c r="G15" s="159"/>
      <c r="H15" s="159"/>
      <c r="I15" s="159"/>
    </row>
    <row r="16" spans="1:9" ht="31.5" customHeight="1">
      <c r="A16" s="34">
        <v>1</v>
      </c>
      <c r="B16" s="120" t="s">
        <v>93</v>
      </c>
      <c r="C16" s="121" t="s">
        <v>94</v>
      </c>
      <c r="D16" s="120" t="s">
        <v>95</v>
      </c>
      <c r="E16" s="122">
        <v>55</v>
      </c>
      <c r="F16" s="123">
        <f>SUM(E16*156/100)</f>
        <v>85.8</v>
      </c>
      <c r="G16" s="123">
        <v>187.48</v>
      </c>
      <c r="H16" s="124">
        <f t="shared" ref="H16:H26" si="0">SUM(F16*G16/1000)</f>
        <v>16.085783999999997</v>
      </c>
      <c r="I16" s="14">
        <f>F16/12*G16</f>
        <v>1340.4819999999997</v>
      </c>
    </row>
    <row r="17" spans="1:9" ht="31.5" customHeight="1">
      <c r="A17" s="34">
        <v>2</v>
      </c>
      <c r="B17" s="120" t="s">
        <v>134</v>
      </c>
      <c r="C17" s="121" t="s">
        <v>94</v>
      </c>
      <c r="D17" s="120" t="s">
        <v>96</v>
      </c>
      <c r="E17" s="122">
        <v>165</v>
      </c>
      <c r="F17" s="123">
        <f>SUM(E17*104/100)</f>
        <v>171.6</v>
      </c>
      <c r="G17" s="123">
        <v>187.48</v>
      </c>
      <c r="H17" s="124">
        <f t="shared" si="0"/>
        <v>32.171567999999994</v>
      </c>
      <c r="I17" s="14">
        <f>F17/12*G17</f>
        <v>2680.9639999999995</v>
      </c>
    </row>
    <row r="18" spans="1:9" ht="31.5" customHeight="1">
      <c r="A18" s="34">
        <v>3</v>
      </c>
      <c r="B18" s="120" t="s">
        <v>135</v>
      </c>
      <c r="C18" s="121" t="s">
        <v>94</v>
      </c>
      <c r="D18" s="120" t="s">
        <v>136</v>
      </c>
      <c r="E18" s="122">
        <f>SUM(E16+E17)</f>
        <v>220</v>
      </c>
      <c r="F18" s="123">
        <f>SUM(E18*24/100)</f>
        <v>52.8</v>
      </c>
      <c r="G18" s="123">
        <v>539.30999999999995</v>
      </c>
      <c r="H18" s="124">
        <f t="shared" si="0"/>
        <v>28.475567999999996</v>
      </c>
      <c r="I18" s="14">
        <f>F18/12*G18</f>
        <v>2372.9639999999995</v>
      </c>
    </row>
    <row r="19" spans="1:9" ht="15.75" hidden="1" customHeight="1">
      <c r="A19" s="34">
        <v>4</v>
      </c>
      <c r="B19" s="120" t="s">
        <v>103</v>
      </c>
      <c r="C19" s="121" t="s">
        <v>104</v>
      </c>
      <c r="D19" s="120" t="s">
        <v>105</v>
      </c>
      <c r="E19" s="122">
        <v>32.4</v>
      </c>
      <c r="F19" s="123">
        <f>SUM(E19/10)</f>
        <v>3.2399999999999998</v>
      </c>
      <c r="G19" s="123">
        <v>181.91</v>
      </c>
      <c r="H19" s="124">
        <f t="shared" si="0"/>
        <v>0.58938839999999992</v>
      </c>
      <c r="I19" s="14">
        <v>0</v>
      </c>
    </row>
    <row r="20" spans="1:9" ht="15.75" customHeight="1">
      <c r="A20" s="34">
        <v>4</v>
      </c>
      <c r="B20" s="120" t="s">
        <v>106</v>
      </c>
      <c r="C20" s="121" t="s">
        <v>94</v>
      </c>
      <c r="D20" s="120" t="s">
        <v>137</v>
      </c>
      <c r="E20" s="122">
        <v>12.24</v>
      </c>
      <c r="F20" s="123">
        <f>SUM(E20*12/100)</f>
        <v>1.4687999999999999</v>
      </c>
      <c r="G20" s="123">
        <v>232.92</v>
      </c>
      <c r="H20" s="124">
        <f t="shared" si="0"/>
        <v>0.342112896</v>
      </c>
      <c r="I20" s="14">
        <f>F20/12*G20</f>
        <v>28.509407999999997</v>
      </c>
    </row>
    <row r="21" spans="1:9" ht="15.75" hidden="1" customHeight="1">
      <c r="A21" s="34">
        <v>5</v>
      </c>
      <c r="B21" s="120" t="s">
        <v>107</v>
      </c>
      <c r="C21" s="121" t="s">
        <v>94</v>
      </c>
      <c r="D21" s="120" t="s">
        <v>138</v>
      </c>
      <c r="E21" s="122">
        <v>10.08</v>
      </c>
      <c r="F21" s="123">
        <f>SUM(E21*6/100)</f>
        <v>0.6048</v>
      </c>
      <c r="G21" s="123">
        <v>231.03</v>
      </c>
      <c r="H21" s="124">
        <f t="shared" si="0"/>
        <v>0.13972694399999999</v>
      </c>
      <c r="I21" s="14">
        <f>F21/6*G21</f>
        <v>23.287824000000001</v>
      </c>
    </row>
    <row r="22" spans="1:9" ht="15.75" hidden="1" customHeight="1">
      <c r="A22" s="34">
        <v>7</v>
      </c>
      <c r="B22" s="120" t="s">
        <v>108</v>
      </c>
      <c r="C22" s="121" t="s">
        <v>51</v>
      </c>
      <c r="D22" s="120" t="s">
        <v>105</v>
      </c>
      <c r="E22" s="122">
        <v>293.76</v>
      </c>
      <c r="F22" s="123">
        <f>SUM(E22/100)</f>
        <v>2.9375999999999998</v>
      </c>
      <c r="G22" s="123">
        <v>287.83999999999997</v>
      </c>
      <c r="H22" s="124">
        <f t="shared" si="0"/>
        <v>0.84555878399999984</v>
      </c>
      <c r="I22" s="14">
        <v>0</v>
      </c>
    </row>
    <row r="23" spans="1:9" ht="15.75" hidden="1" customHeight="1">
      <c r="A23" s="34">
        <v>8</v>
      </c>
      <c r="B23" s="120" t="s">
        <v>109</v>
      </c>
      <c r="C23" s="121" t="s">
        <v>51</v>
      </c>
      <c r="D23" s="120" t="s">
        <v>105</v>
      </c>
      <c r="E23" s="125">
        <v>17.64</v>
      </c>
      <c r="F23" s="123">
        <f>SUM(E23/100)</f>
        <v>0.1764</v>
      </c>
      <c r="G23" s="123">
        <v>47.34</v>
      </c>
      <c r="H23" s="124">
        <f t="shared" si="0"/>
        <v>8.3507760000000007E-3</v>
      </c>
      <c r="I23" s="14">
        <v>0</v>
      </c>
    </row>
    <row r="24" spans="1:9" ht="15.75" hidden="1" customHeight="1">
      <c r="A24" s="34">
        <v>9</v>
      </c>
      <c r="B24" s="120" t="s">
        <v>110</v>
      </c>
      <c r="C24" s="121" t="s">
        <v>51</v>
      </c>
      <c r="D24" s="120" t="s">
        <v>111</v>
      </c>
      <c r="E24" s="122">
        <v>10.8</v>
      </c>
      <c r="F24" s="123">
        <f>E24/100</f>
        <v>0.10800000000000001</v>
      </c>
      <c r="G24" s="123">
        <v>416.62</v>
      </c>
      <c r="H24" s="124">
        <f t="shared" si="0"/>
        <v>4.4994960000000007E-2</v>
      </c>
      <c r="I24" s="14">
        <v>0</v>
      </c>
    </row>
    <row r="25" spans="1:9" ht="15.75" hidden="1" customHeight="1">
      <c r="A25" s="34">
        <v>10</v>
      </c>
      <c r="B25" s="120" t="s">
        <v>112</v>
      </c>
      <c r="C25" s="121" t="s">
        <v>51</v>
      </c>
      <c r="D25" s="120" t="s">
        <v>52</v>
      </c>
      <c r="E25" s="122">
        <v>12.6</v>
      </c>
      <c r="F25" s="123">
        <f>E25/100</f>
        <v>0.126</v>
      </c>
      <c r="G25" s="123">
        <v>231.03</v>
      </c>
      <c r="H25" s="124">
        <f>G25*F25/1000</f>
        <v>2.9109780000000002E-2</v>
      </c>
      <c r="I25" s="14">
        <v>0</v>
      </c>
    </row>
    <row r="26" spans="1:9" ht="15.75" hidden="1" customHeight="1">
      <c r="A26" s="34">
        <v>11</v>
      </c>
      <c r="B26" s="120" t="s">
        <v>113</v>
      </c>
      <c r="C26" s="121" t="s">
        <v>51</v>
      </c>
      <c r="D26" s="120" t="s">
        <v>105</v>
      </c>
      <c r="E26" s="122">
        <v>14.4</v>
      </c>
      <c r="F26" s="123">
        <f>SUM(E26/100)</f>
        <v>0.14400000000000002</v>
      </c>
      <c r="G26" s="123">
        <v>556.74</v>
      </c>
      <c r="H26" s="124">
        <f t="shared" si="0"/>
        <v>8.0170560000000016E-2</v>
      </c>
      <c r="I26" s="14">
        <v>0</v>
      </c>
    </row>
    <row r="27" spans="1:9" ht="15.75" customHeight="1">
      <c r="A27" s="34">
        <v>5</v>
      </c>
      <c r="B27" s="120" t="s">
        <v>62</v>
      </c>
      <c r="C27" s="121" t="s">
        <v>31</v>
      </c>
      <c r="D27" s="120" t="s">
        <v>130</v>
      </c>
      <c r="E27" s="122">
        <v>0.1</v>
      </c>
      <c r="F27" s="123">
        <f>SUM(E27*365)</f>
        <v>36.5</v>
      </c>
      <c r="G27" s="123">
        <v>157.18</v>
      </c>
      <c r="H27" s="124">
        <f>SUM(F27*G27/1000)</f>
        <v>5.737070000000001</v>
      </c>
      <c r="I27" s="14">
        <f>F27/12*G27</f>
        <v>478.08916666666664</v>
      </c>
    </row>
    <row r="28" spans="1:9" ht="15.75" customHeight="1">
      <c r="A28" s="34">
        <v>6</v>
      </c>
      <c r="B28" s="128" t="s">
        <v>23</v>
      </c>
      <c r="C28" s="121" t="s">
        <v>24</v>
      </c>
      <c r="D28" s="128" t="s">
        <v>131</v>
      </c>
      <c r="E28" s="122">
        <v>2054.6</v>
      </c>
      <c r="F28" s="123">
        <f>SUM(E28*12)</f>
        <v>24655.199999999997</v>
      </c>
      <c r="G28" s="123">
        <v>6.15</v>
      </c>
      <c r="H28" s="124">
        <f>SUM(F28*G28/1000)</f>
        <v>151.62947999999997</v>
      </c>
      <c r="I28" s="14">
        <f>F28/12*G28</f>
        <v>12635.79</v>
      </c>
    </row>
    <row r="29" spans="1:9" ht="15.75" customHeight="1">
      <c r="A29" s="147" t="s">
        <v>88</v>
      </c>
      <c r="B29" s="148"/>
      <c r="C29" s="148"/>
      <c r="D29" s="148"/>
      <c r="E29" s="148"/>
      <c r="F29" s="148"/>
      <c r="G29" s="148"/>
      <c r="H29" s="148"/>
      <c r="I29" s="149"/>
    </row>
    <row r="30" spans="1:9" ht="15.75" customHeight="1">
      <c r="A30" s="34"/>
      <c r="B30" s="144" t="s">
        <v>27</v>
      </c>
      <c r="C30" s="121"/>
      <c r="D30" s="120"/>
      <c r="E30" s="122"/>
      <c r="F30" s="123"/>
      <c r="G30" s="123"/>
      <c r="H30" s="124"/>
      <c r="I30" s="14"/>
    </row>
    <row r="31" spans="1:9" ht="31.5" customHeight="1">
      <c r="A31" s="34">
        <v>7</v>
      </c>
      <c r="B31" s="120" t="s">
        <v>118</v>
      </c>
      <c r="C31" s="121" t="s">
        <v>99</v>
      </c>
      <c r="D31" s="120" t="s">
        <v>114</v>
      </c>
      <c r="E31" s="123">
        <v>600.63</v>
      </c>
      <c r="F31" s="123">
        <f>SUM(E31*52/1000)</f>
        <v>31.232759999999999</v>
      </c>
      <c r="G31" s="123">
        <v>166.65</v>
      </c>
      <c r="H31" s="124">
        <f t="shared" ref="H31:H36" si="1">SUM(F31*G31/1000)</f>
        <v>5.2049394540000007</v>
      </c>
      <c r="I31" s="14">
        <f>F31/6*G31</f>
        <v>867.4899089999999</v>
      </c>
    </row>
    <row r="32" spans="1:9" ht="31.5" customHeight="1">
      <c r="A32" s="34">
        <v>8</v>
      </c>
      <c r="B32" s="120" t="s">
        <v>117</v>
      </c>
      <c r="C32" s="121" t="s">
        <v>99</v>
      </c>
      <c r="D32" s="120" t="s">
        <v>115</v>
      </c>
      <c r="E32" s="123">
        <v>186.39</v>
      </c>
      <c r="F32" s="123">
        <f>SUM(E32*78/1000)</f>
        <v>14.538419999999999</v>
      </c>
      <c r="G32" s="123">
        <v>276.48</v>
      </c>
      <c r="H32" s="124">
        <f t="shared" si="1"/>
        <v>4.0195823615999995</v>
      </c>
      <c r="I32" s="14">
        <f t="shared" ref="I32:I34" si="2">F32/6*G32</f>
        <v>669.93039359999989</v>
      </c>
    </row>
    <row r="33" spans="1:9" ht="15.75" hidden="1" customHeight="1">
      <c r="A33" s="34">
        <v>16</v>
      </c>
      <c r="B33" s="120" t="s">
        <v>26</v>
      </c>
      <c r="C33" s="121" t="s">
        <v>99</v>
      </c>
      <c r="D33" s="120" t="s">
        <v>52</v>
      </c>
      <c r="E33" s="123">
        <v>600.63</v>
      </c>
      <c r="F33" s="123">
        <f>SUM(E33/1000)</f>
        <v>0.60063</v>
      </c>
      <c r="G33" s="123">
        <v>3228.73</v>
      </c>
      <c r="H33" s="124">
        <f t="shared" si="1"/>
        <v>1.9392720999000002</v>
      </c>
      <c r="I33" s="14">
        <f>F33*G33</f>
        <v>1939.2720999000001</v>
      </c>
    </row>
    <row r="34" spans="1:9" ht="15.75" customHeight="1">
      <c r="A34" s="34">
        <v>9</v>
      </c>
      <c r="B34" s="120" t="s">
        <v>116</v>
      </c>
      <c r="C34" s="121" t="s">
        <v>29</v>
      </c>
      <c r="D34" s="120" t="s">
        <v>61</v>
      </c>
      <c r="E34" s="127">
        <v>0.33333333333333331</v>
      </c>
      <c r="F34" s="123">
        <f>155/3</f>
        <v>51.666666666666664</v>
      </c>
      <c r="G34" s="123">
        <v>60.6</v>
      </c>
      <c r="H34" s="124">
        <f>SUM(G34*155/3/1000)</f>
        <v>3.1309999999999998</v>
      </c>
      <c r="I34" s="14">
        <f t="shared" si="2"/>
        <v>521.83333333333337</v>
      </c>
    </row>
    <row r="35" spans="1:9" ht="15.75" hidden="1" customHeight="1">
      <c r="A35" s="34"/>
      <c r="B35" s="120" t="s">
        <v>63</v>
      </c>
      <c r="C35" s="121" t="s">
        <v>31</v>
      </c>
      <c r="D35" s="120" t="s">
        <v>65</v>
      </c>
      <c r="E35" s="122"/>
      <c r="F35" s="123">
        <v>2</v>
      </c>
      <c r="G35" s="123">
        <v>204.52</v>
      </c>
      <c r="H35" s="124">
        <f t="shared" si="1"/>
        <v>0.40904000000000001</v>
      </c>
      <c r="I35" s="14">
        <v>0</v>
      </c>
    </row>
    <row r="36" spans="1:9" ht="15.75" hidden="1" customHeight="1">
      <c r="A36" s="34"/>
      <c r="B36" s="120" t="s">
        <v>64</v>
      </c>
      <c r="C36" s="121" t="s">
        <v>30</v>
      </c>
      <c r="D36" s="120" t="s">
        <v>65</v>
      </c>
      <c r="E36" s="122"/>
      <c r="F36" s="123">
        <v>1</v>
      </c>
      <c r="G36" s="123">
        <v>1214.74</v>
      </c>
      <c r="H36" s="124">
        <f t="shared" si="1"/>
        <v>1.2147399999999999</v>
      </c>
      <c r="I36" s="14">
        <v>0</v>
      </c>
    </row>
    <row r="37" spans="1:9" ht="15.75" hidden="1" customHeight="1">
      <c r="A37" s="34"/>
      <c r="B37" s="144" t="s">
        <v>5</v>
      </c>
      <c r="C37" s="121"/>
      <c r="D37" s="120"/>
      <c r="E37" s="122"/>
      <c r="F37" s="123"/>
      <c r="G37" s="123"/>
      <c r="H37" s="124" t="s">
        <v>131</v>
      </c>
      <c r="I37" s="14"/>
    </row>
    <row r="38" spans="1:9" ht="15.75" hidden="1" customHeight="1">
      <c r="A38" s="34">
        <v>8</v>
      </c>
      <c r="B38" s="120" t="s">
        <v>25</v>
      </c>
      <c r="C38" s="121" t="s">
        <v>30</v>
      </c>
      <c r="D38" s="120"/>
      <c r="E38" s="122"/>
      <c r="F38" s="123">
        <v>5</v>
      </c>
      <c r="G38" s="123">
        <v>1632.6</v>
      </c>
      <c r="H38" s="124">
        <f t="shared" ref="H38:H44" si="3">SUM(F38*G38/1000)</f>
        <v>8.1630000000000003</v>
      </c>
      <c r="I38" s="14">
        <f>F38/6*G38</f>
        <v>1360.5</v>
      </c>
    </row>
    <row r="39" spans="1:9" ht="15.75" hidden="1" customHeight="1">
      <c r="A39" s="34">
        <v>9</v>
      </c>
      <c r="B39" s="120" t="s">
        <v>139</v>
      </c>
      <c r="C39" s="121" t="s">
        <v>28</v>
      </c>
      <c r="D39" s="120" t="s">
        <v>97</v>
      </c>
      <c r="E39" s="122">
        <v>186.39</v>
      </c>
      <c r="F39" s="123">
        <f>E39*30/1000</f>
        <v>5.5916999999999994</v>
      </c>
      <c r="G39" s="123">
        <v>2247.8000000000002</v>
      </c>
      <c r="H39" s="124">
        <f>G39*F39/1000</f>
        <v>12.56902326</v>
      </c>
      <c r="I39" s="14">
        <f>F39/6*G39</f>
        <v>2094.8372100000001</v>
      </c>
    </row>
    <row r="40" spans="1:9" ht="15.75" hidden="1" customHeight="1">
      <c r="A40" s="34"/>
      <c r="B40" s="120" t="s">
        <v>164</v>
      </c>
      <c r="C40" s="121" t="s">
        <v>165</v>
      </c>
      <c r="D40" s="120" t="s">
        <v>65</v>
      </c>
      <c r="E40" s="122"/>
      <c r="F40" s="123">
        <v>72.3</v>
      </c>
      <c r="G40" s="123">
        <v>199.44</v>
      </c>
      <c r="H40" s="124">
        <f>G40*F40/1000</f>
        <v>14.419511999999999</v>
      </c>
      <c r="I40" s="14">
        <v>0</v>
      </c>
    </row>
    <row r="41" spans="1:9" ht="15.75" hidden="1" customHeight="1">
      <c r="A41" s="34">
        <v>10</v>
      </c>
      <c r="B41" s="120" t="s">
        <v>66</v>
      </c>
      <c r="C41" s="121" t="s">
        <v>28</v>
      </c>
      <c r="D41" s="120" t="s">
        <v>98</v>
      </c>
      <c r="E41" s="123">
        <v>186.39</v>
      </c>
      <c r="F41" s="123">
        <f>SUM(E41*155/1000)</f>
        <v>28.890449999999998</v>
      </c>
      <c r="G41" s="123">
        <v>374.95</v>
      </c>
      <c r="H41" s="124">
        <f t="shared" si="3"/>
        <v>10.832474227499999</v>
      </c>
      <c r="I41" s="14">
        <f>F41/6*G41</f>
        <v>1805.4123712499998</v>
      </c>
    </row>
    <row r="42" spans="1:9" ht="47.25" hidden="1" customHeight="1">
      <c r="A42" s="34">
        <v>11</v>
      </c>
      <c r="B42" s="120" t="s">
        <v>84</v>
      </c>
      <c r="C42" s="121" t="s">
        <v>99</v>
      </c>
      <c r="D42" s="120" t="s">
        <v>140</v>
      </c>
      <c r="E42" s="123">
        <v>52.2</v>
      </c>
      <c r="F42" s="123">
        <f>SUM(E42*35/1000)</f>
        <v>1.827</v>
      </c>
      <c r="G42" s="123">
        <v>6203.7</v>
      </c>
      <c r="H42" s="124">
        <f t="shared" si="3"/>
        <v>11.3341599</v>
      </c>
      <c r="I42" s="14">
        <f>F42/6*G42</f>
        <v>1889.0266499999998</v>
      </c>
    </row>
    <row r="43" spans="1:9" ht="15.75" hidden="1" customHeight="1">
      <c r="A43" s="34">
        <v>12</v>
      </c>
      <c r="B43" s="120" t="s">
        <v>141</v>
      </c>
      <c r="C43" s="121" t="s">
        <v>99</v>
      </c>
      <c r="D43" s="120" t="s">
        <v>67</v>
      </c>
      <c r="E43" s="123">
        <v>52.2</v>
      </c>
      <c r="F43" s="123">
        <f>SUM(E43*45/1000)</f>
        <v>2.3490000000000002</v>
      </c>
      <c r="G43" s="123">
        <v>458.28</v>
      </c>
      <c r="H43" s="124">
        <f t="shared" si="3"/>
        <v>1.0764997199999999</v>
      </c>
      <c r="I43" s="14">
        <f>F43/6*G43</f>
        <v>179.41661999999999</v>
      </c>
    </row>
    <row r="44" spans="1:9" ht="15.75" hidden="1" customHeight="1">
      <c r="A44" s="34">
        <v>13</v>
      </c>
      <c r="B44" s="120" t="s">
        <v>68</v>
      </c>
      <c r="C44" s="121" t="s">
        <v>31</v>
      </c>
      <c r="D44" s="120"/>
      <c r="E44" s="122"/>
      <c r="F44" s="123">
        <v>0.5</v>
      </c>
      <c r="G44" s="123">
        <v>853.06</v>
      </c>
      <c r="H44" s="124">
        <f t="shared" si="3"/>
        <v>0.42652999999999996</v>
      </c>
      <c r="I44" s="14">
        <f>F44/6*G44</f>
        <v>71.088333333333324</v>
      </c>
    </row>
    <row r="45" spans="1:9" ht="15.75" hidden="1" customHeight="1">
      <c r="A45" s="147" t="s">
        <v>159</v>
      </c>
      <c r="B45" s="148"/>
      <c r="C45" s="148"/>
      <c r="D45" s="148"/>
      <c r="E45" s="148"/>
      <c r="F45" s="148"/>
      <c r="G45" s="148"/>
      <c r="H45" s="148"/>
      <c r="I45" s="149"/>
    </row>
    <row r="46" spans="1:9" ht="15.75" hidden="1" customHeight="1">
      <c r="A46" s="34"/>
      <c r="B46" s="120" t="s">
        <v>119</v>
      </c>
      <c r="C46" s="121" t="s">
        <v>99</v>
      </c>
      <c r="D46" s="120" t="s">
        <v>41</v>
      </c>
      <c r="E46" s="122">
        <v>917.75</v>
      </c>
      <c r="F46" s="123">
        <f>SUM(E46*2/1000)</f>
        <v>1.8354999999999999</v>
      </c>
      <c r="G46" s="14">
        <v>865.61</v>
      </c>
      <c r="H46" s="124">
        <f t="shared" ref="H46:H55" si="4">SUM(F46*G46/1000)</f>
        <v>1.5888271549999999</v>
      </c>
      <c r="I46" s="14">
        <v>0</v>
      </c>
    </row>
    <row r="47" spans="1:9" ht="15.75" hidden="1" customHeight="1">
      <c r="A47" s="34"/>
      <c r="B47" s="120" t="s">
        <v>34</v>
      </c>
      <c r="C47" s="121" t="s">
        <v>99</v>
      </c>
      <c r="D47" s="120" t="s">
        <v>41</v>
      </c>
      <c r="E47" s="122">
        <v>48</v>
      </c>
      <c r="F47" s="123">
        <f>E47*2/1000</f>
        <v>9.6000000000000002E-2</v>
      </c>
      <c r="G47" s="14">
        <v>619.46</v>
      </c>
      <c r="H47" s="124">
        <f t="shared" si="4"/>
        <v>5.9468160000000006E-2</v>
      </c>
      <c r="I47" s="14">
        <v>0</v>
      </c>
    </row>
    <row r="48" spans="1:9" ht="15.75" hidden="1" customHeight="1">
      <c r="A48" s="34"/>
      <c r="B48" s="120" t="s">
        <v>35</v>
      </c>
      <c r="C48" s="121" t="s">
        <v>99</v>
      </c>
      <c r="D48" s="120" t="s">
        <v>41</v>
      </c>
      <c r="E48" s="122">
        <v>937.4</v>
      </c>
      <c r="F48" s="123">
        <f>SUM(E48*2/1000)</f>
        <v>1.8748</v>
      </c>
      <c r="G48" s="14">
        <v>619.46</v>
      </c>
      <c r="H48" s="124">
        <f t="shared" si="4"/>
        <v>1.161363608</v>
      </c>
      <c r="I48" s="14">
        <v>0</v>
      </c>
    </row>
    <row r="49" spans="1:9" ht="15.75" hidden="1" customHeight="1">
      <c r="A49" s="34"/>
      <c r="B49" s="120" t="s">
        <v>36</v>
      </c>
      <c r="C49" s="121" t="s">
        <v>99</v>
      </c>
      <c r="D49" s="120" t="s">
        <v>41</v>
      </c>
      <c r="E49" s="122">
        <v>1243.28</v>
      </c>
      <c r="F49" s="123">
        <f>SUM(E49*2/1000)</f>
        <v>2.4865599999999999</v>
      </c>
      <c r="G49" s="14">
        <v>648.64</v>
      </c>
      <c r="H49" s="124">
        <f t="shared" si="4"/>
        <v>1.6128822783999999</v>
      </c>
      <c r="I49" s="14">
        <v>0</v>
      </c>
    </row>
    <row r="50" spans="1:9" ht="15.75" hidden="1" customHeight="1">
      <c r="A50" s="34"/>
      <c r="B50" s="120" t="s">
        <v>32</v>
      </c>
      <c r="C50" s="121" t="s">
        <v>33</v>
      </c>
      <c r="D50" s="120" t="s">
        <v>41</v>
      </c>
      <c r="E50" s="122">
        <v>64.5</v>
      </c>
      <c r="F50" s="123">
        <f>SUM(E50*2/100)</f>
        <v>1.29</v>
      </c>
      <c r="G50" s="14">
        <v>77.84</v>
      </c>
      <c r="H50" s="124">
        <f t="shared" si="4"/>
        <v>0.10041360000000001</v>
      </c>
      <c r="I50" s="14">
        <v>0</v>
      </c>
    </row>
    <row r="51" spans="1:9" ht="15.75" hidden="1" customHeight="1">
      <c r="A51" s="34">
        <v>14</v>
      </c>
      <c r="B51" s="120" t="s">
        <v>54</v>
      </c>
      <c r="C51" s="121" t="s">
        <v>99</v>
      </c>
      <c r="D51" s="120" t="s">
        <v>186</v>
      </c>
      <c r="E51" s="122">
        <v>678.4</v>
      </c>
      <c r="F51" s="123">
        <f>SUM(E51*5/1000)</f>
        <v>3.3919999999999999</v>
      </c>
      <c r="G51" s="14">
        <v>1297.28</v>
      </c>
      <c r="H51" s="124">
        <f t="shared" si="4"/>
        <v>4.4003737599999999</v>
      </c>
      <c r="I51" s="14">
        <f>F51/5*G51</f>
        <v>880.07475199999999</v>
      </c>
    </row>
    <row r="52" spans="1:9" ht="31.5" hidden="1" customHeight="1">
      <c r="A52" s="34"/>
      <c r="B52" s="120" t="s">
        <v>100</v>
      </c>
      <c r="C52" s="121" t="s">
        <v>99</v>
      </c>
      <c r="D52" s="120" t="s">
        <v>41</v>
      </c>
      <c r="E52" s="122">
        <v>678.4</v>
      </c>
      <c r="F52" s="123">
        <f>SUM(E52*2/1000)</f>
        <v>1.3568</v>
      </c>
      <c r="G52" s="14">
        <v>1297.28</v>
      </c>
      <c r="H52" s="124">
        <f t="shared" si="4"/>
        <v>1.7601495039999999</v>
      </c>
      <c r="I52" s="14">
        <v>0</v>
      </c>
    </row>
    <row r="53" spans="1:9" ht="31.5" hidden="1" customHeight="1">
      <c r="A53" s="34"/>
      <c r="B53" s="120" t="s">
        <v>101</v>
      </c>
      <c r="C53" s="121" t="s">
        <v>37</v>
      </c>
      <c r="D53" s="120" t="s">
        <v>41</v>
      </c>
      <c r="E53" s="122">
        <v>12</v>
      </c>
      <c r="F53" s="123">
        <f>SUM(E53*2/100)</f>
        <v>0.24</v>
      </c>
      <c r="G53" s="14">
        <v>2918.89</v>
      </c>
      <c r="H53" s="124">
        <f t="shared" si="4"/>
        <v>0.70053359999999998</v>
      </c>
      <c r="I53" s="14">
        <v>0</v>
      </c>
    </row>
    <row r="54" spans="1:9" ht="15.75" hidden="1" customHeight="1">
      <c r="A54" s="34"/>
      <c r="B54" s="120" t="s">
        <v>38</v>
      </c>
      <c r="C54" s="121" t="s">
        <v>39</v>
      </c>
      <c r="D54" s="120" t="s">
        <v>41</v>
      </c>
      <c r="E54" s="122">
        <v>1</v>
      </c>
      <c r="F54" s="123">
        <v>0.02</v>
      </c>
      <c r="G54" s="14">
        <v>6042.12</v>
      </c>
      <c r="H54" s="124">
        <f t="shared" si="4"/>
        <v>0.1208424</v>
      </c>
      <c r="I54" s="14">
        <v>0</v>
      </c>
    </row>
    <row r="55" spans="1:9" ht="15.75" hidden="1" customHeight="1">
      <c r="A55" s="34">
        <v>15</v>
      </c>
      <c r="B55" s="120" t="s">
        <v>40</v>
      </c>
      <c r="C55" s="121" t="s">
        <v>120</v>
      </c>
      <c r="D55" s="120" t="s">
        <v>69</v>
      </c>
      <c r="E55" s="122">
        <v>72</v>
      </c>
      <c r="F55" s="123">
        <f>SUM(E55)*3</f>
        <v>216</v>
      </c>
      <c r="G55" s="14">
        <v>70.209999999999994</v>
      </c>
      <c r="H55" s="124">
        <f t="shared" si="4"/>
        <v>15.165359999999998</v>
      </c>
      <c r="I55" s="14">
        <f>E55*G55</f>
        <v>5055.12</v>
      </c>
    </row>
    <row r="56" spans="1:9" ht="15.75" customHeight="1">
      <c r="A56" s="147" t="s">
        <v>196</v>
      </c>
      <c r="B56" s="148"/>
      <c r="C56" s="148"/>
      <c r="D56" s="148"/>
      <c r="E56" s="148"/>
      <c r="F56" s="148"/>
      <c r="G56" s="148"/>
      <c r="H56" s="148"/>
      <c r="I56" s="149"/>
    </row>
    <row r="57" spans="1:9" ht="15.75" hidden="1" customHeight="1">
      <c r="A57" s="34"/>
      <c r="B57" s="144" t="s">
        <v>42</v>
      </c>
      <c r="C57" s="121"/>
      <c r="D57" s="120"/>
      <c r="E57" s="122"/>
      <c r="F57" s="123"/>
      <c r="G57" s="123"/>
      <c r="H57" s="124"/>
      <c r="I57" s="14"/>
    </row>
    <row r="58" spans="1:9" ht="31.5" hidden="1" customHeight="1">
      <c r="A58" s="34">
        <v>16</v>
      </c>
      <c r="B58" s="120" t="s">
        <v>121</v>
      </c>
      <c r="C58" s="121" t="s">
        <v>94</v>
      </c>
      <c r="D58" s="120" t="s">
        <v>122</v>
      </c>
      <c r="E58" s="122">
        <v>110.66</v>
      </c>
      <c r="F58" s="123">
        <f>SUM(E58*6/100)</f>
        <v>6.6396000000000006</v>
      </c>
      <c r="G58" s="14">
        <v>1654.04</v>
      </c>
      <c r="H58" s="124">
        <f>SUM(F58*G58/1000)</f>
        <v>10.982163984000001</v>
      </c>
      <c r="I58" s="14">
        <f>F58/6*G58</f>
        <v>1830.360664</v>
      </c>
    </row>
    <row r="59" spans="1:9" ht="15.75" customHeight="1">
      <c r="A59" s="34"/>
      <c r="B59" s="145" t="s">
        <v>43</v>
      </c>
      <c r="C59" s="129"/>
      <c r="D59" s="130"/>
      <c r="E59" s="131"/>
      <c r="F59" s="132"/>
      <c r="G59" s="132"/>
      <c r="H59" s="133" t="s">
        <v>131</v>
      </c>
      <c r="I59" s="14"/>
    </row>
    <row r="60" spans="1:9" ht="15.75" customHeight="1">
      <c r="A60" s="34">
        <v>10</v>
      </c>
      <c r="B60" s="16" t="s">
        <v>44</v>
      </c>
      <c r="C60" s="18" t="s">
        <v>120</v>
      </c>
      <c r="D60" s="16" t="s">
        <v>65</v>
      </c>
      <c r="E60" s="21">
        <v>8</v>
      </c>
      <c r="F60" s="123">
        <v>8</v>
      </c>
      <c r="G60" s="14">
        <v>237.74</v>
      </c>
      <c r="H60" s="134">
        <f t="shared" ref="H60:H73" si="5">SUM(F60*G60/1000)</f>
        <v>1.9019200000000001</v>
      </c>
      <c r="I60" s="14">
        <f>G60*4</f>
        <v>950.96</v>
      </c>
    </row>
    <row r="61" spans="1:9" ht="15.75" hidden="1" customHeight="1">
      <c r="A61" s="34"/>
      <c r="B61" s="16" t="s">
        <v>45</v>
      </c>
      <c r="C61" s="18" t="s">
        <v>120</v>
      </c>
      <c r="D61" s="16" t="s">
        <v>65</v>
      </c>
      <c r="E61" s="21">
        <v>3</v>
      </c>
      <c r="F61" s="123">
        <v>3</v>
      </c>
      <c r="G61" s="14">
        <v>81.510000000000005</v>
      </c>
      <c r="H61" s="134">
        <f t="shared" si="5"/>
        <v>0.24453000000000003</v>
      </c>
      <c r="I61" s="14">
        <v>0</v>
      </c>
    </row>
    <row r="62" spans="1:9" ht="15.75" hidden="1" customHeight="1">
      <c r="A62" s="34"/>
      <c r="B62" s="16" t="s">
        <v>46</v>
      </c>
      <c r="C62" s="18" t="s">
        <v>123</v>
      </c>
      <c r="D62" s="16" t="s">
        <v>52</v>
      </c>
      <c r="E62" s="122">
        <v>8539</v>
      </c>
      <c r="F62" s="14">
        <f>SUM(E62/100)</f>
        <v>85.39</v>
      </c>
      <c r="G62" s="14">
        <v>226.79</v>
      </c>
      <c r="H62" s="134">
        <f t="shared" si="5"/>
        <v>19.3655981</v>
      </c>
      <c r="I62" s="14">
        <v>0</v>
      </c>
    </row>
    <row r="63" spans="1:9" ht="15.75" hidden="1" customHeight="1">
      <c r="A63" s="34"/>
      <c r="B63" s="16" t="s">
        <v>47</v>
      </c>
      <c r="C63" s="18" t="s">
        <v>124</v>
      </c>
      <c r="D63" s="16"/>
      <c r="E63" s="122">
        <v>8539</v>
      </c>
      <c r="F63" s="14">
        <f>SUM(E63/1000)</f>
        <v>8.5389999999999997</v>
      </c>
      <c r="G63" s="14">
        <v>176.61</v>
      </c>
      <c r="H63" s="134">
        <f t="shared" si="5"/>
        <v>1.5080727900000002</v>
      </c>
      <c r="I63" s="14">
        <v>0</v>
      </c>
    </row>
    <row r="64" spans="1:9" ht="15.75" hidden="1" customHeight="1">
      <c r="A64" s="34"/>
      <c r="B64" s="16" t="s">
        <v>48</v>
      </c>
      <c r="C64" s="18" t="s">
        <v>75</v>
      </c>
      <c r="D64" s="16" t="s">
        <v>52</v>
      </c>
      <c r="E64" s="122">
        <v>1370</v>
      </c>
      <c r="F64" s="14">
        <f>SUM(E64/100)</f>
        <v>13.7</v>
      </c>
      <c r="G64" s="14">
        <v>2217.7800000000002</v>
      </c>
      <c r="H64" s="134">
        <f t="shared" si="5"/>
        <v>30.383586000000005</v>
      </c>
      <c r="I64" s="14">
        <v>0</v>
      </c>
    </row>
    <row r="65" spans="1:9" ht="15.75" hidden="1" customHeight="1">
      <c r="A65" s="34"/>
      <c r="B65" s="135" t="s">
        <v>125</v>
      </c>
      <c r="C65" s="18" t="s">
        <v>31</v>
      </c>
      <c r="D65" s="16"/>
      <c r="E65" s="122">
        <v>9</v>
      </c>
      <c r="F65" s="14">
        <f>SUM(E65)</f>
        <v>9</v>
      </c>
      <c r="G65" s="14">
        <v>42.67</v>
      </c>
      <c r="H65" s="134">
        <f t="shared" si="5"/>
        <v>0.38403000000000004</v>
      </c>
      <c r="I65" s="14">
        <v>0</v>
      </c>
    </row>
    <row r="66" spans="1:9" ht="15.75" hidden="1" customHeight="1">
      <c r="A66" s="34"/>
      <c r="B66" s="135" t="s">
        <v>126</v>
      </c>
      <c r="C66" s="18" t="s">
        <v>31</v>
      </c>
      <c r="D66" s="16"/>
      <c r="E66" s="122">
        <v>9</v>
      </c>
      <c r="F66" s="14">
        <f>SUM(E66)</f>
        <v>9</v>
      </c>
      <c r="G66" s="14">
        <v>39.81</v>
      </c>
      <c r="H66" s="134">
        <f t="shared" si="5"/>
        <v>0.35829</v>
      </c>
      <c r="I66" s="14">
        <v>0</v>
      </c>
    </row>
    <row r="67" spans="1:9" ht="15.75" hidden="1" customHeight="1">
      <c r="A67" s="34"/>
      <c r="B67" s="16" t="s">
        <v>55</v>
      </c>
      <c r="C67" s="18" t="s">
        <v>56</v>
      </c>
      <c r="D67" s="16" t="s">
        <v>52</v>
      </c>
      <c r="E67" s="21">
        <v>3</v>
      </c>
      <c r="F67" s="123">
        <v>3</v>
      </c>
      <c r="G67" s="14">
        <v>53.62</v>
      </c>
      <c r="H67" s="134">
        <f t="shared" si="5"/>
        <v>0.16085999999999998</v>
      </c>
      <c r="I67" s="14">
        <v>0</v>
      </c>
    </row>
    <row r="68" spans="1:9" ht="15.75" hidden="1" customHeight="1">
      <c r="A68" s="34"/>
      <c r="B68" s="36" t="s">
        <v>70</v>
      </c>
      <c r="C68" s="18"/>
      <c r="D68" s="16"/>
      <c r="E68" s="21"/>
      <c r="F68" s="14"/>
      <c r="G68" s="14"/>
      <c r="H68" s="134" t="s">
        <v>131</v>
      </c>
      <c r="I68" s="14"/>
    </row>
    <row r="69" spans="1:9" ht="15.75" hidden="1" customHeight="1">
      <c r="A69" s="34"/>
      <c r="B69" s="16" t="s">
        <v>71</v>
      </c>
      <c r="C69" s="18" t="s">
        <v>73</v>
      </c>
      <c r="D69" s="16"/>
      <c r="E69" s="21">
        <v>2</v>
      </c>
      <c r="F69" s="14">
        <v>0.2</v>
      </c>
      <c r="G69" s="14">
        <v>536.23</v>
      </c>
      <c r="H69" s="134">
        <f t="shared" si="5"/>
        <v>0.10724600000000001</v>
      </c>
      <c r="I69" s="14">
        <v>0</v>
      </c>
    </row>
    <row r="70" spans="1:9" ht="15.75" hidden="1" customHeight="1">
      <c r="A70" s="34"/>
      <c r="B70" s="16" t="s">
        <v>72</v>
      </c>
      <c r="C70" s="18" t="s">
        <v>29</v>
      </c>
      <c r="D70" s="16"/>
      <c r="E70" s="21">
        <v>1</v>
      </c>
      <c r="F70" s="116">
        <v>1</v>
      </c>
      <c r="G70" s="14">
        <v>911.85</v>
      </c>
      <c r="H70" s="134">
        <f>F70*G70/1000</f>
        <v>0.91185000000000005</v>
      </c>
      <c r="I70" s="14">
        <v>0</v>
      </c>
    </row>
    <row r="71" spans="1:9" ht="15.75" hidden="1" customHeight="1">
      <c r="A71" s="34"/>
      <c r="B71" s="16" t="s">
        <v>143</v>
      </c>
      <c r="C71" s="18" t="s">
        <v>29</v>
      </c>
      <c r="D71" s="16"/>
      <c r="E71" s="21">
        <v>1</v>
      </c>
      <c r="F71" s="14">
        <v>1</v>
      </c>
      <c r="G71" s="14">
        <v>383.25</v>
      </c>
      <c r="H71" s="134">
        <f>G71*F71/1000</f>
        <v>0.38324999999999998</v>
      </c>
      <c r="I71" s="14">
        <v>0</v>
      </c>
    </row>
    <row r="72" spans="1:9" ht="15.75" hidden="1" customHeight="1">
      <c r="A72" s="34"/>
      <c r="B72" s="136" t="s">
        <v>74</v>
      </c>
      <c r="C72" s="18"/>
      <c r="D72" s="16"/>
      <c r="E72" s="21"/>
      <c r="F72" s="14"/>
      <c r="G72" s="14" t="s">
        <v>131</v>
      </c>
      <c r="H72" s="134" t="s">
        <v>131</v>
      </c>
      <c r="I72" s="14"/>
    </row>
    <row r="73" spans="1:9" ht="15.75" hidden="1" customHeight="1">
      <c r="A73" s="34"/>
      <c r="B73" s="63" t="s">
        <v>132</v>
      </c>
      <c r="C73" s="18" t="s">
        <v>75</v>
      </c>
      <c r="D73" s="16"/>
      <c r="E73" s="21"/>
      <c r="F73" s="14">
        <v>1.35</v>
      </c>
      <c r="G73" s="14">
        <v>2949.85</v>
      </c>
      <c r="H73" s="134">
        <f t="shared" si="5"/>
        <v>3.9822975</v>
      </c>
      <c r="I73" s="14">
        <v>0</v>
      </c>
    </row>
    <row r="74" spans="1:9" ht="15.75" hidden="1" customHeight="1">
      <c r="A74" s="34"/>
      <c r="B74" s="115" t="s">
        <v>102</v>
      </c>
      <c r="C74" s="137"/>
      <c r="D74" s="36"/>
      <c r="E74" s="37"/>
      <c r="F74" s="126"/>
      <c r="G74" s="126"/>
      <c r="H74" s="138">
        <f>SUM(H58:H73)</f>
        <v>70.673694374000007</v>
      </c>
      <c r="I74" s="126"/>
    </row>
    <row r="75" spans="1:9" ht="15.75" hidden="1" customHeight="1">
      <c r="A75" s="34"/>
      <c r="B75" s="120" t="s">
        <v>127</v>
      </c>
      <c r="C75" s="18"/>
      <c r="D75" s="16"/>
      <c r="E75" s="139"/>
      <c r="F75" s="14">
        <v>1</v>
      </c>
      <c r="G75" s="14">
        <v>7101.4</v>
      </c>
      <c r="H75" s="134">
        <f>G75*F75/1000</f>
        <v>7.1013999999999999</v>
      </c>
      <c r="I75" s="14">
        <v>0</v>
      </c>
    </row>
    <row r="76" spans="1:9" ht="15.75" customHeight="1">
      <c r="A76" s="147" t="s">
        <v>197</v>
      </c>
      <c r="B76" s="148"/>
      <c r="C76" s="148"/>
      <c r="D76" s="148"/>
      <c r="E76" s="148"/>
      <c r="F76" s="148"/>
      <c r="G76" s="148"/>
      <c r="H76" s="148"/>
      <c r="I76" s="149"/>
    </row>
    <row r="77" spans="1:9" ht="15.75" customHeight="1">
      <c r="A77" s="34">
        <v>11</v>
      </c>
      <c r="B77" s="120" t="s">
        <v>128</v>
      </c>
      <c r="C77" s="18" t="s">
        <v>53</v>
      </c>
      <c r="D77" s="140" t="s">
        <v>188</v>
      </c>
      <c r="E77" s="14">
        <v>2054.6</v>
      </c>
      <c r="F77" s="14">
        <f>SUM(E77*12)</f>
        <v>24655.199999999997</v>
      </c>
      <c r="G77" s="14">
        <v>2.2400000000000002</v>
      </c>
      <c r="H77" s="134">
        <f>SUM(F77*G77/1000)</f>
        <v>55.227648000000002</v>
      </c>
      <c r="I77" s="14">
        <f>F77/12*G77</f>
        <v>4602.3040000000001</v>
      </c>
    </row>
    <row r="78" spans="1:9" ht="31.5" customHeight="1">
      <c r="A78" s="34">
        <v>12</v>
      </c>
      <c r="B78" s="16" t="s">
        <v>76</v>
      </c>
      <c r="C78" s="18"/>
      <c r="D78" s="140" t="s">
        <v>188</v>
      </c>
      <c r="E78" s="122">
        <f>E77</f>
        <v>2054.6</v>
      </c>
      <c r="F78" s="14">
        <f>E78*12</f>
        <v>24655.199999999997</v>
      </c>
      <c r="G78" s="14">
        <v>1.74</v>
      </c>
      <c r="H78" s="134">
        <f>F78*G78/1000</f>
        <v>42.900047999999998</v>
      </c>
      <c r="I78" s="14">
        <f>F78/12*G78</f>
        <v>3575.0039999999999</v>
      </c>
    </row>
    <row r="79" spans="1:9" ht="15.75" customHeight="1">
      <c r="A79" s="34"/>
      <c r="B79" s="50" t="s">
        <v>80</v>
      </c>
      <c r="C79" s="137"/>
      <c r="D79" s="136"/>
      <c r="E79" s="126"/>
      <c r="F79" s="126"/>
      <c r="G79" s="126"/>
      <c r="H79" s="138">
        <f>H78</f>
        <v>42.900047999999998</v>
      </c>
      <c r="I79" s="126">
        <f>I16+I17+I18+I20+I27+I28+I31+I32+I34+I60+I77+I78</f>
        <v>30724.320210599999</v>
      </c>
    </row>
    <row r="80" spans="1:9" ht="15.75" customHeight="1">
      <c r="A80" s="34"/>
      <c r="B80" s="75" t="s">
        <v>58</v>
      </c>
      <c r="C80" s="18"/>
      <c r="D80" s="63"/>
      <c r="E80" s="14"/>
      <c r="F80" s="14"/>
      <c r="G80" s="14"/>
      <c r="H80" s="14"/>
      <c r="I80" s="14"/>
    </row>
    <row r="81" spans="1:9" ht="15.75" customHeight="1">
      <c r="A81" s="34">
        <v>13</v>
      </c>
      <c r="B81" s="76" t="s">
        <v>133</v>
      </c>
      <c r="C81" s="77" t="s">
        <v>120</v>
      </c>
      <c r="D81" s="63"/>
      <c r="E81" s="14"/>
      <c r="F81" s="14">
        <v>432</v>
      </c>
      <c r="G81" s="14">
        <v>50.68</v>
      </c>
      <c r="H81" s="14">
        <f>G81*F81/1000</f>
        <v>21.893759999999997</v>
      </c>
      <c r="I81" s="14">
        <f>G81*36</f>
        <v>1824.48</v>
      </c>
    </row>
    <row r="82" spans="1:9" ht="15.75" customHeight="1">
      <c r="A82" s="34">
        <v>14</v>
      </c>
      <c r="B82" s="76" t="s">
        <v>82</v>
      </c>
      <c r="C82" s="77" t="s">
        <v>120</v>
      </c>
      <c r="D82" s="63"/>
      <c r="E82" s="14"/>
      <c r="F82" s="14">
        <v>2</v>
      </c>
      <c r="G82" s="14">
        <v>180.15</v>
      </c>
      <c r="H82" s="134">
        <f t="shared" ref="H82:H84" si="6">G82*F82/1000</f>
        <v>0.36030000000000001</v>
      </c>
      <c r="I82" s="14">
        <f>G82</f>
        <v>180.15</v>
      </c>
    </row>
    <row r="83" spans="1:9" ht="15.75" customHeight="1">
      <c r="A83" s="34">
        <v>15</v>
      </c>
      <c r="B83" s="76" t="s">
        <v>181</v>
      </c>
      <c r="C83" s="77" t="s">
        <v>85</v>
      </c>
      <c r="D83" s="63"/>
      <c r="E83" s="14"/>
      <c r="F83" s="14">
        <v>2</v>
      </c>
      <c r="G83" s="14">
        <v>185.81</v>
      </c>
      <c r="H83" s="134">
        <f t="shared" si="6"/>
        <v>0.37162000000000001</v>
      </c>
      <c r="I83" s="14">
        <f t="shared" ref="I83" si="7">G83</f>
        <v>185.81</v>
      </c>
    </row>
    <row r="84" spans="1:9" ht="31.5" customHeight="1">
      <c r="A84" s="34">
        <v>16</v>
      </c>
      <c r="B84" s="76" t="s">
        <v>83</v>
      </c>
      <c r="C84" s="77" t="s">
        <v>37</v>
      </c>
      <c r="D84" s="63"/>
      <c r="E84" s="14"/>
      <c r="F84" s="14">
        <v>0.02</v>
      </c>
      <c r="G84" s="14">
        <v>3397.65</v>
      </c>
      <c r="H84" s="134">
        <f t="shared" si="6"/>
        <v>6.7953E-2</v>
      </c>
      <c r="I84" s="14">
        <f>G84*0.01</f>
        <v>33.976500000000001</v>
      </c>
    </row>
    <row r="85" spans="1:9" ht="31.5" customHeight="1">
      <c r="A85" s="34">
        <v>17</v>
      </c>
      <c r="B85" s="76" t="s">
        <v>183</v>
      </c>
      <c r="C85" s="77" t="s">
        <v>120</v>
      </c>
      <c r="D85" s="63"/>
      <c r="E85" s="14"/>
      <c r="F85" s="14">
        <v>1</v>
      </c>
      <c r="G85" s="14">
        <v>97.18</v>
      </c>
      <c r="H85" s="134">
        <f>G85*F85/1000</f>
        <v>9.7180000000000002E-2</v>
      </c>
      <c r="I85" s="14">
        <f>G85</f>
        <v>97.18</v>
      </c>
    </row>
    <row r="86" spans="1:9" ht="31.5" customHeight="1">
      <c r="A86" s="34">
        <v>18</v>
      </c>
      <c r="B86" s="76" t="s">
        <v>184</v>
      </c>
      <c r="C86" s="77" t="s">
        <v>81</v>
      </c>
      <c r="D86" s="63"/>
      <c r="E86" s="14"/>
      <c r="F86" s="14">
        <v>2</v>
      </c>
      <c r="G86" s="14">
        <v>1272</v>
      </c>
      <c r="H86" s="134">
        <f t="shared" ref="H86:H87" si="8">G86*F86/1000</f>
        <v>2.544</v>
      </c>
      <c r="I86" s="14">
        <f>G86*2</f>
        <v>2544</v>
      </c>
    </row>
    <row r="87" spans="1:9" ht="15.75" customHeight="1">
      <c r="A87" s="34">
        <v>19</v>
      </c>
      <c r="B87" s="76" t="s">
        <v>185</v>
      </c>
      <c r="C87" s="95" t="s">
        <v>81</v>
      </c>
      <c r="D87" s="63"/>
      <c r="E87" s="14"/>
      <c r="F87" s="14">
        <v>1</v>
      </c>
      <c r="G87" s="14">
        <v>18</v>
      </c>
      <c r="H87" s="134">
        <f t="shared" si="8"/>
        <v>1.7999999999999999E-2</v>
      </c>
      <c r="I87" s="14">
        <f t="shared" ref="I86:I87" si="9">G87</f>
        <v>18</v>
      </c>
    </row>
    <row r="88" spans="1:9" ht="15.75" customHeight="1">
      <c r="A88" s="34"/>
      <c r="B88" s="57" t="s">
        <v>49</v>
      </c>
      <c r="C88" s="53"/>
      <c r="D88" s="66"/>
      <c r="E88" s="53">
        <v>1</v>
      </c>
      <c r="F88" s="53"/>
      <c r="G88" s="53"/>
      <c r="H88" s="53"/>
      <c r="I88" s="37">
        <f>SUM(I81:I87)</f>
        <v>4883.5964999999997</v>
      </c>
    </row>
    <row r="89" spans="1:9" ht="15.75" customHeight="1">
      <c r="A89" s="34"/>
      <c r="B89" s="63" t="s">
        <v>77</v>
      </c>
      <c r="C89" s="17"/>
      <c r="D89" s="17"/>
      <c r="E89" s="54"/>
      <c r="F89" s="54"/>
      <c r="G89" s="55"/>
      <c r="H89" s="55"/>
      <c r="I89" s="20">
        <v>0</v>
      </c>
    </row>
    <row r="90" spans="1:9" ht="15.75" customHeight="1">
      <c r="A90" s="67"/>
      <c r="B90" s="58" t="s">
        <v>50</v>
      </c>
      <c r="C90" s="43"/>
      <c r="D90" s="43"/>
      <c r="E90" s="43"/>
      <c r="F90" s="43"/>
      <c r="G90" s="43"/>
      <c r="H90" s="43"/>
      <c r="I90" s="56">
        <f>I79+I88</f>
        <v>35607.916710599995</v>
      </c>
    </row>
    <row r="91" spans="1:9" ht="15.75">
      <c r="A91" s="160" t="s">
        <v>227</v>
      </c>
      <c r="B91" s="160"/>
      <c r="C91" s="160"/>
      <c r="D91" s="160"/>
      <c r="E91" s="160"/>
      <c r="F91" s="160"/>
      <c r="G91" s="160"/>
      <c r="H91" s="160"/>
      <c r="I91" s="160"/>
    </row>
    <row r="92" spans="1:9" ht="15.75">
      <c r="A92" s="102"/>
      <c r="B92" s="155" t="s">
        <v>228</v>
      </c>
      <c r="C92" s="155"/>
      <c r="D92" s="155"/>
      <c r="E92" s="155"/>
      <c r="F92" s="155"/>
      <c r="G92" s="155"/>
      <c r="H92" s="119"/>
      <c r="I92" s="3"/>
    </row>
    <row r="93" spans="1:9">
      <c r="A93" s="106"/>
      <c r="B93" s="151" t="s">
        <v>6</v>
      </c>
      <c r="C93" s="151"/>
      <c r="D93" s="151"/>
      <c r="E93" s="151"/>
      <c r="F93" s="151"/>
      <c r="G93" s="151"/>
      <c r="H93" s="29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56" t="s">
        <v>7</v>
      </c>
      <c r="B95" s="156"/>
      <c r="C95" s="156"/>
      <c r="D95" s="156"/>
      <c r="E95" s="156"/>
      <c r="F95" s="156"/>
      <c r="G95" s="156"/>
      <c r="H95" s="156"/>
      <c r="I95" s="156"/>
    </row>
    <row r="96" spans="1:9" ht="15.75">
      <c r="A96" s="156" t="s">
        <v>8</v>
      </c>
      <c r="B96" s="156"/>
      <c r="C96" s="156"/>
      <c r="D96" s="156"/>
      <c r="E96" s="156"/>
      <c r="F96" s="156"/>
      <c r="G96" s="156"/>
      <c r="H96" s="156"/>
      <c r="I96" s="156"/>
    </row>
    <row r="97" spans="1:9" ht="15.75">
      <c r="A97" s="157" t="s">
        <v>59</v>
      </c>
      <c r="B97" s="157"/>
      <c r="C97" s="157"/>
      <c r="D97" s="157"/>
      <c r="E97" s="157"/>
      <c r="F97" s="157"/>
      <c r="G97" s="157"/>
      <c r="H97" s="157"/>
      <c r="I97" s="157"/>
    </row>
    <row r="98" spans="1:9" ht="15.75">
      <c r="A98" s="11"/>
    </row>
    <row r="99" spans="1:9" ht="15.75">
      <c r="A99" s="158" t="s">
        <v>9</v>
      </c>
      <c r="B99" s="158"/>
      <c r="C99" s="158"/>
      <c r="D99" s="158"/>
      <c r="E99" s="158"/>
      <c r="F99" s="158"/>
      <c r="G99" s="158"/>
      <c r="H99" s="158"/>
      <c r="I99" s="158"/>
    </row>
    <row r="100" spans="1:9" ht="15.75">
      <c r="A100" s="4"/>
    </row>
    <row r="101" spans="1:9" ht="15.75">
      <c r="B101" s="107" t="s">
        <v>10</v>
      </c>
      <c r="C101" s="150" t="s">
        <v>162</v>
      </c>
      <c r="D101" s="150"/>
      <c r="E101" s="150"/>
      <c r="F101" s="117"/>
      <c r="I101" s="105"/>
    </row>
    <row r="102" spans="1:9">
      <c r="A102" s="106"/>
      <c r="C102" s="151" t="s">
        <v>11</v>
      </c>
      <c r="D102" s="151"/>
      <c r="E102" s="151"/>
      <c r="F102" s="29"/>
      <c r="I102" s="104" t="s">
        <v>12</v>
      </c>
    </row>
    <row r="103" spans="1:9" ht="15.75">
      <c r="A103" s="30"/>
      <c r="C103" s="12"/>
      <c r="D103" s="12"/>
      <c r="G103" s="12"/>
      <c r="H103" s="12"/>
    </row>
    <row r="104" spans="1:9" ht="15.75">
      <c r="B104" s="107" t="s">
        <v>13</v>
      </c>
      <c r="C104" s="152"/>
      <c r="D104" s="152"/>
      <c r="E104" s="152"/>
      <c r="F104" s="118"/>
      <c r="I104" s="105"/>
    </row>
    <row r="105" spans="1:9">
      <c r="A105" s="106"/>
      <c r="C105" s="153" t="s">
        <v>11</v>
      </c>
      <c r="D105" s="153"/>
      <c r="E105" s="153"/>
      <c r="F105" s="106"/>
      <c r="I105" s="104" t="s">
        <v>12</v>
      </c>
    </row>
    <row r="106" spans="1:9" ht="15.75">
      <c r="A106" s="4" t="s">
        <v>14</v>
      </c>
    </row>
    <row r="107" spans="1:9">
      <c r="A107" s="154" t="s">
        <v>15</v>
      </c>
      <c r="B107" s="154"/>
      <c r="C107" s="154"/>
      <c r="D107" s="154"/>
      <c r="E107" s="154"/>
      <c r="F107" s="154"/>
      <c r="G107" s="154"/>
      <c r="H107" s="154"/>
      <c r="I107" s="154"/>
    </row>
    <row r="108" spans="1:9" ht="45" customHeight="1">
      <c r="A108" s="146" t="s">
        <v>16</v>
      </c>
      <c r="B108" s="146"/>
      <c r="C108" s="146"/>
      <c r="D108" s="146"/>
      <c r="E108" s="146"/>
      <c r="F108" s="146"/>
      <c r="G108" s="146"/>
      <c r="H108" s="146"/>
      <c r="I108" s="146"/>
    </row>
    <row r="109" spans="1:9" ht="30" customHeight="1">
      <c r="A109" s="146" t="s">
        <v>17</v>
      </c>
      <c r="B109" s="146"/>
      <c r="C109" s="146"/>
      <c r="D109" s="146"/>
      <c r="E109" s="146"/>
      <c r="F109" s="146"/>
      <c r="G109" s="146"/>
      <c r="H109" s="146"/>
      <c r="I109" s="146"/>
    </row>
    <row r="110" spans="1:9" ht="30" customHeight="1">
      <c r="A110" s="146" t="s">
        <v>21</v>
      </c>
      <c r="B110" s="146"/>
      <c r="C110" s="146"/>
      <c r="D110" s="146"/>
      <c r="E110" s="146"/>
      <c r="F110" s="146"/>
      <c r="G110" s="146"/>
      <c r="H110" s="146"/>
      <c r="I110" s="146"/>
    </row>
    <row r="111" spans="1:9" ht="15" customHeight="1">
      <c r="A111" s="146" t="s">
        <v>20</v>
      </c>
      <c r="B111" s="146"/>
      <c r="C111" s="146"/>
      <c r="D111" s="146"/>
      <c r="E111" s="146"/>
      <c r="F111" s="146"/>
      <c r="G111" s="146"/>
      <c r="H111" s="146"/>
      <c r="I111" s="146"/>
    </row>
  </sheetData>
  <mergeCells count="27">
    <mergeCell ref="A109:I109"/>
    <mergeCell ref="A110:I110"/>
    <mergeCell ref="A111:I111"/>
    <mergeCell ref="C101:E101"/>
    <mergeCell ref="C102:E102"/>
    <mergeCell ref="C104:E104"/>
    <mergeCell ref="C105:E105"/>
    <mergeCell ref="A107:I107"/>
    <mergeCell ref="A108:I108"/>
    <mergeCell ref="B92:G92"/>
    <mergeCell ref="B93:G93"/>
    <mergeCell ref="A95:I95"/>
    <mergeCell ref="A96:I96"/>
    <mergeCell ref="A97:I97"/>
    <mergeCell ref="A99:I99"/>
    <mergeCell ref="A15:I15"/>
    <mergeCell ref="A29:I29"/>
    <mergeCell ref="A45:I45"/>
    <mergeCell ref="A56:I56"/>
    <mergeCell ref="A76:I76"/>
    <mergeCell ref="A91:I9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09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7" width="22.5703125" customWidth="1"/>
  </cols>
  <sheetData>
    <row r="1" spans="1:7" ht="15.75">
      <c r="A1" s="32" t="s">
        <v>90</v>
      </c>
      <c r="G1" s="31"/>
    </row>
    <row r="2" spans="1:7" ht="15.75">
      <c r="A2" s="33" t="s">
        <v>60</v>
      </c>
    </row>
    <row r="3" spans="1:7" ht="15.75">
      <c r="A3" s="161" t="s">
        <v>91</v>
      </c>
      <c r="B3" s="161"/>
      <c r="C3" s="161"/>
      <c r="D3" s="161"/>
      <c r="E3" s="161"/>
      <c r="F3" s="161"/>
      <c r="G3" s="161"/>
    </row>
    <row r="4" spans="1:7" ht="31.5" customHeight="1">
      <c r="A4" s="162" t="s">
        <v>152</v>
      </c>
      <c r="B4" s="162"/>
      <c r="C4" s="162"/>
      <c r="D4" s="162"/>
      <c r="E4" s="162"/>
      <c r="F4" s="162"/>
      <c r="G4" s="162"/>
    </row>
    <row r="5" spans="1:7" ht="15.75">
      <c r="A5" s="161" t="s">
        <v>92</v>
      </c>
      <c r="B5" s="163"/>
      <c r="C5" s="163"/>
      <c r="D5" s="163"/>
      <c r="E5" s="163"/>
      <c r="F5" s="163"/>
      <c r="G5" s="163"/>
    </row>
    <row r="6" spans="1:7" ht="15.75">
      <c r="A6" s="2"/>
      <c r="B6" s="72"/>
      <c r="C6" s="72"/>
      <c r="D6" s="72"/>
      <c r="E6" s="72"/>
      <c r="F6" s="72"/>
      <c r="G6" s="35">
        <v>42704</v>
      </c>
    </row>
    <row r="7" spans="1:7" ht="15.75">
      <c r="B7" s="68"/>
      <c r="C7" s="68"/>
      <c r="D7" s="68"/>
      <c r="E7" s="3"/>
      <c r="F7" s="3"/>
    </row>
    <row r="8" spans="1:7" ht="78.75" customHeight="1">
      <c r="A8" s="164" t="s">
        <v>157</v>
      </c>
      <c r="B8" s="164"/>
      <c r="C8" s="164"/>
      <c r="D8" s="164"/>
      <c r="E8" s="164"/>
      <c r="F8" s="164"/>
      <c r="G8" s="164"/>
    </row>
    <row r="9" spans="1:7" ht="15.75">
      <c r="A9" s="4"/>
    </row>
    <row r="10" spans="1:7" ht="47.25" customHeight="1">
      <c r="A10" s="165" t="s">
        <v>158</v>
      </c>
      <c r="B10" s="165"/>
      <c r="C10" s="165"/>
      <c r="D10" s="165"/>
      <c r="E10" s="165"/>
      <c r="F10" s="165"/>
      <c r="G10" s="165"/>
    </row>
    <row r="11" spans="1:7" ht="15.75">
      <c r="A11" s="4"/>
    </row>
    <row r="12" spans="1:7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7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</row>
    <row r="14" spans="1:7">
      <c r="A14" s="166" t="s">
        <v>57</v>
      </c>
      <c r="B14" s="166"/>
      <c r="C14" s="166"/>
      <c r="D14" s="166"/>
      <c r="E14" s="166"/>
      <c r="F14" s="166"/>
      <c r="G14" s="166"/>
    </row>
    <row r="15" spans="1:7">
      <c r="A15" s="159" t="s">
        <v>4</v>
      </c>
      <c r="B15" s="159"/>
      <c r="C15" s="159"/>
      <c r="D15" s="159"/>
      <c r="E15" s="159"/>
      <c r="F15" s="159"/>
      <c r="G15" s="159"/>
    </row>
    <row r="16" spans="1:7" ht="31.5" customHeight="1">
      <c r="A16" s="34">
        <v>1</v>
      </c>
      <c r="B16" s="39" t="s">
        <v>93</v>
      </c>
      <c r="C16" s="51" t="s">
        <v>94</v>
      </c>
      <c r="D16" s="39" t="s">
        <v>95</v>
      </c>
      <c r="E16" s="34"/>
      <c r="F16" s="38">
        <v>187.48</v>
      </c>
      <c r="G16" s="34">
        <v>1340.48</v>
      </c>
    </row>
    <row r="17" spans="1:7" ht="31.5" customHeight="1">
      <c r="A17" s="34">
        <v>2</v>
      </c>
      <c r="B17" s="39" t="s">
        <v>134</v>
      </c>
      <c r="C17" s="51" t="s">
        <v>94</v>
      </c>
      <c r="D17" s="39" t="s">
        <v>96</v>
      </c>
      <c r="E17" s="34"/>
      <c r="F17" s="38">
        <v>187.48</v>
      </c>
      <c r="G17" s="34">
        <v>2680.96</v>
      </c>
    </row>
    <row r="18" spans="1:7" ht="31.5" customHeight="1">
      <c r="A18" s="34">
        <v>3</v>
      </c>
      <c r="B18" s="39" t="s">
        <v>135</v>
      </c>
      <c r="C18" s="51" t="s">
        <v>94</v>
      </c>
      <c r="D18" s="39" t="s">
        <v>136</v>
      </c>
      <c r="E18" s="34"/>
      <c r="F18" s="38">
        <v>539.30999999999995</v>
      </c>
      <c r="G18" s="34">
        <v>2372.96</v>
      </c>
    </row>
    <row r="19" spans="1:7" ht="15.75" hidden="1" customHeight="1">
      <c r="A19" s="34"/>
      <c r="B19" s="39" t="s">
        <v>103</v>
      </c>
      <c r="C19" s="51" t="s">
        <v>104</v>
      </c>
      <c r="D19" s="39" t="s">
        <v>105</v>
      </c>
      <c r="E19" s="34"/>
      <c r="F19" s="38">
        <v>181.91</v>
      </c>
      <c r="G19" s="34"/>
    </row>
    <row r="20" spans="1:7" ht="15.75" customHeight="1">
      <c r="A20" s="34">
        <v>4</v>
      </c>
      <c r="B20" s="39" t="s">
        <v>106</v>
      </c>
      <c r="C20" s="51" t="s">
        <v>94</v>
      </c>
      <c r="D20" s="39" t="s">
        <v>137</v>
      </c>
      <c r="E20" s="34"/>
      <c r="F20" s="38">
        <v>232.92</v>
      </c>
      <c r="G20" s="34">
        <v>28.51</v>
      </c>
    </row>
    <row r="21" spans="1:7" ht="15.75" customHeight="1">
      <c r="A21" s="34">
        <v>5</v>
      </c>
      <c r="B21" s="39" t="s">
        <v>107</v>
      </c>
      <c r="C21" s="51" t="s">
        <v>94</v>
      </c>
      <c r="D21" s="39" t="s">
        <v>138</v>
      </c>
      <c r="E21" s="34"/>
      <c r="F21" s="38">
        <v>231.03</v>
      </c>
      <c r="G21" s="82">
        <v>23.29</v>
      </c>
    </row>
    <row r="22" spans="1:7" ht="15.75" hidden="1" customHeight="1">
      <c r="A22" s="34"/>
      <c r="B22" s="39" t="s">
        <v>108</v>
      </c>
      <c r="C22" s="51" t="s">
        <v>51</v>
      </c>
      <c r="D22" s="39" t="s">
        <v>105</v>
      </c>
      <c r="E22" s="34"/>
      <c r="F22" s="38">
        <v>287.83999999999997</v>
      </c>
      <c r="G22" s="34"/>
    </row>
    <row r="23" spans="1:7" ht="15.75" hidden="1" customHeight="1">
      <c r="A23" s="34"/>
      <c r="B23" s="39" t="s">
        <v>109</v>
      </c>
      <c r="C23" s="51" t="s">
        <v>51</v>
      </c>
      <c r="D23" s="39" t="s">
        <v>105</v>
      </c>
      <c r="E23" s="34"/>
      <c r="F23" s="38">
        <v>47.34</v>
      </c>
      <c r="G23" s="34"/>
    </row>
    <row r="24" spans="1:7" ht="15.75" hidden="1" customHeight="1">
      <c r="A24" s="34"/>
      <c r="B24" s="39" t="s">
        <v>110</v>
      </c>
      <c r="C24" s="51" t="s">
        <v>51</v>
      </c>
      <c r="D24" s="39" t="s">
        <v>111</v>
      </c>
      <c r="E24" s="34"/>
      <c r="F24" s="38">
        <v>416.62</v>
      </c>
      <c r="G24" s="34"/>
    </row>
    <row r="25" spans="1:7" ht="15.75" hidden="1" customHeight="1">
      <c r="A25" s="34"/>
      <c r="B25" s="39" t="s">
        <v>112</v>
      </c>
      <c r="C25" s="51" t="s">
        <v>51</v>
      </c>
      <c r="D25" s="39" t="s">
        <v>52</v>
      </c>
      <c r="E25" s="34"/>
      <c r="F25" s="38">
        <v>231.03</v>
      </c>
      <c r="G25" s="34"/>
    </row>
    <row r="26" spans="1:7" ht="15.75" hidden="1" customHeight="1">
      <c r="A26" s="34"/>
      <c r="B26" s="39" t="s">
        <v>113</v>
      </c>
      <c r="C26" s="51" t="s">
        <v>51</v>
      </c>
      <c r="D26" s="39" t="s">
        <v>105</v>
      </c>
      <c r="E26" s="34"/>
      <c r="F26" s="38">
        <v>556.74</v>
      </c>
      <c r="G26" s="34"/>
    </row>
    <row r="27" spans="1:7" ht="15.75" customHeight="1">
      <c r="A27" s="52">
        <v>6</v>
      </c>
      <c r="B27" s="39" t="s">
        <v>62</v>
      </c>
      <c r="C27" s="51" t="s">
        <v>31</v>
      </c>
      <c r="D27" s="39" t="s">
        <v>130</v>
      </c>
      <c r="E27" s="20">
        <v>506.1</v>
      </c>
      <c r="F27" s="38">
        <v>157.18</v>
      </c>
      <c r="G27" s="21">
        <v>478.09</v>
      </c>
    </row>
    <row r="28" spans="1:7" ht="15.75" customHeight="1">
      <c r="A28" s="52">
        <v>7</v>
      </c>
      <c r="B28" s="84" t="s">
        <v>23</v>
      </c>
      <c r="C28" s="51" t="s">
        <v>24</v>
      </c>
      <c r="D28" s="84" t="s">
        <v>131</v>
      </c>
      <c r="E28" s="20">
        <v>506.1</v>
      </c>
      <c r="F28" s="38">
        <v>6.15</v>
      </c>
      <c r="G28" s="21">
        <v>12635.79</v>
      </c>
    </row>
    <row r="29" spans="1:7" ht="15.75" customHeight="1">
      <c r="A29" s="159" t="s">
        <v>88</v>
      </c>
      <c r="B29" s="159"/>
      <c r="C29" s="159"/>
      <c r="D29" s="159"/>
      <c r="E29" s="159"/>
      <c r="F29" s="159"/>
      <c r="G29" s="159"/>
    </row>
    <row r="30" spans="1:7" ht="15.75" hidden="1" customHeight="1">
      <c r="A30" s="52"/>
      <c r="B30" s="62" t="s">
        <v>27</v>
      </c>
      <c r="C30" s="62"/>
      <c r="D30" s="62"/>
      <c r="E30" s="62"/>
      <c r="F30" s="62"/>
      <c r="G30" s="21"/>
    </row>
    <row r="31" spans="1:7" ht="31.5" hidden="1" customHeight="1">
      <c r="A31" s="52">
        <v>2</v>
      </c>
      <c r="B31" s="39" t="s">
        <v>118</v>
      </c>
      <c r="C31" s="51" t="s">
        <v>99</v>
      </c>
      <c r="D31" s="39" t="s">
        <v>114</v>
      </c>
      <c r="E31" s="15">
        <v>2.31</v>
      </c>
      <c r="F31" s="38">
        <v>166.65</v>
      </c>
      <c r="G31" s="14">
        <v>187.63</v>
      </c>
    </row>
    <row r="32" spans="1:7" ht="31.5" hidden="1" customHeight="1">
      <c r="A32" s="52">
        <v>3</v>
      </c>
      <c r="B32" s="39" t="s">
        <v>117</v>
      </c>
      <c r="C32" s="51" t="s">
        <v>99</v>
      </c>
      <c r="D32" s="39" t="s">
        <v>115</v>
      </c>
      <c r="E32" s="14">
        <f>0.0024*3*4.5</f>
        <v>3.2399999999999998E-2</v>
      </c>
      <c r="F32" s="38">
        <v>276.48</v>
      </c>
      <c r="G32" s="21">
        <v>836.01</v>
      </c>
    </row>
    <row r="33" spans="1:7" ht="15.75" hidden="1" customHeight="1">
      <c r="A33" s="52">
        <v>4</v>
      </c>
      <c r="B33" s="39" t="s">
        <v>26</v>
      </c>
      <c r="C33" s="51" t="s">
        <v>99</v>
      </c>
      <c r="D33" s="39" t="s">
        <v>52</v>
      </c>
      <c r="E33" s="19">
        <v>0</v>
      </c>
      <c r="F33" s="38">
        <v>3228.73</v>
      </c>
      <c r="G33" s="21">
        <v>0</v>
      </c>
    </row>
    <row r="34" spans="1:7" ht="15.75" hidden="1" customHeight="1">
      <c r="A34" s="52">
        <v>5</v>
      </c>
      <c r="B34" s="39" t="s">
        <v>116</v>
      </c>
      <c r="C34" s="51" t="s">
        <v>29</v>
      </c>
      <c r="D34" s="39" t="s">
        <v>61</v>
      </c>
      <c r="E34" s="19">
        <v>0</v>
      </c>
      <c r="F34" s="38">
        <v>60.6</v>
      </c>
      <c r="G34" s="21">
        <v>0</v>
      </c>
    </row>
    <row r="35" spans="1:7" ht="15.75" hidden="1" customHeight="1">
      <c r="A35" s="52">
        <v>4</v>
      </c>
      <c r="B35" s="39" t="s">
        <v>63</v>
      </c>
      <c r="C35" s="51" t="s">
        <v>31</v>
      </c>
      <c r="D35" s="39" t="s">
        <v>65</v>
      </c>
      <c r="E35" s="14">
        <v>3.75</v>
      </c>
      <c r="F35" s="38">
        <v>204.52</v>
      </c>
      <c r="G35" s="14">
        <v>488.16</v>
      </c>
    </row>
    <row r="36" spans="1:7" ht="15.75" hidden="1" customHeight="1">
      <c r="A36" s="34">
        <v>8</v>
      </c>
      <c r="B36" s="39" t="s">
        <v>64</v>
      </c>
      <c r="C36" s="51" t="s">
        <v>30</v>
      </c>
      <c r="D36" s="39" t="s">
        <v>65</v>
      </c>
      <c r="E36" s="14"/>
      <c r="F36" s="38">
        <v>1214.74</v>
      </c>
      <c r="G36" s="14">
        <v>0</v>
      </c>
    </row>
    <row r="37" spans="1:7" ht="15.75" customHeight="1">
      <c r="A37" s="52"/>
      <c r="B37" s="60" t="s">
        <v>5</v>
      </c>
      <c r="C37" s="60"/>
      <c r="D37" s="60"/>
      <c r="E37" s="14"/>
      <c r="F37" s="15"/>
      <c r="G37" s="21"/>
    </row>
    <row r="38" spans="1:7" ht="15.75" customHeight="1">
      <c r="A38" s="40">
        <v>8</v>
      </c>
      <c r="B38" s="41" t="s">
        <v>25</v>
      </c>
      <c r="C38" s="51" t="s">
        <v>30</v>
      </c>
      <c r="D38" s="39"/>
      <c r="E38" s="14">
        <v>0</v>
      </c>
      <c r="F38" s="38">
        <v>1632.6</v>
      </c>
      <c r="G38" s="14">
        <v>1360.5</v>
      </c>
    </row>
    <row r="39" spans="1:7" ht="15.75" customHeight="1">
      <c r="A39" s="40">
        <v>9</v>
      </c>
      <c r="B39" s="41" t="s">
        <v>139</v>
      </c>
      <c r="C39" s="74" t="s">
        <v>28</v>
      </c>
      <c r="D39" s="39" t="s">
        <v>97</v>
      </c>
      <c r="E39" s="14">
        <v>0</v>
      </c>
      <c r="F39" s="38">
        <v>2247.8000000000002</v>
      </c>
      <c r="G39" s="14">
        <v>2094.84</v>
      </c>
    </row>
    <row r="40" spans="1:7" ht="15.75" customHeight="1">
      <c r="A40" s="40">
        <v>10</v>
      </c>
      <c r="B40" s="39" t="s">
        <v>66</v>
      </c>
      <c r="C40" s="51" t="s">
        <v>28</v>
      </c>
      <c r="D40" s="39" t="s">
        <v>98</v>
      </c>
      <c r="E40" s="14">
        <v>0</v>
      </c>
      <c r="F40" s="38">
        <v>374.95</v>
      </c>
      <c r="G40" s="14">
        <v>1805.41</v>
      </c>
    </row>
    <row r="41" spans="1:7" ht="47.25" customHeight="1">
      <c r="A41" s="40">
        <v>11</v>
      </c>
      <c r="B41" s="39" t="s">
        <v>84</v>
      </c>
      <c r="C41" s="51" t="s">
        <v>99</v>
      </c>
      <c r="D41" s="39" t="s">
        <v>140</v>
      </c>
      <c r="E41" s="14">
        <v>0</v>
      </c>
      <c r="F41" s="38">
        <v>6203.7</v>
      </c>
      <c r="G41" s="14">
        <v>1889.03</v>
      </c>
    </row>
    <row r="42" spans="1:7" ht="15.75" customHeight="1">
      <c r="A42" s="40">
        <v>12</v>
      </c>
      <c r="B42" s="39" t="s">
        <v>141</v>
      </c>
      <c r="C42" s="51" t="s">
        <v>99</v>
      </c>
      <c r="D42" s="39" t="s">
        <v>67</v>
      </c>
      <c r="E42" s="14">
        <v>0</v>
      </c>
      <c r="F42" s="38">
        <v>458.28</v>
      </c>
      <c r="G42" s="14">
        <v>179.42</v>
      </c>
    </row>
    <row r="43" spans="1:7" ht="15.75" customHeight="1">
      <c r="A43" s="40">
        <v>13</v>
      </c>
      <c r="B43" s="41" t="s">
        <v>68</v>
      </c>
      <c r="C43" s="74" t="s">
        <v>31</v>
      </c>
      <c r="D43" s="41"/>
      <c r="E43" s="14"/>
      <c r="F43" s="42">
        <v>853.06</v>
      </c>
      <c r="G43" s="14">
        <v>71.09</v>
      </c>
    </row>
    <row r="44" spans="1:7" ht="15.75" customHeight="1">
      <c r="A44" s="167" t="s">
        <v>159</v>
      </c>
      <c r="B44" s="168"/>
      <c r="C44" s="168"/>
      <c r="D44" s="168"/>
      <c r="E44" s="168"/>
      <c r="F44" s="168"/>
      <c r="G44" s="169"/>
    </row>
    <row r="45" spans="1:7" ht="15.75" hidden="1" customHeight="1">
      <c r="A45" s="52">
        <v>15</v>
      </c>
      <c r="B45" s="39" t="s">
        <v>119</v>
      </c>
      <c r="C45" s="51" t="s">
        <v>99</v>
      </c>
      <c r="D45" s="39" t="s">
        <v>41</v>
      </c>
      <c r="E45" s="21">
        <v>0.42</v>
      </c>
      <c r="F45" s="44">
        <v>865.61</v>
      </c>
      <c r="G45" s="22">
        <v>0</v>
      </c>
    </row>
    <row r="46" spans="1:7" ht="15.75" hidden="1" customHeight="1">
      <c r="A46" s="52">
        <v>16</v>
      </c>
      <c r="B46" s="39" t="s">
        <v>34</v>
      </c>
      <c r="C46" s="51" t="s">
        <v>99</v>
      </c>
      <c r="D46" s="39" t="s">
        <v>41</v>
      </c>
      <c r="E46" s="21">
        <v>1.35</v>
      </c>
      <c r="F46" s="44">
        <v>619.46</v>
      </c>
      <c r="G46" s="22">
        <v>0</v>
      </c>
    </row>
    <row r="47" spans="1:7" ht="15.75" hidden="1" customHeight="1">
      <c r="A47" s="52">
        <v>17</v>
      </c>
      <c r="B47" s="39" t="s">
        <v>35</v>
      </c>
      <c r="C47" s="51" t="s">
        <v>99</v>
      </c>
      <c r="D47" s="39" t="s">
        <v>41</v>
      </c>
      <c r="E47" s="21">
        <v>0.03</v>
      </c>
      <c r="F47" s="44">
        <v>619.46</v>
      </c>
      <c r="G47" s="22">
        <v>0</v>
      </c>
    </row>
    <row r="48" spans="1:7" ht="15.75" hidden="1" customHeight="1">
      <c r="A48" s="52">
        <v>18</v>
      </c>
      <c r="B48" s="39" t="s">
        <v>36</v>
      </c>
      <c r="C48" s="51" t="s">
        <v>99</v>
      </c>
      <c r="D48" s="39" t="s">
        <v>41</v>
      </c>
      <c r="E48" s="21">
        <v>0.33</v>
      </c>
      <c r="F48" s="44">
        <v>648.64</v>
      </c>
      <c r="G48" s="22">
        <v>0</v>
      </c>
    </row>
    <row r="49" spans="1:7" ht="15.75" hidden="1" customHeight="1">
      <c r="A49" s="52">
        <v>19</v>
      </c>
      <c r="B49" s="39" t="s">
        <v>32</v>
      </c>
      <c r="C49" s="51" t="s">
        <v>33</v>
      </c>
      <c r="D49" s="39" t="s">
        <v>41</v>
      </c>
      <c r="E49" s="21">
        <v>0.22</v>
      </c>
      <c r="F49" s="44">
        <v>77.84</v>
      </c>
      <c r="G49" s="14">
        <v>0</v>
      </c>
    </row>
    <row r="50" spans="1:7" ht="31.5" hidden="1" customHeight="1">
      <c r="A50" s="52">
        <v>12</v>
      </c>
      <c r="B50" s="39" t="s">
        <v>54</v>
      </c>
      <c r="C50" s="51" t="s">
        <v>99</v>
      </c>
      <c r="D50" s="39" t="s">
        <v>142</v>
      </c>
      <c r="E50" s="21">
        <v>0.22</v>
      </c>
      <c r="F50" s="44">
        <v>1297.28</v>
      </c>
      <c r="G50" s="22">
        <v>3114.5</v>
      </c>
    </row>
    <row r="51" spans="1:7" ht="31.5" customHeight="1">
      <c r="A51" s="52">
        <v>14</v>
      </c>
      <c r="B51" s="39" t="s">
        <v>100</v>
      </c>
      <c r="C51" s="51" t="s">
        <v>99</v>
      </c>
      <c r="D51" s="39" t="s">
        <v>41</v>
      </c>
      <c r="E51" s="21">
        <v>0.02</v>
      </c>
      <c r="F51" s="44">
        <v>1297.28</v>
      </c>
      <c r="G51" s="22">
        <v>880.07</v>
      </c>
    </row>
    <row r="52" spans="1:7" ht="31.5" customHeight="1">
      <c r="A52" s="52">
        <v>15</v>
      </c>
      <c r="B52" s="39" t="s">
        <v>101</v>
      </c>
      <c r="C52" s="51" t="s">
        <v>37</v>
      </c>
      <c r="D52" s="39" t="s">
        <v>41</v>
      </c>
      <c r="E52" s="21">
        <v>0.01</v>
      </c>
      <c r="F52" s="44">
        <v>2918.89</v>
      </c>
      <c r="G52" s="22">
        <v>350.27</v>
      </c>
    </row>
    <row r="53" spans="1:7" ht="15.75" hidden="1" customHeight="1">
      <c r="A53" s="52">
        <v>14</v>
      </c>
      <c r="B53" s="39" t="s">
        <v>38</v>
      </c>
      <c r="C53" s="51" t="s">
        <v>39</v>
      </c>
      <c r="D53" s="39" t="s">
        <v>41</v>
      </c>
      <c r="E53" s="21">
        <v>8</v>
      </c>
      <c r="F53" s="44">
        <v>6042.12</v>
      </c>
      <c r="G53" s="14">
        <v>70.33</v>
      </c>
    </row>
    <row r="54" spans="1:7" ht="15.75" hidden="1" customHeight="1">
      <c r="A54" s="52">
        <v>24</v>
      </c>
      <c r="B54" s="39" t="s">
        <v>40</v>
      </c>
      <c r="C54" s="51" t="s">
        <v>120</v>
      </c>
      <c r="D54" s="39" t="s">
        <v>69</v>
      </c>
      <c r="E54" s="21">
        <v>16</v>
      </c>
      <c r="F54" s="45">
        <v>70.209999999999994</v>
      </c>
      <c r="G54" s="14">
        <v>0</v>
      </c>
    </row>
    <row r="55" spans="1:7" ht="15.75" customHeight="1">
      <c r="A55" s="167" t="s">
        <v>160</v>
      </c>
      <c r="B55" s="168"/>
      <c r="C55" s="168"/>
      <c r="D55" s="168"/>
      <c r="E55" s="168"/>
      <c r="F55" s="168"/>
      <c r="G55" s="169"/>
    </row>
    <row r="56" spans="1:7" ht="15.75" customHeight="1">
      <c r="A56" s="64"/>
      <c r="B56" s="59" t="s">
        <v>42</v>
      </c>
      <c r="C56" s="18"/>
      <c r="D56" s="17"/>
      <c r="E56" s="17"/>
      <c r="F56" s="34"/>
      <c r="G56" s="21"/>
    </row>
    <row r="57" spans="1:7" ht="31.5" customHeight="1">
      <c r="A57" s="52">
        <v>16</v>
      </c>
      <c r="B57" s="39" t="s">
        <v>121</v>
      </c>
      <c r="C57" s="51" t="s">
        <v>94</v>
      </c>
      <c r="D57" s="39" t="s">
        <v>122</v>
      </c>
      <c r="E57" s="21">
        <v>0</v>
      </c>
      <c r="F57" s="44">
        <v>1654.04</v>
      </c>
      <c r="G57" s="22">
        <v>1830.36</v>
      </c>
    </row>
    <row r="58" spans="1:7" ht="15.75" customHeight="1">
      <c r="A58" s="52"/>
      <c r="B58" s="85" t="s">
        <v>43</v>
      </c>
      <c r="C58" s="18"/>
      <c r="D58" s="17"/>
      <c r="E58" s="17"/>
      <c r="F58" s="34"/>
      <c r="G58" s="21"/>
    </row>
    <row r="59" spans="1:7" ht="16.5" customHeight="1">
      <c r="A59" s="52">
        <v>17</v>
      </c>
      <c r="B59" s="78" t="s">
        <v>44</v>
      </c>
      <c r="C59" s="47" t="s">
        <v>120</v>
      </c>
      <c r="D59" s="46" t="s">
        <v>65</v>
      </c>
      <c r="E59" s="21">
        <v>0</v>
      </c>
      <c r="F59" s="44">
        <v>237.74</v>
      </c>
      <c r="G59" s="22">
        <v>237.74</v>
      </c>
    </row>
    <row r="60" spans="1:7" ht="15.75" hidden="1" customHeight="1">
      <c r="A60" s="34">
        <v>29</v>
      </c>
      <c r="B60" s="78" t="s">
        <v>45</v>
      </c>
      <c r="C60" s="47" t="s">
        <v>120</v>
      </c>
      <c r="D60" s="46" t="s">
        <v>65</v>
      </c>
      <c r="E60" s="21">
        <v>0</v>
      </c>
      <c r="F60" s="44">
        <v>81.510000000000005</v>
      </c>
      <c r="G60" s="22">
        <f>E60/2</f>
        <v>0</v>
      </c>
    </row>
    <row r="61" spans="1:7" ht="15.75" hidden="1" customHeight="1">
      <c r="A61" s="34">
        <v>8</v>
      </c>
      <c r="B61" s="78" t="s">
        <v>46</v>
      </c>
      <c r="C61" s="49" t="s">
        <v>123</v>
      </c>
      <c r="D61" s="46" t="s">
        <v>52</v>
      </c>
      <c r="E61" s="21">
        <v>13.47</v>
      </c>
      <c r="F61" s="44">
        <v>226.79</v>
      </c>
      <c r="G61" s="22">
        <f t="shared" ref="G61:G66" si="0">E61/2</f>
        <v>6.7350000000000003</v>
      </c>
    </row>
    <row r="62" spans="1:7" ht="15.75" hidden="1" customHeight="1">
      <c r="A62" s="34">
        <v>9</v>
      </c>
      <c r="B62" s="78" t="s">
        <v>47</v>
      </c>
      <c r="C62" s="47" t="s">
        <v>124</v>
      </c>
      <c r="D62" s="46"/>
      <c r="E62" s="21">
        <v>1.35</v>
      </c>
      <c r="F62" s="44">
        <v>176.61</v>
      </c>
      <c r="G62" s="22">
        <f t="shared" si="0"/>
        <v>0.67500000000000004</v>
      </c>
    </row>
    <row r="63" spans="1:7" ht="15.75" hidden="1" customHeight="1">
      <c r="A63" s="34">
        <v>10</v>
      </c>
      <c r="B63" s="78" t="s">
        <v>48</v>
      </c>
      <c r="C63" s="47" t="s">
        <v>75</v>
      </c>
      <c r="D63" s="46" t="s">
        <v>52</v>
      </c>
      <c r="E63" s="21">
        <v>0</v>
      </c>
      <c r="F63" s="44">
        <v>2217.7800000000002</v>
      </c>
      <c r="G63" s="22">
        <f t="shared" si="0"/>
        <v>0</v>
      </c>
    </row>
    <row r="64" spans="1:7" ht="15.75" hidden="1" customHeight="1">
      <c r="A64" s="34">
        <v>11</v>
      </c>
      <c r="B64" s="65" t="s">
        <v>125</v>
      </c>
      <c r="C64" s="47" t="s">
        <v>31</v>
      </c>
      <c r="D64" s="46"/>
      <c r="E64" s="13">
        <v>0</v>
      </c>
      <c r="F64" s="44">
        <v>42.67</v>
      </c>
      <c r="G64" s="22">
        <f t="shared" si="0"/>
        <v>0</v>
      </c>
    </row>
    <row r="65" spans="1:7" ht="15.75" hidden="1" customHeight="1">
      <c r="A65" s="34">
        <v>12</v>
      </c>
      <c r="B65" s="65" t="s">
        <v>126</v>
      </c>
      <c r="C65" s="47" t="s">
        <v>31</v>
      </c>
      <c r="D65" s="46"/>
      <c r="E65" s="13"/>
      <c r="F65" s="44">
        <v>39.81</v>
      </c>
      <c r="G65" s="22">
        <f t="shared" si="0"/>
        <v>0</v>
      </c>
    </row>
    <row r="66" spans="1:7" ht="15.75" hidden="1" customHeight="1">
      <c r="A66" s="34">
        <v>13</v>
      </c>
      <c r="B66" s="46" t="s">
        <v>55</v>
      </c>
      <c r="C66" s="47" t="s">
        <v>56</v>
      </c>
      <c r="D66" s="46" t="s">
        <v>52</v>
      </c>
      <c r="E66" s="13"/>
      <c r="F66" s="44">
        <v>53.62</v>
      </c>
      <c r="G66" s="22">
        <f t="shared" si="0"/>
        <v>0</v>
      </c>
    </row>
    <row r="67" spans="1:7" ht="15.75" customHeight="1">
      <c r="A67" s="64"/>
      <c r="B67" s="115" t="s">
        <v>102</v>
      </c>
      <c r="C67" s="115"/>
      <c r="D67" s="115"/>
      <c r="E67" s="115"/>
      <c r="F67" s="115"/>
      <c r="G67" s="21"/>
    </row>
    <row r="68" spans="1:7" ht="15.75" customHeight="1">
      <c r="A68" s="34">
        <v>18</v>
      </c>
      <c r="B68" s="110" t="s">
        <v>127</v>
      </c>
      <c r="C68" s="111"/>
      <c r="D68" s="112" t="s">
        <v>52</v>
      </c>
      <c r="E68" s="113">
        <v>0</v>
      </c>
      <c r="F68" s="114">
        <v>7101.4</v>
      </c>
      <c r="G68" s="21">
        <v>7101.4</v>
      </c>
    </row>
    <row r="69" spans="1:7" ht="15.75" hidden="1" customHeight="1">
      <c r="A69" s="34"/>
      <c r="B69" s="60" t="s">
        <v>70</v>
      </c>
      <c r="C69" s="60"/>
      <c r="D69" s="60"/>
      <c r="E69" s="21"/>
      <c r="F69" s="34"/>
      <c r="G69" s="21"/>
    </row>
    <row r="70" spans="1:7" ht="15.75" hidden="1" customHeight="1">
      <c r="A70" s="34">
        <v>17</v>
      </c>
      <c r="B70" s="46" t="s">
        <v>71</v>
      </c>
      <c r="C70" s="47" t="s">
        <v>73</v>
      </c>
      <c r="D70" s="46" t="s">
        <v>65</v>
      </c>
      <c r="E70" s="21"/>
      <c r="F70" s="44">
        <v>536.23</v>
      </c>
      <c r="G70" s="21">
        <v>0</v>
      </c>
    </row>
    <row r="71" spans="1:7" ht="15.75" hidden="1" customHeight="1">
      <c r="A71" s="34"/>
      <c r="B71" s="46" t="s">
        <v>72</v>
      </c>
      <c r="C71" s="47" t="s">
        <v>29</v>
      </c>
      <c r="D71" s="46" t="s">
        <v>65</v>
      </c>
      <c r="E71" s="21"/>
      <c r="F71" s="44">
        <v>911.85</v>
      </c>
      <c r="G71" s="21">
        <v>0</v>
      </c>
    </row>
    <row r="72" spans="1:7" ht="15.75" hidden="1" customHeight="1">
      <c r="A72" s="34"/>
      <c r="B72" s="46" t="s">
        <v>143</v>
      </c>
      <c r="C72" s="47" t="s">
        <v>29</v>
      </c>
      <c r="D72" s="46" t="s">
        <v>65</v>
      </c>
      <c r="E72" s="21"/>
      <c r="F72" s="44">
        <v>383.25</v>
      </c>
      <c r="G72" s="21">
        <v>0</v>
      </c>
    </row>
    <row r="73" spans="1:7" ht="15.75" hidden="1" customHeight="1">
      <c r="A73" s="34"/>
      <c r="B73" s="61" t="s">
        <v>74</v>
      </c>
      <c r="C73" s="47"/>
      <c r="D73" s="34"/>
      <c r="E73" s="21"/>
      <c r="F73" s="44"/>
      <c r="G73" s="21"/>
    </row>
    <row r="74" spans="1:7" ht="15.75" hidden="1" customHeight="1">
      <c r="A74" s="34">
        <v>39</v>
      </c>
      <c r="B74" s="48" t="s">
        <v>132</v>
      </c>
      <c r="C74" s="49" t="s">
        <v>75</v>
      </c>
      <c r="D74" s="78"/>
      <c r="E74" s="21"/>
      <c r="F74" s="45">
        <v>2949.85</v>
      </c>
      <c r="G74" s="21">
        <v>0</v>
      </c>
    </row>
    <row r="75" spans="1:7" ht="15.75" customHeight="1">
      <c r="A75" s="170" t="s">
        <v>161</v>
      </c>
      <c r="B75" s="171"/>
      <c r="C75" s="171"/>
      <c r="D75" s="171"/>
      <c r="E75" s="171"/>
      <c r="F75" s="171"/>
      <c r="G75" s="172"/>
    </row>
    <row r="76" spans="1:7" ht="15.75" customHeight="1">
      <c r="A76" s="34">
        <v>19</v>
      </c>
      <c r="B76" s="39" t="s">
        <v>128</v>
      </c>
      <c r="C76" s="47" t="s">
        <v>53</v>
      </c>
      <c r="D76" s="80"/>
      <c r="E76" s="17">
        <v>327.9</v>
      </c>
      <c r="F76" s="44">
        <v>2.2400000000000002</v>
      </c>
      <c r="G76" s="14">
        <v>4602.3</v>
      </c>
    </row>
    <row r="77" spans="1:7" ht="31.5" customHeight="1">
      <c r="A77" s="34">
        <v>20</v>
      </c>
      <c r="B77" s="46" t="s">
        <v>76</v>
      </c>
      <c r="C77" s="47"/>
      <c r="D77" s="81"/>
      <c r="E77" s="17"/>
      <c r="F77" s="44">
        <v>1.74</v>
      </c>
      <c r="G77" s="14">
        <v>3575</v>
      </c>
    </row>
    <row r="78" spans="1:7" ht="15.75" customHeight="1">
      <c r="A78" s="64"/>
      <c r="B78" s="50" t="s">
        <v>80</v>
      </c>
      <c r="C78" s="52"/>
      <c r="D78" s="17"/>
      <c r="E78" s="17"/>
      <c r="F78" s="21"/>
      <c r="G78" s="37">
        <f>SUM(G16+G17+G18+G20+G21+G27+G28+G38+G39+G40+G41+G42+G43+G51+G52+G57+G59+G68+G76+G77)</f>
        <v>45537.51</v>
      </c>
    </row>
    <row r="79" spans="1:7" ht="15.75" customHeight="1">
      <c r="B79" s="75" t="s">
        <v>58</v>
      </c>
      <c r="C79" s="75"/>
      <c r="D79" s="75"/>
      <c r="E79" s="75"/>
      <c r="F79" s="75"/>
      <c r="G79" s="75"/>
    </row>
    <row r="80" spans="1:7" ht="31.5" customHeight="1">
      <c r="A80" s="34">
        <v>21</v>
      </c>
      <c r="B80" s="76" t="s">
        <v>146</v>
      </c>
      <c r="C80" s="77" t="s">
        <v>147</v>
      </c>
      <c r="D80" s="75"/>
      <c r="E80" s="17"/>
      <c r="F80" s="44">
        <v>51.39</v>
      </c>
      <c r="G80" s="14">
        <v>51.39</v>
      </c>
    </row>
    <row r="81" spans="1:7" ht="15.75" customHeight="1">
      <c r="A81" s="34">
        <v>22</v>
      </c>
      <c r="B81" s="76" t="s">
        <v>148</v>
      </c>
      <c r="C81" s="52" t="s">
        <v>120</v>
      </c>
      <c r="D81" s="75"/>
      <c r="E81" s="17"/>
      <c r="F81" s="14">
        <v>470</v>
      </c>
      <c r="G81" s="14">
        <v>470</v>
      </c>
    </row>
    <row r="82" spans="1:7" ht="15.75" customHeight="1">
      <c r="A82" s="34">
        <v>23</v>
      </c>
      <c r="B82" s="92" t="s">
        <v>144</v>
      </c>
      <c r="C82" s="93" t="s">
        <v>145</v>
      </c>
      <c r="D82" s="75"/>
      <c r="E82" s="17"/>
      <c r="F82" s="14">
        <v>1063.47</v>
      </c>
      <c r="G82" s="14">
        <v>1063.47</v>
      </c>
    </row>
    <row r="83" spans="1:7" ht="15.75" customHeight="1">
      <c r="A83" s="34">
        <v>24</v>
      </c>
      <c r="B83" s="76" t="s">
        <v>133</v>
      </c>
      <c r="C83" s="83" t="s">
        <v>120</v>
      </c>
      <c r="D83" s="75"/>
      <c r="E83" s="17"/>
      <c r="F83" s="44">
        <v>50.68</v>
      </c>
      <c r="G83" s="14">
        <v>1824.48</v>
      </c>
    </row>
    <row r="84" spans="1:7" ht="15.75" customHeight="1">
      <c r="A84" s="34">
        <v>25</v>
      </c>
      <c r="B84" s="76" t="s">
        <v>149</v>
      </c>
      <c r="C84" s="77" t="s">
        <v>150</v>
      </c>
      <c r="D84" s="75"/>
      <c r="E84" s="17"/>
      <c r="F84" s="44">
        <v>746.05</v>
      </c>
      <c r="G84" s="14">
        <v>746.05</v>
      </c>
    </row>
    <row r="85" spans="1:7" ht="15.75" customHeight="1">
      <c r="A85" s="103">
        <v>26</v>
      </c>
      <c r="B85" s="94" t="s">
        <v>86</v>
      </c>
      <c r="C85" s="95" t="s">
        <v>73</v>
      </c>
      <c r="D85" s="75"/>
      <c r="E85" s="17"/>
      <c r="F85" s="44">
        <v>3800</v>
      </c>
      <c r="G85" s="14">
        <v>760</v>
      </c>
    </row>
    <row r="86" spans="1:7" ht="15.75" customHeight="1">
      <c r="A86" s="34"/>
      <c r="B86" s="57" t="s">
        <v>49</v>
      </c>
      <c r="C86" s="53"/>
      <c r="D86" s="66"/>
      <c r="E86" s="53">
        <v>1</v>
      </c>
      <c r="F86" s="53"/>
      <c r="G86" s="37">
        <f>SUM(G80:G85)</f>
        <v>4915.3900000000003</v>
      </c>
    </row>
    <row r="87" spans="1:7" ht="15.75" customHeight="1">
      <c r="A87" s="34"/>
      <c r="B87" s="63" t="s">
        <v>77</v>
      </c>
      <c r="C87" s="17"/>
      <c r="D87" s="17"/>
      <c r="E87" s="54"/>
      <c r="F87" s="55"/>
      <c r="G87" s="20">
        <v>0</v>
      </c>
    </row>
    <row r="88" spans="1:7" ht="15.75" customHeight="1">
      <c r="A88" s="67"/>
      <c r="B88" s="58" t="s">
        <v>50</v>
      </c>
      <c r="C88" s="43"/>
      <c r="D88" s="43"/>
      <c r="E88" s="43"/>
      <c r="F88" s="43"/>
      <c r="G88" s="56">
        <f>G78+G86</f>
        <v>50452.9</v>
      </c>
    </row>
    <row r="89" spans="1:7" ht="15.75">
      <c r="A89" s="160" t="s">
        <v>155</v>
      </c>
      <c r="B89" s="160"/>
      <c r="C89" s="160"/>
      <c r="D89" s="160"/>
      <c r="E89" s="160"/>
      <c r="F89" s="160"/>
      <c r="G89" s="160"/>
    </row>
    <row r="90" spans="1:7" ht="15.75">
      <c r="A90" s="73"/>
      <c r="B90" s="155" t="s">
        <v>156</v>
      </c>
      <c r="C90" s="155"/>
      <c r="D90" s="155"/>
      <c r="E90" s="155"/>
      <c r="F90" s="155"/>
      <c r="G90" s="3"/>
    </row>
    <row r="91" spans="1:7">
      <c r="A91" s="70"/>
      <c r="B91" s="151" t="s">
        <v>6</v>
      </c>
      <c r="C91" s="151"/>
      <c r="D91" s="151"/>
      <c r="E91" s="151"/>
      <c r="F91" s="151"/>
      <c r="G91" s="5"/>
    </row>
    <row r="92" spans="1:7">
      <c r="A92" s="10"/>
      <c r="B92" s="10"/>
      <c r="C92" s="10"/>
      <c r="D92" s="10"/>
      <c r="E92" s="10"/>
      <c r="F92" s="10"/>
      <c r="G92" s="10"/>
    </row>
    <row r="93" spans="1:7" ht="15.75">
      <c r="A93" s="156" t="s">
        <v>7</v>
      </c>
      <c r="B93" s="156"/>
      <c r="C93" s="156"/>
      <c r="D93" s="156"/>
      <c r="E93" s="156"/>
      <c r="F93" s="156"/>
      <c r="G93" s="156"/>
    </row>
    <row r="94" spans="1:7" ht="15.75">
      <c r="A94" s="156" t="s">
        <v>8</v>
      </c>
      <c r="B94" s="156"/>
      <c r="C94" s="156"/>
      <c r="D94" s="156"/>
      <c r="E94" s="156"/>
      <c r="F94" s="156"/>
      <c r="G94" s="156"/>
    </row>
    <row r="95" spans="1:7" ht="15.75">
      <c r="A95" s="157" t="s">
        <v>59</v>
      </c>
      <c r="B95" s="157"/>
      <c r="C95" s="157"/>
      <c r="D95" s="157"/>
      <c r="E95" s="157"/>
      <c r="F95" s="157"/>
      <c r="G95" s="157"/>
    </row>
    <row r="96" spans="1:7" ht="15.75">
      <c r="A96" s="11"/>
    </row>
    <row r="97" spans="1:7" ht="15.75">
      <c r="A97" s="158" t="s">
        <v>9</v>
      </c>
      <c r="B97" s="158"/>
      <c r="C97" s="158"/>
      <c r="D97" s="158"/>
      <c r="E97" s="158"/>
      <c r="F97" s="158"/>
      <c r="G97" s="158"/>
    </row>
    <row r="98" spans="1:7" ht="15.75">
      <c r="A98" s="4"/>
    </row>
    <row r="99" spans="1:7" ht="15.75">
      <c r="B99" s="68" t="s">
        <v>10</v>
      </c>
      <c r="C99" s="150" t="s">
        <v>162</v>
      </c>
      <c r="D99" s="150"/>
      <c r="E99" s="150"/>
      <c r="G99" s="71"/>
    </row>
    <row r="100" spans="1:7">
      <c r="A100" s="70"/>
      <c r="C100" s="151" t="s">
        <v>11</v>
      </c>
      <c r="D100" s="151"/>
      <c r="E100" s="151"/>
      <c r="G100" s="69" t="s">
        <v>12</v>
      </c>
    </row>
    <row r="101" spans="1:7" ht="15.75">
      <c r="A101" s="30"/>
      <c r="C101" s="12"/>
      <c r="D101" s="12"/>
      <c r="F101" s="12"/>
    </row>
    <row r="102" spans="1:7" ht="15.75">
      <c r="B102" s="68" t="s">
        <v>13</v>
      </c>
      <c r="C102" s="152"/>
      <c r="D102" s="152"/>
      <c r="E102" s="152"/>
      <c r="G102" s="71"/>
    </row>
    <row r="103" spans="1:7">
      <c r="A103" s="70"/>
      <c r="C103" s="153" t="s">
        <v>11</v>
      </c>
      <c r="D103" s="153"/>
      <c r="E103" s="153"/>
      <c r="G103" s="69" t="s">
        <v>12</v>
      </c>
    </row>
    <row r="104" spans="1:7" ht="15.75">
      <c r="A104" s="4" t="s">
        <v>14</v>
      </c>
    </row>
    <row r="105" spans="1:7">
      <c r="A105" s="154" t="s">
        <v>15</v>
      </c>
      <c r="B105" s="154"/>
      <c r="C105" s="154"/>
      <c r="D105" s="154"/>
      <c r="E105" s="154"/>
      <c r="F105" s="154"/>
      <c r="G105" s="154"/>
    </row>
    <row r="106" spans="1:7" ht="47.25" customHeight="1">
      <c r="A106" s="146" t="s">
        <v>16</v>
      </c>
      <c r="B106" s="146"/>
      <c r="C106" s="146"/>
      <c r="D106" s="146"/>
      <c r="E106" s="146"/>
      <c r="F106" s="146"/>
      <c r="G106" s="146"/>
    </row>
    <row r="107" spans="1:7" ht="31.5" customHeight="1">
      <c r="A107" s="146" t="s">
        <v>17</v>
      </c>
      <c r="B107" s="146"/>
      <c r="C107" s="146"/>
      <c r="D107" s="146"/>
      <c r="E107" s="146"/>
      <c r="F107" s="146"/>
      <c r="G107" s="146"/>
    </row>
    <row r="108" spans="1:7" ht="31.5" customHeight="1">
      <c r="A108" s="146" t="s">
        <v>21</v>
      </c>
      <c r="B108" s="146"/>
      <c r="C108" s="146"/>
      <c r="D108" s="146"/>
      <c r="E108" s="146"/>
      <c r="F108" s="146"/>
      <c r="G108" s="146"/>
    </row>
    <row r="109" spans="1:7" ht="15.75">
      <c r="A109" s="146" t="s">
        <v>20</v>
      </c>
      <c r="B109" s="146"/>
      <c r="C109" s="146"/>
      <c r="D109" s="146"/>
      <c r="E109" s="146"/>
      <c r="F109" s="146"/>
      <c r="G109" s="146"/>
    </row>
  </sheetData>
  <mergeCells count="27">
    <mergeCell ref="A106:G106"/>
    <mergeCell ref="A107:G107"/>
    <mergeCell ref="A108:G108"/>
    <mergeCell ref="A109:G109"/>
    <mergeCell ref="A97:G97"/>
    <mergeCell ref="C99:E99"/>
    <mergeCell ref="C100:E100"/>
    <mergeCell ref="C102:E102"/>
    <mergeCell ref="C103:E103"/>
    <mergeCell ref="A105:G105"/>
    <mergeCell ref="A95:G95"/>
    <mergeCell ref="A15:G15"/>
    <mergeCell ref="A29:G29"/>
    <mergeCell ref="A44:G44"/>
    <mergeCell ref="A55:G55"/>
    <mergeCell ref="A89:G89"/>
    <mergeCell ref="B90:F90"/>
    <mergeCell ref="B91:F91"/>
    <mergeCell ref="A93:G93"/>
    <mergeCell ref="A94:G94"/>
    <mergeCell ref="A75:G75"/>
    <mergeCell ref="A14:G14"/>
    <mergeCell ref="A3:G3"/>
    <mergeCell ref="A4:G4"/>
    <mergeCell ref="A5:G5"/>
    <mergeCell ref="A8:G8"/>
    <mergeCell ref="A10:G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106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32" t="s">
        <v>90</v>
      </c>
      <c r="G1" s="31"/>
      <c r="H1" s="1"/>
      <c r="I1" s="1"/>
      <c r="J1" s="1"/>
      <c r="K1" s="1"/>
    </row>
    <row r="2" spans="1:11" ht="15.75">
      <c r="A2" s="33" t="s">
        <v>60</v>
      </c>
      <c r="H2" s="2"/>
      <c r="I2" s="2"/>
      <c r="J2" s="2"/>
      <c r="K2" s="2"/>
    </row>
    <row r="3" spans="1:11" ht="15.75" customHeight="1">
      <c r="A3" s="161" t="s">
        <v>151</v>
      </c>
      <c r="B3" s="161"/>
      <c r="C3" s="161"/>
      <c r="D3" s="161"/>
      <c r="E3" s="161"/>
      <c r="F3" s="161"/>
      <c r="G3" s="161"/>
      <c r="H3" s="3"/>
      <c r="I3" s="3"/>
      <c r="J3" s="3"/>
    </row>
    <row r="4" spans="1:11" ht="31.5" customHeight="1">
      <c r="A4" s="162" t="s">
        <v>152</v>
      </c>
      <c r="B4" s="162"/>
      <c r="C4" s="162"/>
      <c r="D4" s="162"/>
      <c r="E4" s="162"/>
      <c r="F4" s="162"/>
      <c r="G4" s="162"/>
    </row>
    <row r="5" spans="1:11" ht="15.75">
      <c r="A5" s="161" t="s">
        <v>129</v>
      </c>
      <c r="B5" s="163"/>
      <c r="C5" s="163"/>
      <c r="D5" s="163"/>
      <c r="E5" s="163"/>
      <c r="F5" s="163"/>
      <c r="G5" s="163"/>
      <c r="H5" s="2"/>
      <c r="I5" s="2"/>
      <c r="J5" s="2"/>
      <c r="K5" s="2"/>
    </row>
    <row r="6" spans="1:11" ht="15.75">
      <c r="A6" s="2"/>
      <c r="B6" s="86"/>
      <c r="C6" s="86"/>
      <c r="D6" s="86"/>
      <c r="E6" s="86"/>
      <c r="F6" s="86"/>
      <c r="G6" s="35">
        <v>42735</v>
      </c>
      <c r="H6" s="2"/>
      <c r="I6" s="2"/>
      <c r="J6" s="2"/>
      <c r="K6" s="2"/>
    </row>
    <row r="7" spans="1:11" ht="15.75">
      <c r="B7" s="87"/>
      <c r="C7" s="87"/>
      <c r="D7" s="87"/>
      <c r="E7" s="3"/>
      <c r="F7" s="3"/>
      <c r="H7" s="3"/>
      <c r="I7" s="3"/>
      <c r="J7" s="3"/>
      <c r="K7" s="3"/>
    </row>
    <row r="8" spans="1:11" ht="87" customHeight="1">
      <c r="A8" s="164" t="s">
        <v>157</v>
      </c>
      <c r="B8" s="164"/>
      <c r="C8" s="164"/>
      <c r="D8" s="164"/>
      <c r="E8" s="164"/>
      <c r="F8" s="164"/>
      <c r="G8" s="164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165" t="s">
        <v>158</v>
      </c>
      <c r="B10" s="165"/>
      <c r="C10" s="165"/>
      <c r="D10" s="165"/>
      <c r="E10" s="165"/>
      <c r="F10" s="165"/>
      <c r="G10" s="165"/>
      <c r="H10" s="2"/>
      <c r="I10" s="2"/>
      <c r="J10" s="2"/>
      <c r="K10" s="2"/>
    </row>
    <row r="11" spans="1:11" ht="15.75">
      <c r="A11" s="4"/>
    </row>
    <row r="12" spans="1:11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1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  <c r="H13" s="8"/>
      <c r="I13" s="8"/>
      <c r="J13" s="8"/>
      <c r="K13" s="8"/>
    </row>
    <row r="14" spans="1:11" ht="15" customHeight="1">
      <c r="A14" s="166" t="s">
        <v>57</v>
      </c>
      <c r="B14" s="166"/>
      <c r="C14" s="166"/>
      <c r="D14" s="166"/>
      <c r="E14" s="166"/>
      <c r="F14" s="166"/>
      <c r="G14" s="166"/>
      <c r="H14" s="8"/>
      <c r="I14" s="8"/>
      <c r="J14" s="8"/>
      <c r="K14" s="8"/>
    </row>
    <row r="15" spans="1:11" ht="15" customHeight="1">
      <c r="A15" s="159" t="s">
        <v>4</v>
      </c>
      <c r="B15" s="159"/>
      <c r="C15" s="159"/>
      <c r="D15" s="159"/>
      <c r="E15" s="159"/>
      <c r="F15" s="159"/>
      <c r="G15" s="159"/>
      <c r="H15" s="8"/>
      <c r="I15" s="8"/>
      <c r="J15" s="8"/>
      <c r="K15" s="8"/>
    </row>
    <row r="16" spans="1:11" ht="30">
      <c r="A16" s="34">
        <v>1</v>
      </c>
      <c r="B16" s="39" t="s">
        <v>93</v>
      </c>
      <c r="C16" s="51" t="s">
        <v>94</v>
      </c>
      <c r="D16" s="39" t="s">
        <v>95</v>
      </c>
      <c r="E16" s="34"/>
      <c r="F16" s="38">
        <v>187.48</v>
      </c>
      <c r="G16" s="34">
        <v>1340.48</v>
      </c>
      <c r="H16" s="26"/>
      <c r="I16" s="8"/>
      <c r="J16" s="8"/>
      <c r="K16" s="8"/>
    </row>
    <row r="17" spans="1:11" ht="31.5" customHeight="1">
      <c r="A17" s="34">
        <v>2</v>
      </c>
      <c r="B17" s="39" t="s">
        <v>134</v>
      </c>
      <c r="C17" s="51" t="s">
        <v>94</v>
      </c>
      <c r="D17" s="39" t="s">
        <v>96</v>
      </c>
      <c r="E17" s="34"/>
      <c r="F17" s="38">
        <v>187.48</v>
      </c>
      <c r="G17" s="34">
        <v>2680.96</v>
      </c>
      <c r="H17" s="27"/>
      <c r="I17" s="8"/>
      <c r="J17" s="8"/>
      <c r="K17" s="8"/>
    </row>
    <row r="18" spans="1:11" ht="31.5" customHeight="1">
      <c r="A18" s="34">
        <v>3</v>
      </c>
      <c r="B18" s="39" t="s">
        <v>135</v>
      </c>
      <c r="C18" s="51" t="s">
        <v>94</v>
      </c>
      <c r="D18" s="39" t="s">
        <v>136</v>
      </c>
      <c r="E18" s="34"/>
      <c r="F18" s="38">
        <v>539.30999999999995</v>
      </c>
      <c r="G18" s="34">
        <v>2372.96</v>
      </c>
      <c r="H18" s="27"/>
      <c r="I18" s="8"/>
      <c r="J18" s="8"/>
      <c r="K18" s="8"/>
    </row>
    <row r="19" spans="1:11" ht="15.75" hidden="1" customHeight="1">
      <c r="A19" s="34"/>
      <c r="B19" s="39" t="s">
        <v>103</v>
      </c>
      <c r="C19" s="51" t="s">
        <v>104</v>
      </c>
      <c r="D19" s="39" t="s">
        <v>105</v>
      </c>
      <c r="E19" s="34"/>
      <c r="F19" s="38">
        <v>181.91</v>
      </c>
      <c r="G19" s="34"/>
      <c r="H19" s="27"/>
      <c r="I19" s="8"/>
      <c r="J19" s="8"/>
      <c r="K19" s="8"/>
    </row>
    <row r="20" spans="1:11" ht="13.5" customHeight="1">
      <c r="A20" s="34">
        <v>4</v>
      </c>
      <c r="B20" s="39" t="s">
        <v>106</v>
      </c>
      <c r="C20" s="51" t="s">
        <v>94</v>
      </c>
      <c r="D20" s="39" t="s">
        <v>137</v>
      </c>
      <c r="E20" s="34"/>
      <c r="F20" s="38">
        <v>232.92</v>
      </c>
      <c r="G20" s="34">
        <v>28.51</v>
      </c>
      <c r="H20" s="27"/>
      <c r="I20" s="8"/>
      <c r="J20" s="8"/>
      <c r="K20" s="8"/>
    </row>
    <row r="21" spans="1:11" ht="21" hidden="1" customHeight="1">
      <c r="A21" s="34">
        <v>5</v>
      </c>
      <c r="B21" s="39" t="s">
        <v>107</v>
      </c>
      <c r="C21" s="51" t="s">
        <v>94</v>
      </c>
      <c r="D21" s="39" t="s">
        <v>138</v>
      </c>
      <c r="E21" s="34"/>
      <c r="F21" s="38">
        <v>231.03</v>
      </c>
      <c r="G21" s="82">
        <v>0</v>
      </c>
      <c r="H21" s="27"/>
      <c r="I21" s="8"/>
      <c r="J21" s="8"/>
      <c r="K21" s="8"/>
    </row>
    <row r="22" spans="1:11" ht="15.75" hidden="1" customHeight="1">
      <c r="A22" s="34"/>
      <c r="B22" s="39" t="s">
        <v>108</v>
      </c>
      <c r="C22" s="51" t="s">
        <v>51</v>
      </c>
      <c r="D22" s="39" t="s">
        <v>105</v>
      </c>
      <c r="E22" s="34"/>
      <c r="F22" s="38">
        <v>287.83999999999997</v>
      </c>
      <c r="G22" s="82">
        <v>0</v>
      </c>
      <c r="H22" s="27"/>
      <c r="I22" s="8"/>
      <c r="J22" s="8"/>
      <c r="K22" s="8"/>
    </row>
    <row r="23" spans="1:11" ht="15.75" hidden="1" customHeight="1">
      <c r="A23" s="34"/>
      <c r="B23" s="39" t="s">
        <v>109</v>
      </c>
      <c r="C23" s="51" t="s">
        <v>51</v>
      </c>
      <c r="D23" s="39" t="s">
        <v>105</v>
      </c>
      <c r="E23" s="34"/>
      <c r="F23" s="38">
        <v>47.34</v>
      </c>
      <c r="G23" s="82">
        <v>0</v>
      </c>
      <c r="H23" s="27"/>
      <c r="I23" s="8"/>
      <c r="J23" s="8"/>
      <c r="K23" s="8"/>
    </row>
    <row r="24" spans="1:11" ht="15.75" hidden="1" customHeight="1">
      <c r="A24" s="34"/>
      <c r="B24" s="39" t="s">
        <v>110</v>
      </c>
      <c r="C24" s="51" t="s">
        <v>51</v>
      </c>
      <c r="D24" s="39" t="s">
        <v>111</v>
      </c>
      <c r="E24" s="34"/>
      <c r="F24" s="38">
        <v>416.62</v>
      </c>
      <c r="G24" s="82">
        <v>0</v>
      </c>
      <c r="H24" s="27"/>
      <c r="I24" s="8"/>
      <c r="J24" s="8"/>
      <c r="K24" s="8"/>
    </row>
    <row r="25" spans="1:11" ht="16.5" hidden="1" customHeight="1">
      <c r="A25" s="34"/>
      <c r="B25" s="39" t="s">
        <v>112</v>
      </c>
      <c r="C25" s="51" t="s">
        <v>51</v>
      </c>
      <c r="D25" s="39" t="s">
        <v>52</v>
      </c>
      <c r="E25" s="34"/>
      <c r="F25" s="38">
        <v>231.03</v>
      </c>
      <c r="G25" s="82">
        <v>0</v>
      </c>
      <c r="H25" s="27"/>
      <c r="I25" s="8"/>
      <c r="J25" s="8"/>
      <c r="K25" s="8"/>
    </row>
    <row r="26" spans="1:11" ht="16.5" hidden="1" customHeight="1">
      <c r="A26" s="34"/>
      <c r="B26" s="39" t="s">
        <v>113</v>
      </c>
      <c r="C26" s="51" t="s">
        <v>51</v>
      </c>
      <c r="D26" s="39" t="s">
        <v>105</v>
      </c>
      <c r="E26" s="34"/>
      <c r="F26" s="38">
        <v>556.74</v>
      </c>
      <c r="G26" s="82">
        <v>0</v>
      </c>
      <c r="H26" s="27"/>
      <c r="I26" s="8"/>
      <c r="J26" s="8"/>
      <c r="K26" s="8"/>
    </row>
    <row r="27" spans="1:11" ht="16.5" customHeight="1">
      <c r="A27" s="52">
        <v>6</v>
      </c>
      <c r="B27" s="39" t="s">
        <v>62</v>
      </c>
      <c r="C27" s="51" t="s">
        <v>31</v>
      </c>
      <c r="D27" s="39" t="s">
        <v>130</v>
      </c>
      <c r="E27" s="20">
        <v>506.1</v>
      </c>
      <c r="F27" s="38">
        <v>157.18</v>
      </c>
      <c r="G27" s="21">
        <v>478.09</v>
      </c>
      <c r="H27" s="27"/>
      <c r="I27" s="8"/>
      <c r="J27" s="8"/>
      <c r="K27" s="8"/>
    </row>
    <row r="28" spans="1:11" ht="15" customHeight="1">
      <c r="A28" s="52">
        <v>7</v>
      </c>
      <c r="B28" s="84" t="s">
        <v>23</v>
      </c>
      <c r="C28" s="51" t="s">
        <v>24</v>
      </c>
      <c r="D28" s="84" t="s">
        <v>131</v>
      </c>
      <c r="E28" s="20">
        <v>506.1</v>
      </c>
      <c r="F28" s="38">
        <v>6.15</v>
      </c>
      <c r="G28" s="21">
        <v>12635.79</v>
      </c>
      <c r="H28" s="27"/>
      <c r="I28" s="8"/>
      <c r="J28" s="8"/>
      <c r="K28" s="8"/>
    </row>
    <row r="29" spans="1:11" ht="15" customHeight="1">
      <c r="A29" s="159" t="s">
        <v>89</v>
      </c>
      <c r="B29" s="159"/>
      <c r="C29" s="159"/>
      <c r="D29" s="159"/>
      <c r="E29" s="159"/>
      <c r="F29" s="159"/>
      <c r="G29" s="159"/>
      <c r="H29" s="27"/>
      <c r="I29" s="8"/>
      <c r="J29" s="8"/>
      <c r="K29" s="8"/>
    </row>
    <row r="30" spans="1:11" ht="13.5" hidden="1" customHeight="1">
      <c r="A30" s="52"/>
      <c r="B30" s="62" t="s">
        <v>27</v>
      </c>
      <c r="C30" s="62"/>
      <c r="D30" s="62"/>
      <c r="E30" s="62"/>
      <c r="F30" s="62"/>
      <c r="G30" s="21"/>
      <c r="H30" s="27"/>
      <c r="I30" s="8"/>
      <c r="J30" s="8"/>
      <c r="K30" s="8"/>
    </row>
    <row r="31" spans="1:11" ht="45" hidden="1" customHeight="1">
      <c r="A31" s="52">
        <v>2</v>
      </c>
      <c r="B31" s="39" t="s">
        <v>118</v>
      </c>
      <c r="C31" s="51" t="s">
        <v>99</v>
      </c>
      <c r="D31" s="39" t="s">
        <v>114</v>
      </c>
      <c r="E31" s="15">
        <v>2.31</v>
      </c>
      <c r="F31" s="38">
        <v>166.65</v>
      </c>
      <c r="G31" s="14">
        <v>187.63</v>
      </c>
      <c r="H31" s="27"/>
      <c r="I31" s="8"/>
      <c r="J31" s="8"/>
      <c r="K31" s="8"/>
    </row>
    <row r="32" spans="1:11" ht="15" hidden="1" customHeight="1">
      <c r="A32" s="52">
        <v>3</v>
      </c>
      <c r="B32" s="39" t="s">
        <v>117</v>
      </c>
      <c r="C32" s="51" t="s">
        <v>99</v>
      </c>
      <c r="D32" s="39" t="s">
        <v>115</v>
      </c>
      <c r="E32" s="14">
        <f>0.0024*3*4.5</f>
        <v>3.2399999999999998E-2</v>
      </c>
      <c r="F32" s="38">
        <v>276.48</v>
      </c>
      <c r="G32" s="21">
        <v>836.01</v>
      </c>
      <c r="H32" s="27"/>
      <c r="I32" s="8"/>
      <c r="J32" s="8"/>
      <c r="K32" s="8"/>
    </row>
    <row r="33" spans="1:12" ht="15" hidden="1" customHeight="1">
      <c r="A33" s="52">
        <v>4</v>
      </c>
      <c r="B33" s="39" t="s">
        <v>26</v>
      </c>
      <c r="C33" s="51" t="s">
        <v>99</v>
      </c>
      <c r="D33" s="39" t="s">
        <v>52</v>
      </c>
      <c r="E33" s="19">
        <v>0</v>
      </c>
      <c r="F33" s="38">
        <v>3228.73</v>
      </c>
      <c r="G33" s="21">
        <v>0</v>
      </c>
      <c r="H33" s="27"/>
      <c r="I33" s="8"/>
    </row>
    <row r="34" spans="1:12" ht="24" hidden="1" customHeight="1">
      <c r="A34" s="52">
        <v>5</v>
      </c>
      <c r="B34" s="39" t="s">
        <v>116</v>
      </c>
      <c r="C34" s="51" t="s">
        <v>29</v>
      </c>
      <c r="D34" s="39" t="s">
        <v>61</v>
      </c>
      <c r="E34" s="19">
        <v>0</v>
      </c>
      <c r="F34" s="38">
        <v>60.6</v>
      </c>
      <c r="G34" s="21">
        <v>0</v>
      </c>
      <c r="H34" s="28"/>
    </row>
    <row r="35" spans="1:12" ht="24" hidden="1" customHeight="1">
      <c r="A35" s="52">
        <v>4</v>
      </c>
      <c r="B35" s="39" t="s">
        <v>63</v>
      </c>
      <c r="C35" s="51" t="s">
        <v>31</v>
      </c>
      <c r="D35" s="39" t="s">
        <v>65</v>
      </c>
      <c r="E35" s="14">
        <v>3.75</v>
      </c>
      <c r="F35" s="38">
        <v>204.52</v>
      </c>
      <c r="G35" s="14">
        <v>488.16</v>
      </c>
      <c r="H35" s="28"/>
    </row>
    <row r="36" spans="1:12" ht="15.75" hidden="1" customHeight="1">
      <c r="A36" s="34">
        <v>8</v>
      </c>
      <c r="B36" s="39" t="s">
        <v>64</v>
      </c>
      <c r="C36" s="51" t="s">
        <v>30</v>
      </c>
      <c r="D36" s="39" t="s">
        <v>65</v>
      </c>
      <c r="E36" s="14"/>
      <c r="F36" s="38">
        <v>1214.74</v>
      </c>
      <c r="G36" s="14">
        <v>0</v>
      </c>
      <c r="H36" s="28"/>
    </row>
    <row r="37" spans="1:12" ht="15.75" customHeight="1">
      <c r="A37" s="52"/>
      <c r="B37" s="60" t="s">
        <v>5</v>
      </c>
      <c r="C37" s="60"/>
      <c r="D37" s="60"/>
      <c r="E37" s="14"/>
      <c r="F37" s="15"/>
      <c r="G37" s="21"/>
      <c r="H37" s="28"/>
    </row>
    <row r="38" spans="1:12" ht="15.75" customHeight="1">
      <c r="A38" s="40">
        <v>8</v>
      </c>
      <c r="B38" s="41" t="s">
        <v>25</v>
      </c>
      <c r="C38" s="51" t="s">
        <v>30</v>
      </c>
      <c r="D38" s="39"/>
      <c r="E38" s="14">
        <v>0</v>
      </c>
      <c r="F38" s="38">
        <v>1632.6</v>
      </c>
      <c r="G38" s="14">
        <v>1360.5</v>
      </c>
      <c r="H38" s="28"/>
    </row>
    <row r="39" spans="1:12" ht="15.75" customHeight="1">
      <c r="A39" s="40">
        <v>9</v>
      </c>
      <c r="B39" s="41" t="s">
        <v>139</v>
      </c>
      <c r="C39" s="74" t="s">
        <v>28</v>
      </c>
      <c r="D39" s="39" t="s">
        <v>97</v>
      </c>
      <c r="E39" s="14">
        <v>0</v>
      </c>
      <c r="F39" s="38">
        <v>2247.8000000000002</v>
      </c>
      <c r="G39" s="14">
        <v>2094.84</v>
      </c>
      <c r="H39" s="28"/>
    </row>
    <row r="40" spans="1:12" ht="15.75" customHeight="1">
      <c r="A40" s="40">
        <v>10</v>
      </c>
      <c r="B40" s="39" t="s">
        <v>66</v>
      </c>
      <c r="C40" s="51" t="s">
        <v>28</v>
      </c>
      <c r="D40" s="39" t="s">
        <v>98</v>
      </c>
      <c r="E40" s="14">
        <v>0</v>
      </c>
      <c r="F40" s="38">
        <v>374.95</v>
      </c>
      <c r="G40" s="14">
        <v>1805.41</v>
      </c>
      <c r="H40" s="28"/>
    </row>
    <row r="41" spans="1:12" ht="47.25" customHeight="1">
      <c r="A41" s="40">
        <v>11</v>
      </c>
      <c r="B41" s="39" t="s">
        <v>84</v>
      </c>
      <c r="C41" s="51" t="s">
        <v>99</v>
      </c>
      <c r="D41" s="39" t="s">
        <v>140</v>
      </c>
      <c r="E41" s="14">
        <v>0</v>
      </c>
      <c r="F41" s="38">
        <v>6203.7</v>
      </c>
      <c r="G41" s="14">
        <v>1889.03</v>
      </c>
      <c r="H41" s="28"/>
      <c r="J41" s="23"/>
      <c r="K41" s="24"/>
      <c r="L41" s="25"/>
    </row>
    <row r="42" spans="1:12" ht="15.75" customHeight="1">
      <c r="A42" s="40">
        <v>12</v>
      </c>
      <c r="B42" s="39" t="s">
        <v>141</v>
      </c>
      <c r="C42" s="51" t="s">
        <v>99</v>
      </c>
      <c r="D42" s="39" t="s">
        <v>67</v>
      </c>
      <c r="E42" s="14">
        <v>0</v>
      </c>
      <c r="F42" s="38">
        <v>458.28</v>
      </c>
      <c r="G42" s="14">
        <v>179.42</v>
      </c>
      <c r="H42" s="28"/>
      <c r="J42" s="23"/>
      <c r="K42" s="24"/>
      <c r="L42" s="25"/>
    </row>
    <row r="43" spans="1:12" ht="14.25" customHeight="1">
      <c r="A43" s="40">
        <v>13</v>
      </c>
      <c r="B43" s="41" t="s">
        <v>68</v>
      </c>
      <c r="C43" s="74" t="s">
        <v>31</v>
      </c>
      <c r="D43" s="41"/>
      <c r="E43" s="14"/>
      <c r="F43" s="42">
        <v>853.06</v>
      </c>
      <c r="G43" s="14">
        <v>71.09</v>
      </c>
      <c r="H43" s="28"/>
      <c r="J43" s="23"/>
      <c r="K43" s="24"/>
      <c r="L43" s="25"/>
    </row>
    <row r="44" spans="1:12" ht="15.75" customHeight="1">
      <c r="A44" s="167" t="s">
        <v>159</v>
      </c>
      <c r="B44" s="168"/>
      <c r="C44" s="168"/>
      <c r="D44" s="168"/>
      <c r="E44" s="168"/>
      <c r="F44" s="168"/>
      <c r="G44" s="169"/>
      <c r="H44" s="28"/>
      <c r="J44" s="23"/>
      <c r="K44" s="24"/>
      <c r="L44" s="25"/>
    </row>
    <row r="45" spans="1:12" ht="17.25" hidden="1" customHeight="1">
      <c r="A45" s="52">
        <v>15</v>
      </c>
      <c r="B45" s="39" t="s">
        <v>119</v>
      </c>
      <c r="C45" s="51" t="s">
        <v>99</v>
      </c>
      <c r="D45" s="39" t="s">
        <v>41</v>
      </c>
      <c r="E45" s="21">
        <v>0.42</v>
      </c>
      <c r="F45" s="44">
        <v>865.61</v>
      </c>
      <c r="G45" s="22">
        <v>0</v>
      </c>
      <c r="H45" s="28"/>
      <c r="J45" s="23"/>
      <c r="K45" s="24"/>
      <c r="L45" s="25"/>
    </row>
    <row r="46" spans="1:12" ht="15" hidden="1" customHeight="1">
      <c r="A46" s="52">
        <v>16</v>
      </c>
      <c r="B46" s="39" t="s">
        <v>34</v>
      </c>
      <c r="C46" s="51" t="s">
        <v>99</v>
      </c>
      <c r="D46" s="39" t="s">
        <v>41</v>
      </c>
      <c r="E46" s="21">
        <v>1.35</v>
      </c>
      <c r="F46" s="44">
        <v>619.46</v>
      </c>
      <c r="G46" s="22">
        <v>0</v>
      </c>
      <c r="H46" s="28"/>
      <c r="J46" s="23"/>
      <c r="K46" s="24"/>
      <c r="L46" s="25"/>
    </row>
    <row r="47" spans="1:12" ht="13.5" hidden="1" customHeight="1">
      <c r="A47" s="52">
        <v>17</v>
      </c>
      <c r="B47" s="39" t="s">
        <v>35</v>
      </c>
      <c r="C47" s="51" t="s">
        <v>99</v>
      </c>
      <c r="D47" s="39" t="s">
        <v>41</v>
      </c>
      <c r="E47" s="21">
        <v>0.03</v>
      </c>
      <c r="F47" s="44">
        <v>619.46</v>
      </c>
      <c r="G47" s="22">
        <v>0</v>
      </c>
      <c r="H47" s="28"/>
      <c r="J47" s="23"/>
      <c r="K47" s="24"/>
      <c r="L47" s="25"/>
    </row>
    <row r="48" spans="1:12" ht="15.75" hidden="1" customHeight="1">
      <c r="A48" s="52">
        <v>18</v>
      </c>
      <c r="B48" s="39" t="s">
        <v>36</v>
      </c>
      <c r="C48" s="51" t="s">
        <v>99</v>
      </c>
      <c r="D48" s="39" t="s">
        <v>41</v>
      </c>
      <c r="E48" s="21">
        <v>0.33</v>
      </c>
      <c r="F48" s="44">
        <v>648.64</v>
      </c>
      <c r="G48" s="22">
        <v>0</v>
      </c>
      <c r="H48" s="28"/>
      <c r="J48" s="23"/>
      <c r="K48" s="24"/>
      <c r="L48" s="25"/>
    </row>
    <row r="49" spans="1:12" ht="15.75" hidden="1" customHeight="1">
      <c r="A49" s="52">
        <v>19</v>
      </c>
      <c r="B49" s="39" t="s">
        <v>32</v>
      </c>
      <c r="C49" s="51" t="s">
        <v>33</v>
      </c>
      <c r="D49" s="39" t="s">
        <v>41</v>
      </c>
      <c r="E49" s="21">
        <v>0.22</v>
      </c>
      <c r="F49" s="44">
        <v>77.84</v>
      </c>
      <c r="G49" s="14">
        <v>0</v>
      </c>
      <c r="H49" s="28"/>
      <c r="J49" s="23"/>
      <c r="K49" s="24"/>
      <c r="L49" s="25"/>
    </row>
    <row r="50" spans="1:12" ht="31.5" customHeight="1">
      <c r="A50" s="52">
        <v>12</v>
      </c>
      <c r="B50" s="39" t="s">
        <v>54</v>
      </c>
      <c r="C50" s="51" t="s">
        <v>99</v>
      </c>
      <c r="D50" s="39" t="s">
        <v>142</v>
      </c>
      <c r="E50" s="21">
        <v>0.22</v>
      </c>
      <c r="F50" s="44">
        <v>1297.28</v>
      </c>
      <c r="G50" s="22">
        <v>880.07</v>
      </c>
      <c r="H50" s="28"/>
      <c r="J50" s="23"/>
      <c r="K50" s="24"/>
      <c r="L50" s="25"/>
    </row>
    <row r="51" spans="1:12" ht="15.75" hidden="1" customHeight="1">
      <c r="A51" s="52">
        <v>14</v>
      </c>
      <c r="B51" s="39" t="s">
        <v>100</v>
      </c>
      <c r="C51" s="51" t="s">
        <v>99</v>
      </c>
      <c r="D51" s="39" t="s">
        <v>41</v>
      </c>
      <c r="E51" s="21">
        <v>0.02</v>
      </c>
      <c r="F51" s="44">
        <v>1297.28</v>
      </c>
      <c r="G51" s="22">
        <v>880.07</v>
      </c>
      <c r="H51" s="28"/>
      <c r="J51" s="23"/>
      <c r="K51" s="24"/>
      <c r="L51" s="25"/>
    </row>
    <row r="52" spans="1:12" ht="15.75" hidden="1" customHeight="1">
      <c r="A52" s="52">
        <v>15</v>
      </c>
      <c r="B52" s="39" t="s">
        <v>101</v>
      </c>
      <c r="C52" s="51" t="s">
        <v>37</v>
      </c>
      <c r="D52" s="39" t="s">
        <v>41</v>
      </c>
      <c r="E52" s="21">
        <v>0.01</v>
      </c>
      <c r="F52" s="44">
        <v>2918.89</v>
      </c>
      <c r="G52" s="22">
        <v>350.27</v>
      </c>
      <c r="H52" s="28"/>
      <c r="J52" s="23"/>
      <c r="K52" s="24"/>
      <c r="L52" s="25"/>
    </row>
    <row r="53" spans="1:12" ht="15.75" hidden="1" customHeight="1">
      <c r="A53" s="52">
        <v>14</v>
      </c>
      <c r="B53" s="39" t="s">
        <v>38</v>
      </c>
      <c r="C53" s="51" t="s">
        <v>39</v>
      </c>
      <c r="D53" s="39" t="s">
        <v>41</v>
      </c>
      <c r="E53" s="21">
        <v>8</v>
      </c>
      <c r="F53" s="44">
        <v>6042.12</v>
      </c>
      <c r="G53" s="14">
        <v>70.33</v>
      </c>
      <c r="H53" s="28"/>
      <c r="J53" s="23"/>
      <c r="K53" s="24"/>
      <c r="L53" s="25"/>
    </row>
    <row r="54" spans="1:12" ht="15.75" hidden="1" customHeight="1">
      <c r="A54" s="52">
        <v>24</v>
      </c>
      <c r="B54" s="39" t="s">
        <v>40</v>
      </c>
      <c r="C54" s="51" t="s">
        <v>120</v>
      </c>
      <c r="D54" s="39" t="s">
        <v>69</v>
      </c>
      <c r="E54" s="21">
        <v>16</v>
      </c>
      <c r="F54" s="45">
        <v>70.209999999999994</v>
      </c>
      <c r="G54" s="14">
        <v>0</v>
      </c>
      <c r="H54" s="28"/>
      <c r="J54" s="23"/>
      <c r="K54" s="24"/>
      <c r="L54" s="25"/>
    </row>
    <row r="55" spans="1:12" ht="15.75" customHeight="1">
      <c r="A55" s="167" t="s">
        <v>160</v>
      </c>
      <c r="B55" s="168"/>
      <c r="C55" s="168"/>
      <c r="D55" s="168"/>
      <c r="E55" s="168"/>
      <c r="F55" s="168"/>
      <c r="G55" s="169"/>
      <c r="H55" s="28"/>
      <c r="J55" s="23"/>
      <c r="K55" s="24"/>
      <c r="L55" s="25"/>
    </row>
    <row r="56" spans="1:12" ht="15.75" customHeight="1">
      <c r="A56" s="64"/>
      <c r="B56" s="59" t="s">
        <v>42</v>
      </c>
      <c r="C56" s="18"/>
      <c r="D56" s="17"/>
      <c r="E56" s="17"/>
      <c r="F56" s="34"/>
      <c r="G56" s="21"/>
      <c r="H56" s="28"/>
      <c r="J56" s="23"/>
      <c r="K56" s="24"/>
      <c r="L56" s="25"/>
    </row>
    <row r="57" spans="1:12" ht="31.5" customHeight="1">
      <c r="A57" s="52">
        <v>16</v>
      </c>
      <c r="B57" s="39" t="s">
        <v>121</v>
      </c>
      <c r="C57" s="51" t="s">
        <v>94</v>
      </c>
      <c r="D57" s="39" t="s">
        <v>122</v>
      </c>
      <c r="E57" s="21">
        <v>0</v>
      </c>
      <c r="F57" s="44">
        <v>1654.04</v>
      </c>
      <c r="G57" s="22">
        <v>1830.36</v>
      </c>
      <c r="H57" s="28"/>
      <c r="J57" s="23"/>
      <c r="K57" s="24"/>
      <c r="L57" s="25"/>
    </row>
    <row r="58" spans="1:12" ht="15.75" customHeight="1">
      <c r="A58" s="52"/>
      <c r="B58" s="85" t="s">
        <v>43</v>
      </c>
      <c r="C58" s="18"/>
      <c r="D58" s="17"/>
      <c r="E58" s="17"/>
      <c r="F58" s="34"/>
      <c r="G58" s="21"/>
      <c r="H58" s="28"/>
      <c r="J58" s="23"/>
      <c r="K58" s="24"/>
      <c r="L58" s="25"/>
    </row>
    <row r="59" spans="1:12" ht="15.75" customHeight="1">
      <c r="A59" s="52">
        <v>17</v>
      </c>
      <c r="B59" s="78" t="s">
        <v>44</v>
      </c>
      <c r="C59" s="47" t="s">
        <v>120</v>
      </c>
      <c r="D59" s="46" t="s">
        <v>65</v>
      </c>
      <c r="E59" s="21">
        <v>0</v>
      </c>
      <c r="F59" s="44">
        <v>237.74</v>
      </c>
      <c r="G59" s="22">
        <v>237.74</v>
      </c>
      <c r="H59" s="28"/>
      <c r="J59" s="23"/>
      <c r="K59" s="24"/>
      <c r="L59" s="25"/>
    </row>
    <row r="60" spans="1:12" ht="15.75" hidden="1" customHeight="1">
      <c r="A60" s="34">
        <v>29</v>
      </c>
      <c r="B60" s="78" t="s">
        <v>45</v>
      </c>
      <c r="C60" s="47" t="s">
        <v>120</v>
      </c>
      <c r="D60" s="46" t="s">
        <v>65</v>
      </c>
      <c r="E60" s="21">
        <v>0</v>
      </c>
      <c r="F60" s="44">
        <v>81.510000000000005</v>
      </c>
      <c r="G60" s="22">
        <v>0</v>
      </c>
      <c r="H60" s="28"/>
      <c r="J60" s="23"/>
      <c r="K60" s="24"/>
      <c r="L60" s="25"/>
    </row>
    <row r="61" spans="1:12" ht="16.5" hidden="1" customHeight="1">
      <c r="A61" s="34">
        <v>8</v>
      </c>
      <c r="B61" s="78" t="s">
        <v>46</v>
      </c>
      <c r="C61" s="49" t="s">
        <v>123</v>
      </c>
      <c r="D61" s="46" t="s">
        <v>52</v>
      </c>
      <c r="E61" s="21">
        <v>13.47</v>
      </c>
      <c r="F61" s="44">
        <v>226.79</v>
      </c>
      <c r="G61" s="22">
        <v>0</v>
      </c>
      <c r="H61" s="28"/>
      <c r="J61" s="23"/>
      <c r="K61" s="24"/>
      <c r="L61" s="25"/>
    </row>
    <row r="62" spans="1:12" ht="15" hidden="1" customHeight="1">
      <c r="A62" s="34">
        <v>9</v>
      </c>
      <c r="B62" s="78" t="s">
        <v>47</v>
      </c>
      <c r="C62" s="47" t="s">
        <v>124</v>
      </c>
      <c r="D62" s="46"/>
      <c r="E62" s="21">
        <v>1.35</v>
      </c>
      <c r="F62" s="44">
        <v>176.61</v>
      </c>
      <c r="G62" s="22">
        <v>0</v>
      </c>
      <c r="H62" s="28"/>
      <c r="J62" s="23"/>
      <c r="K62" s="24"/>
      <c r="L62" s="25"/>
    </row>
    <row r="63" spans="1:12" ht="15" hidden="1" customHeight="1">
      <c r="A63" s="34">
        <v>10</v>
      </c>
      <c r="B63" s="78" t="s">
        <v>48</v>
      </c>
      <c r="C63" s="47" t="s">
        <v>75</v>
      </c>
      <c r="D63" s="46" t="s">
        <v>52</v>
      </c>
      <c r="E63" s="21">
        <v>0</v>
      </c>
      <c r="F63" s="44">
        <v>2217.7800000000002</v>
      </c>
      <c r="G63" s="22">
        <v>0</v>
      </c>
      <c r="H63" s="28"/>
      <c r="J63" s="23"/>
    </row>
    <row r="64" spans="1:12" ht="15" hidden="1" customHeight="1">
      <c r="A64" s="34">
        <v>11</v>
      </c>
      <c r="B64" s="65" t="s">
        <v>125</v>
      </c>
      <c r="C64" s="47" t="s">
        <v>31</v>
      </c>
      <c r="D64" s="46"/>
      <c r="E64" s="13">
        <v>0</v>
      </c>
      <c r="F64" s="44">
        <v>42.67</v>
      </c>
      <c r="G64" s="22">
        <v>0</v>
      </c>
    </row>
    <row r="65" spans="1:20" ht="15" hidden="1" customHeight="1">
      <c r="A65" s="34">
        <v>12</v>
      </c>
      <c r="B65" s="65" t="s">
        <v>126</v>
      </c>
      <c r="C65" s="47" t="s">
        <v>31</v>
      </c>
      <c r="D65" s="46"/>
      <c r="E65" s="13"/>
      <c r="F65" s="44">
        <v>39.81</v>
      </c>
      <c r="G65" s="22">
        <v>0</v>
      </c>
    </row>
    <row r="66" spans="1:20" ht="15" hidden="1" customHeight="1">
      <c r="A66" s="34">
        <v>13</v>
      </c>
      <c r="B66" s="46" t="s">
        <v>55</v>
      </c>
      <c r="C66" s="47" t="s">
        <v>56</v>
      </c>
      <c r="D66" s="46" t="s">
        <v>52</v>
      </c>
      <c r="E66" s="13"/>
      <c r="F66" s="44">
        <v>53.62</v>
      </c>
      <c r="G66" s="22">
        <v>0</v>
      </c>
    </row>
    <row r="67" spans="1:20" ht="15.75" hidden="1" customHeight="1">
      <c r="A67" s="64"/>
      <c r="B67" s="173" t="s">
        <v>102</v>
      </c>
      <c r="C67" s="174"/>
      <c r="D67" s="174"/>
      <c r="E67" s="174"/>
      <c r="F67" s="175"/>
      <c r="G67" s="2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9"/>
    </row>
    <row r="68" spans="1:20" ht="15.75" hidden="1" customHeight="1">
      <c r="A68" s="34">
        <v>18</v>
      </c>
      <c r="B68" s="39" t="s">
        <v>127</v>
      </c>
      <c r="C68" s="79"/>
      <c r="D68" s="46" t="s">
        <v>52</v>
      </c>
      <c r="E68" s="21">
        <v>0</v>
      </c>
      <c r="F68" s="96">
        <v>7101.4</v>
      </c>
      <c r="G68" s="21">
        <v>0</v>
      </c>
      <c r="H68" s="30"/>
      <c r="I68" s="30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20" ht="15.75" hidden="1" customHeight="1">
      <c r="A69" s="34"/>
      <c r="B69" s="60" t="s">
        <v>70</v>
      </c>
      <c r="C69" s="60"/>
      <c r="D69" s="60"/>
      <c r="E69" s="21"/>
      <c r="F69" s="34"/>
      <c r="G69" s="21"/>
      <c r="H69" s="3"/>
      <c r="I69" s="3"/>
      <c r="J69" s="3"/>
      <c r="K69" s="3"/>
      <c r="L69" s="3"/>
      <c r="M69" s="3"/>
      <c r="N69" s="3"/>
      <c r="O69" s="3"/>
      <c r="Q69" s="3"/>
      <c r="R69" s="3"/>
      <c r="S69" s="3"/>
    </row>
    <row r="70" spans="1:20" ht="15.75" hidden="1" customHeight="1">
      <c r="A70" s="34">
        <v>17</v>
      </c>
      <c r="B70" s="46" t="s">
        <v>71</v>
      </c>
      <c r="C70" s="47" t="s">
        <v>73</v>
      </c>
      <c r="D70" s="46" t="s">
        <v>65</v>
      </c>
      <c r="E70" s="21"/>
      <c r="F70" s="44">
        <v>536.23</v>
      </c>
      <c r="G70" s="21">
        <v>0</v>
      </c>
      <c r="H70" s="5"/>
      <c r="I70" s="5"/>
      <c r="J70" s="5"/>
      <c r="K70" s="5"/>
      <c r="L70" s="5"/>
      <c r="M70" s="5"/>
      <c r="N70" s="5"/>
      <c r="O70" s="5"/>
      <c r="P70" s="153"/>
      <c r="Q70" s="153"/>
      <c r="R70" s="153"/>
      <c r="S70" s="153"/>
    </row>
    <row r="71" spans="1:20" ht="15.75" hidden="1" customHeight="1">
      <c r="A71" s="34"/>
      <c r="B71" s="46" t="s">
        <v>72</v>
      </c>
      <c r="C71" s="47" t="s">
        <v>29</v>
      </c>
      <c r="D71" s="46" t="s">
        <v>65</v>
      </c>
      <c r="E71" s="21"/>
      <c r="F71" s="44">
        <v>911.85</v>
      </c>
      <c r="G71" s="21">
        <v>0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20" ht="15.75" hidden="1" customHeight="1">
      <c r="A72" s="34"/>
      <c r="B72" s="46" t="s">
        <v>143</v>
      </c>
      <c r="C72" s="47" t="s">
        <v>29</v>
      </c>
      <c r="D72" s="46" t="s">
        <v>65</v>
      </c>
      <c r="E72" s="21"/>
      <c r="F72" s="44">
        <v>383.25</v>
      </c>
      <c r="G72" s="21">
        <v>0</v>
      </c>
    </row>
    <row r="73" spans="1:20" ht="15" hidden="1" customHeight="1">
      <c r="A73" s="34"/>
      <c r="B73" s="61" t="s">
        <v>74</v>
      </c>
      <c r="C73" s="47"/>
      <c r="D73" s="34"/>
      <c r="E73" s="21"/>
      <c r="F73" s="44"/>
      <c r="G73" s="21"/>
    </row>
    <row r="74" spans="1:20" ht="15.75" hidden="1" customHeight="1">
      <c r="A74" s="34">
        <v>39</v>
      </c>
      <c r="B74" s="48" t="s">
        <v>132</v>
      </c>
      <c r="C74" s="49" t="s">
        <v>75</v>
      </c>
      <c r="D74" s="78"/>
      <c r="E74" s="21"/>
      <c r="F74" s="45">
        <v>2949.85</v>
      </c>
      <c r="G74" s="21">
        <v>0</v>
      </c>
    </row>
    <row r="75" spans="1:20" ht="15" customHeight="1">
      <c r="A75" s="170" t="s">
        <v>161</v>
      </c>
      <c r="B75" s="171"/>
      <c r="C75" s="171"/>
      <c r="D75" s="171"/>
      <c r="E75" s="171"/>
      <c r="F75" s="171"/>
      <c r="G75" s="172"/>
    </row>
    <row r="76" spans="1:20" ht="15" customHeight="1">
      <c r="A76" s="34">
        <v>18</v>
      </c>
      <c r="B76" s="39" t="s">
        <v>128</v>
      </c>
      <c r="C76" s="47" t="s">
        <v>53</v>
      </c>
      <c r="D76" s="80"/>
      <c r="E76" s="17">
        <v>327.9</v>
      </c>
      <c r="F76" s="44">
        <v>2.2400000000000002</v>
      </c>
      <c r="G76" s="14">
        <v>4602.3</v>
      </c>
    </row>
    <row r="77" spans="1:20" ht="31.5" customHeight="1">
      <c r="A77" s="34">
        <v>19</v>
      </c>
      <c r="B77" s="46" t="s">
        <v>76</v>
      </c>
      <c r="C77" s="47"/>
      <c r="D77" s="81"/>
      <c r="E77" s="17"/>
      <c r="F77" s="44">
        <v>1.74</v>
      </c>
      <c r="G77" s="14">
        <v>3575</v>
      </c>
    </row>
    <row r="78" spans="1:20" ht="15.75" customHeight="1">
      <c r="A78" s="64"/>
      <c r="B78" s="50" t="s">
        <v>80</v>
      </c>
      <c r="C78" s="52"/>
      <c r="D78" s="17"/>
      <c r="E78" s="17"/>
      <c r="F78" s="21"/>
      <c r="G78" s="37">
        <f>SUM(G16+G17+G18+G20+G27+G28+G38+G39+G40+G41+G42+G43+G50+G57+G59+G76+G77)</f>
        <v>38062.550000000003</v>
      </c>
    </row>
    <row r="79" spans="1:20" ht="15" customHeight="1">
      <c r="B79" s="75" t="s">
        <v>58</v>
      </c>
      <c r="C79" s="75"/>
      <c r="D79" s="75"/>
      <c r="E79" s="75"/>
      <c r="F79" s="75"/>
      <c r="G79" s="75"/>
    </row>
    <row r="80" spans="1:20">
      <c r="A80" s="34">
        <v>20</v>
      </c>
      <c r="B80" s="92" t="s">
        <v>144</v>
      </c>
      <c r="C80" s="93" t="s">
        <v>145</v>
      </c>
      <c r="D80" s="44">
        <v>1</v>
      </c>
      <c r="E80" s="17"/>
      <c r="F80" s="44">
        <v>1063.47</v>
      </c>
      <c r="G80" s="14">
        <v>1063.47</v>
      </c>
    </row>
    <row r="81" spans="1:7" ht="15.75" customHeight="1">
      <c r="A81" s="34">
        <v>21</v>
      </c>
      <c r="B81" s="76" t="s">
        <v>133</v>
      </c>
      <c r="C81" s="83" t="s">
        <v>120</v>
      </c>
      <c r="D81" s="14">
        <v>36</v>
      </c>
      <c r="E81" s="17"/>
      <c r="F81" s="44">
        <v>50.68</v>
      </c>
      <c r="G81" s="14">
        <v>1824.48</v>
      </c>
    </row>
    <row r="82" spans="1:7" ht="16.5" customHeight="1">
      <c r="A82" s="34"/>
      <c r="B82" s="57" t="s">
        <v>49</v>
      </c>
      <c r="C82" s="53"/>
      <c r="D82" s="66"/>
      <c r="E82" s="53">
        <v>1</v>
      </c>
      <c r="F82" s="53"/>
      <c r="G82" s="37">
        <f>SUM(G80:G81)</f>
        <v>2887.95</v>
      </c>
    </row>
    <row r="83" spans="1:7" ht="15.75" customHeight="1">
      <c r="A83" s="34"/>
      <c r="B83" s="63" t="s">
        <v>77</v>
      </c>
      <c r="C83" s="17"/>
      <c r="D83" s="17"/>
      <c r="E83" s="54"/>
      <c r="F83" s="55"/>
      <c r="G83" s="20">
        <v>0</v>
      </c>
    </row>
    <row r="84" spans="1:7" ht="15.75" customHeight="1">
      <c r="A84" s="67"/>
      <c r="B84" s="58" t="s">
        <v>50</v>
      </c>
      <c r="C84" s="43"/>
      <c r="D84" s="43"/>
      <c r="E84" s="43"/>
      <c r="F84" s="43"/>
      <c r="G84" s="56">
        <f>G78+G82</f>
        <v>40950.5</v>
      </c>
    </row>
    <row r="85" spans="1:7" ht="15.75" customHeight="1">
      <c r="A85" s="160" t="s">
        <v>153</v>
      </c>
      <c r="B85" s="160"/>
      <c r="C85" s="160"/>
      <c r="D85" s="160"/>
      <c r="E85" s="160"/>
      <c r="F85" s="160"/>
      <c r="G85" s="160"/>
    </row>
    <row r="86" spans="1:7" ht="15.75">
      <c r="A86" s="91"/>
      <c r="B86" s="155" t="s">
        <v>154</v>
      </c>
      <c r="C86" s="155"/>
      <c r="D86" s="155"/>
      <c r="E86" s="155"/>
      <c r="F86" s="155"/>
      <c r="G86" s="3"/>
    </row>
    <row r="87" spans="1:7" ht="15.75" customHeight="1">
      <c r="A87" s="90"/>
      <c r="B87" s="151" t="s">
        <v>6</v>
      </c>
      <c r="C87" s="151"/>
      <c r="D87" s="151"/>
      <c r="E87" s="151"/>
      <c r="F87" s="151"/>
      <c r="G87" s="5"/>
    </row>
    <row r="88" spans="1:7">
      <c r="A88" s="10"/>
      <c r="B88" s="10"/>
      <c r="C88" s="10"/>
      <c r="D88" s="10"/>
      <c r="E88" s="10"/>
      <c r="F88" s="10"/>
      <c r="G88" s="10"/>
    </row>
    <row r="89" spans="1:7" ht="15.75" customHeight="1">
      <c r="A89" s="156" t="s">
        <v>7</v>
      </c>
      <c r="B89" s="156"/>
      <c r="C89" s="156"/>
      <c r="D89" s="156"/>
      <c r="E89" s="156"/>
      <c r="F89" s="156"/>
      <c r="G89" s="156"/>
    </row>
    <row r="90" spans="1:7" ht="15.75" customHeight="1">
      <c r="A90" s="156" t="s">
        <v>8</v>
      </c>
      <c r="B90" s="156"/>
      <c r="C90" s="156"/>
      <c r="D90" s="156"/>
      <c r="E90" s="156"/>
      <c r="F90" s="156"/>
      <c r="G90" s="156"/>
    </row>
    <row r="91" spans="1:7" ht="15.75">
      <c r="A91" s="157" t="s">
        <v>59</v>
      </c>
      <c r="B91" s="157"/>
      <c r="C91" s="157"/>
      <c r="D91" s="157"/>
      <c r="E91" s="157"/>
      <c r="F91" s="157"/>
      <c r="G91" s="157"/>
    </row>
    <row r="92" spans="1:7" ht="15.75">
      <c r="A92" s="11"/>
    </row>
    <row r="93" spans="1:7" ht="15.75">
      <c r="A93" s="158" t="s">
        <v>9</v>
      </c>
      <c r="B93" s="158"/>
      <c r="C93" s="158"/>
      <c r="D93" s="158"/>
      <c r="E93" s="158"/>
      <c r="F93" s="158"/>
      <c r="G93" s="158"/>
    </row>
    <row r="94" spans="1:7" ht="15.75" customHeight="1">
      <c r="A94" s="4"/>
    </row>
    <row r="95" spans="1:7" ht="15.75" customHeight="1">
      <c r="B95" s="87" t="s">
        <v>10</v>
      </c>
      <c r="C95" s="150" t="s">
        <v>162</v>
      </c>
      <c r="D95" s="150"/>
      <c r="E95" s="150"/>
      <c r="G95" s="89"/>
    </row>
    <row r="96" spans="1:7">
      <c r="A96" s="90"/>
      <c r="C96" s="151" t="s">
        <v>11</v>
      </c>
      <c r="D96" s="151"/>
      <c r="E96" s="151"/>
      <c r="G96" s="88" t="s">
        <v>12</v>
      </c>
    </row>
    <row r="97" spans="1:7" ht="15.75">
      <c r="A97" s="30"/>
      <c r="C97" s="12"/>
      <c r="D97" s="12"/>
      <c r="F97" s="12"/>
    </row>
    <row r="98" spans="1:7" ht="15.75">
      <c r="B98" s="87" t="s">
        <v>13</v>
      </c>
      <c r="C98" s="152"/>
      <c r="D98" s="152"/>
      <c r="E98" s="152"/>
      <c r="G98" s="89"/>
    </row>
    <row r="99" spans="1:7" ht="15.75" customHeight="1">
      <c r="A99" s="90"/>
      <c r="C99" s="153" t="s">
        <v>11</v>
      </c>
      <c r="D99" s="153"/>
      <c r="E99" s="153"/>
      <c r="G99" s="88" t="s">
        <v>12</v>
      </c>
    </row>
    <row r="100" spans="1:7" ht="15.75">
      <c r="A100" s="4" t="s">
        <v>14</v>
      </c>
    </row>
    <row r="101" spans="1:7" ht="15.75" customHeight="1">
      <c r="A101" s="154" t="s">
        <v>15</v>
      </c>
      <c r="B101" s="154"/>
      <c r="C101" s="154"/>
      <c r="D101" s="154"/>
      <c r="E101" s="154"/>
      <c r="F101" s="154"/>
      <c r="G101" s="154"/>
    </row>
    <row r="102" spans="1:7" ht="45" customHeight="1">
      <c r="A102" s="146" t="s">
        <v>16</v>
      </c>
      <c r="B102" s="146"/>
      <c r="C102" s="146"/>
      <c r="D102" s="146"/>
      <c r="E102" s="146"/>
      <c r="F102" s="146"/>
      <c r="G102" s="146"/>
    </row>
    <row r="103" spans="1:7" ht="30" customHeight="1">
      <c r="A103" s="146" t="s">
        <v>17</v>
      </c>
      <c r="B103" s="146"/>
      <c r="C103" s="146"/>
      <c r="D103" s="146"/>
      <c r="E103" s="146"/>
      <c r="F103" s="146"/>
      <c r="G103" s="146"/>
    </row>
    <row r="104" spans="1:7" ht="30" customHeight="1">
      <c r="A104" s="146" t="s">
        <v>21</v>
      </c>
      <c r="B104" s="146"/>
      <c r="C104" s="146"/>
      <c r="D104" s="146"/>
      <c r="E104" s="146"/>
      <c r="F104" s="146"/>
      <c r="G104" s="146"/>
    </row>
    <row r="105" spans="1:7" ht="15" customHeight="1">
      <c r="A105" s="146" t="s">
        <v>20</v>
      </c>
      <c r="B105" s="146"/>
      <c r="C105" s="146"/>
      <c r="D105" s="146"/>
      <c r="E105" s="146"/>
      <c r="F105" s="146"/>
      <c r="G105" s="146"/>
    </row>
    <row r="106" spans="1:7" ht="15.75" customHeight="1"/>
  </sheetData>
  <autoFilter ref="G12:G65"/>
  <mergeCells count="29">
    <mergeCell ref="A101:G101"/>
    <mergeCell ref="A102:G102"/>
    <mergeCell ref="A3:G3"/>
    <mergeCell ref="A4:G4"/>
    <mergeCell ref="A8:G8"/>
    <mergeCell ref="A10:G10"/>
    <mergeCell ref="A5:G5"/>
    <mergeCell ref="A75:G75"/>
    <mergeCell ref="P70:S70"/>
    <mergeCell ref="A29:G29"/>
    <mergeCell ref="A44:G44"/>
    <mergeCell ref="A55:G55"/>
    <mergeCell ref="B67:F67"/>
    <mergeCell ref="A103:G103"/>
    <mergeCell ref="A104:G104"/>
    <mergeCell ref="A105:G105"/>
    <mergeCell ref="A14:G14"/>
    <mergeCell ref="A15:G15"/>
    <mergeCell ref="A89:G89"/>
    <mergeCell ref="A93:G93"/>
    <mergeCell ref="A85:G85"/>
    <mergeCell ref="B86:F86"/>
    <mergeCell ref="B87:F87"/>
    <mergeCell ref="A90:G90"/>
    <mergeCell ref="A91:G91"/>
    <mergeCell ref="C99:E99"/>
    <mergeCell ref="C95:E95"/>
    <mergeCell ref="C96:E96"/>
    <mergeCell ref="C98:E98"/>
  </mergeCells>
  <pageMargins left="0.70866141732283472" right="0.23622047244094491" top="0.27559055118110237" bottom="7.874015748031496E-2" header="0.31496062992125984" footer="0.31496062992125984"/>
  <pageSetup paperSize="9" scale="60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10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2" t="s">
        <v>90</v>
      </c>
      <c r="I1" s="31"/>
    </row>
    <row r="2" spans="1:9" ht="15.75">
      <c r="A2" s="33" t="s">
        <v>60</v>
      </c>
    </row>
    <row r="3" spans="1:9" ht="15.75">
      <c r="A3" s="161" t="s">
        <v>190</v>
      </c>
      <c r="B3" s="161"/>
      <c r="C3" s="161"/>
      <c r="D3" s="161"/>
      <c r="E3" s="161"/>
      <c r="F3" s="161"/>
      <c r="G3" s="161"/>
      <c r="H3" s="161"/>
      <c r="I3" s="161"/>
    </row>
    <row r="4" spans="1:9" ht="31.5" customHeight="1">
      <c r="A4" s="162" t="s">
        <v>152</v>
      </c>
      <c r="B4" s="162"/>
      <c r="C4" s="162"/>
      <c r="D4" s="162"/>
      <c r="E4" s="162"/>
      <c r="F4" s="162"/>
      <c r="G4" s="162"/>
      <c r="H4" s="162"/>
      <c r="I4" s="162"/>
    </row>
    <row r="5" spans="1:9" ht="15.75">
      <c r="A5" s="161" t="s">
        <v>191</v>
      </c>
      <c r="B5" s="163"/>
      <c r="C5" s="163"/>
      <c r="D5" s="163"/>
      <c r="E5" s="163"/>
      <c r="F5" s="163"/>
      <c r="G5" s="163"/>
      <c r="H5" s="163"/>
      <c r="I5" s="163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5">
        <v>42429</v>
      </c>
    </row>
    <row r="7" spans="1:9" ht="15.75">
      <c r="B7" s="107"/>
      <c r="C7" s="107"/>
      <c r="D7" s="107"/>
      <c r="E7" s="3"/>
      <c r="F7" s="3"/>
      <c r="G7" s="3"/>
      <c r="H7" s="3"/>
    </row>
    <row r="8" spans="1:9" ht="78.75" customHeight="1">
      <c r="A8" s="164" t="s">
        <v>157</v>
      </c>
      <c r="B8" s="164"/>
      <c r="C8" s="164"/>
      <c r="D8" s="164"/>
      <c r="E8" s="164"/>
      <c r="F8" s="164"/>
      <c r="G8" s="164"/>
      <c r="H8" s="164"/>
      <c r="I8" s="164"/>
    </row>
    <row r="9" spans="1:9" ht="15.75">
      <c r="A9" s="4"/>
    </row>
    <row r="10" spans="1:9" ht="47.25" customHeight="1">
      <c r="A10" s="165" t="s">
        <v>158</v>
      </c>
      <c r="B10" s="165"/>
      <c r="C10" s="165"/>
      <c r="D10" s="165"/>
      <c r="E10" s="165"/>
      <c r="F10" s="165"/>
      <c r="G10" s="165"/>
      <c r="H10" s="165"/>
      <c r="I10" s="165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6" t="s">
        <v>57</v>
      </c>
      <c r="B14" s="166"/>
      <c r="C14" s="166"/>
      <c r="D14" s="166"/>
      <c r="E14" s="166"/>
      <c r="F14" s="166"/>
      <c r="G14" s="166"/>
      <c r="H14" s="166"/>
      <c r="I14" s="166"/>
    </row>
    <row r="15" spans="1:9">
      <c r="A15" s="159" t="s">
        <v>4</v>
      </c>
      <c r="B15" s="159"/>
      <c r="C15" s="159"/>
      <c r="D15" s="159"/>
      <c r="E15" s="159"/>
      <c r="F15" s="159"/>
      <c r="G15" s="159"/>
      <c r="H15" s="159"/>
      <c r="I15" s="159"/>
    </row>
    <row r="16" spans="1:9" ht="31.5" customHeight="1">
      <c r="A16" s="34">
        <v>1</v>
      </c>
      <c r="B16" s="120" t="s">
        <v>93</v>
      </c>
      <c r="C16" s="121" t="s">
        <v>94</v>
      </c>
      <c r="D16" s="120" t="s">
        <v>95</v>
      </c>
      <c r="E16" s="122">
        <v>55</v>
      </c>
      <c r="F16" s="123">
        <f>SUM(E16*156/100)</f>
        <v>85.8</v>
      </c>
      <c r="G16" s="123">
        <v>187.48</v>
      </c>
      <c r="H16" s="124">
        <f t="shared" ref="H16:H26" si="0">SUM(F16*G16/1000)</f>
        <v>16.085783999999997</v>
      </c>
      <c r="I16" s="14">
        <f>F16/12*G16</f>
        <v>1340.4819999999997</v>
      </c>
    </row>
    <row r="17" spans="1:9" ht="31.5" customHeight="1">
      <c r="A17" s="34">
        <v>2</v>
      </c>
      <c r="B17" s="120" t="s">
        <v>134</v>
      </c>
      <c r="C17" s="121" t="s">
        <v>94</v>
      </c>
      <c r="D17" s="120" t="s">
        <v>96</v>
      </c>
      <c r="E17" s="122">
        <v>165</v>
      </c>
      <c r="F17" s="123">
        <f>SUM(E17*104/100)</f>
        <v>171.6</v>
      </c>
      <c r="G17" s="123">
        <v>187.48</v>
      </c>
      <c r="H17" s="124">
        <f t="shared" si="0"/>
        <v>32.171567999999994</v>
      </c>
      <c r="I17" s="14">
        <f>F17/12*G17</f>
        <v>2680.9639999999995</v>
      </c>
    </row>
    <row r="18" spans="1:9" ht="31.5" customHeight="1">
      <c r="A18" s="34">
        <v>3</v>
      </c>
      <c r="B18" s="120" t="s">
        <v>135</v>
      </c>
      <c r="C18" s="121" t="s">
        <v>94</v>
      </c>
      <c r="D18" s="120" t="s">
        <v>136</v>
      </c>
      <c r="E18" s="122">
        <f>SUM(E16+E17)</f>
        <v>220</v>
      </c>
      <c r="F18" s="123">
        <f>SUM(E18*24/100)</f>
        <v>52.8</v>
      </c>
      <c r="G18" s="123">
        <v>539.30999999999995</v>
      </c>
      <c r="H18" s="124">
        <f t="shared" si="0"/>
        <v>28.475567999999996</v>
      </c>
      <c r="I18" s="14">
        <f>F18/12*G18</f>
        <v>2372.9639999999995</v>
      </c>
    </row>
    <row r="19" spans="1:9" ht="15.75" hidden="1" customHeight="1">
      <c r="A19" s="34">
        <v>4</v>
      </c>
      <c r="B19" s="120" t="s">
        <v>103</v>
      </c>
      <c r="C19" s="121" t="s">
        <v>104</v>
      </c>
      <c r="D19" s="120" t="s">
        <v>105</v>
      </c>
      <c r="E19" s="122">
        <v>32.4</v>
      </c>
      <c r="F19" s="123">
        <f>SUM(E19/10)</f>
        <v>3.2399999999999998</v>
      </c>
      <c r="G19" s="123">
        <v>181.91</v>
      </c>
      <c r="H19" s="124">
        <f t="shared" si="0"/>
        <v>0.58938839999999992</v>
      </c>
      <c r="I19" s="14">
        <v>0</v>
      </c>
    </row>
    <row r="20" spans="1:9" ht="15.75" customHeight="1">
      <c r="A20" s="34">
        <v>4</v>
      </c>
      <c r="B20" s="120" t="s">
        <v>106</v>
      </c>
      <c r="C20" s="121" t="s">
        <v>94</v>
      </c>
      <c r="D20" s="120" t="s">
        <v>137</v>
      </c>
      <c r="E20" s="122">
        <v>12.24</v>
      </c>
      <c r="F20" s="123">
        <f>SUM(E20*12/100)</f>
        <v>1.4687999999999999</v>
      </c>
      <c r="G20" s="123">
        <v>232.92</v>
      </c>
      <c r="H20" s="124">
        <f t="shared" si="0"/>
        <v>0.342112896</v>
      </c>
      <c r="I20" s="14">
        <f>F20/12*G20</f>
        <v>28.509407999999997</v>
      </c>
    </row>
    <row r="21" spans="1:9" ht="15.75" hidden="1" customHeight="1">
      <c r="A21" s="34">
        <v>5</v>
      </c>
      <c r="B21" s="120" t="s">
        <v>107</v>
      </c>
      <c r="C21" s="121" t="s">
        <v>94</v>
      </c>
      <c r="D21" s="120" t="s">
        <v>138</v>
      </c>
      <c r="E21" s="122">
        <v>10.08</v>
      </c>
      <c r="F21" s="123">
        <f>SUM(E21*6/100)</f>
        <v>0.6048</v>
      </c>
      <c r="G21" s="123">
        <v>231.03</v>
      </c>
      <c r="H21" s="124">
        <f t="shared" si="0"/>
        <v>0.13972694399999999</v>
      </c>
      <c r="I21" s="14">
        <f>F21/6*G21</f>
        <v>23.287824000000001</v>
      </c>
    </row>
    <row r="22" spans="1:9" ht="15.75" hidden="1" customHeight="1">
      <c r="A22" s="34">
        <v>7</v>
      </c>
      <c r="B22" s="120" t="s">
        <v>108</v>
      </c>
      <c r="C22" s="121" t="s">
        <v>51</v>
      </c>
      <c r="D22" s="120" t="s">
        <v>105</v>
      </c>
      <c r="E22" s="122">
        <v>293.76</v>
      </c>
      <c r="F22" s="123">
        <f>SUM(E22/100)</f>
        <v>2.9375999999999998</v>
      </c>
      <c r="G22" s="123">
        <v>287.83999999999997</v>
      </c>
      <c r="H22" s="124">
        <f t="shared" si="0"/>
        <v>0.84555878399999984</v>
      </c>
      <c r="I22" s="14">
        <v>0</v>
      </c>
    </row>
    <row r="23" spans="1:9" ht="15.75" hidden="1" customHeight="1">
      <c r="A23" s="34">
        <v>8</v>
      </c>
      <c r="B23" s="120" t="s">
        <v>109</v>
      </c>
      <c r="C23" s="121" t="s">
        <v>51</v>
      </c>
      <c r="D23" s="120" t="s">
        <v>105</v>
      </c>
      <c r="E23" s="125">
        <v>17.64</v>
      </c>
      <c r="F23" s="123">
        <f>SUM(E23/100)</f>
        <v>0.1764</v>
      </c>
      <c r="G23" s="123">
        <v>47.34</v>
      </c>
      <c r="H23" s="124">
        <f t="shared" si="0"/>
        <v>8.3507760000000007E-3</v>
      </c>
      <c r="I23" s="14">
        <v>0</v>
      </c>
    </row>
    <row r="24" spans="1:9" ht="15.75" hidden="1" customHeight="1">
      <c r="A24" s="34">
        <v>9</v>
      </c>
      <c r="B24" s="120" t="s">
        <v>110</v>
      </c>
      <c r="C24" s="121" t="s">
        <v>51</v>
      </c>
      <c r="D24" s="120" t="s">
        <v>111</v>
      </c>
      <c r="E24" s="122">
        <v>10.8</v>
      </c>
      <c r="F24" s="123">
        <f>E24/100</f>
        <v>0.10800000000000001</v>
      </c>
      <c r="G24" s="123">
        <v>416.62</v>
      </c>
      <c r="H24" s="124">
        <f t="shared" si="0"/>
        <v>4.4994960000000007E-2</v>
      </c>
      <c r="I24" s="14">
        <v>0</v>
      </c>
    </row>
    <row r="25" spans="1:9" ht="15.75" hidden="1" customHeight="1">
      <c r="A25" s="34">
        <v>10</v>
      </c>
      <c r="B25" s="120" t="s">
        <v>112</v>
      </c>
      <c r="C25" s="121" t="s">
        <v>51</v>
      </c>
      <c r="D25" s="120" t="s">
        <v>52</v>
      </c>
      <c r="E25" s="122">
        <v>12.6</v>
      </c>
      <c r="F25" s="123">
        <f>E25/100</f>
        <v>0.126</v>
      </c>
      <c r="G25" s="123">
        <v>231.03</v>
      </c>
      <c r="H25" s="124">
        <f>G25*F25/1000</f>
        <v>2.9109780000000002E-2</v>
      </c>
      <c r="I25" s="14">
        <v>0</v>
      </c>
    </row>
    <row r="26" spans="1:9" ht="15.75" hidden="1" customHeight="1">
      <c r="A26" s="34">
        <v>11</v>
      </c>
      <c r="B26" s="120" t="s">
        <v>113</v>
      </c>
      <c r="C26" s="121" t="s">
        <v>51</v>
      </c>
      <c r="D26" s="120" t="s">
        <v>105</v>
      </c>
      <c r="E26" s="122">
        <v>14.4</v>
      </c>
      <c r="F26" s="123">
        <f>SUM(E26/100)</f>
        <v>0.14400000000000002</v>
      </c>
      <c r="G26" s="123">
        <v>556.74</v>
      </c>
      <c r="H26" s="124">
        <f t="shared" si="0"/>
        <v>8.0170560000000016E-2</v>
      </c>
      <c r="I26" s="14">
        <v>0</v>
      </c>
    </row>
    <row r="27" spans="1:9" ht="15.75" customHeight="1">
      <c r="A27" s="34">
        <v>5</v>
      </c>
      <c r="B27" s="120" t="s">
        <v>62</v>
      </c>
      <c r="C27" s="121" t="s">
        <v>31</v>
      </c>
      <c r="D27" s="120" t="s">
        <v>130</v>
      </c>
      <c r="E27" s="122">
        <v>0.1</v>
      </c>
      <c r="F27" s="123">
        <f>SUM(E27*365)</f>
        <v>36.5</v>
      </c>
      <c r="G27" s="123">
        <v>157.18</v>
      </c>
      <c r="H27" s="124">
        <f>SUM(F27*G27/1000)</f>
        <v>5.737070000000001</v>
      </c>
      <c r="I27" s="14">
        <f>F27/12*G27</f>
        <v>478.08916666666664</v>
      </c>
    </row>
    <row r="28" spans="1:9" ht="15.75" customHeight="1">
      <c r="A28" s="34">
        <v>6</v>
      </c>
      <c r="B28" s="128" t="s">
        <v>23</v>
      </c>
      <c r="C28" s="121" t="s">
        <v>24</v>
      </c>
      <c r="D28" s="128" t="s">
        <v>131</v>
      </c>
      <c r="E28" s="122">
        <v>2054.6</v>
      </c>
      <c r="F28" s="123">
        <f>SUM(E28*12)</f>
        <v>24655.199999999997</v>
      </c>
      <c r="G28" s="123">
        <v>6.15</v>
      </c>
      <c r="H28" s="124">
        <f>SUM(F28*G28/1000)</f>
        <v>151.62947999999997</v>
      </c>
      <c r="I28" s="14">
        <f>F28/12*G28</f>
        <v>12635.79</v>
      </c>
    </row>
    <row r="29" spans="1:9" ht="15.75" customHeight="1">
      <c r="A29" s="147" t="s">
        <v>88</v>
      </c>
      <c r="B29" s="148"/>
      <c r="C29" s="148"/>
      <c r="D29" s="148"/>
      <c r="E29" s="148"/>
      <c r="F29" s="148"/>
      <c r="G29" s="148"/>
      <c r="H29" s="148"/>
      <c r="I29" s="149"/>
    </row>
    <row r="30" spans="1:9" ht="15.75" hidden="1" customHeight="1">
      <c r="A30" s="34"/>
      <c r="B30" s="144" t="s">
        <v>27</v>
      </c>
      <c r="C30" s="121"/>
      <c r="D30" s="120"/>
      <c r="E30" s="122"/>
      <c r="F30" s="123"/>
      <c r="G30" s="123"/>
      <c r="H30" s="124"/>
      <c r="I30" s="14"/>
    </row>
    <row r="31" spans="1:9" ht="31.5" hidden="1" customHeight="1">
      <c r="A31" s="34">
        <v>8</v>
      </c>
      <c r="B31" s="120" t="s">
        <v>118</v>
      </c>
      <c r="C31" s="121" t="s">
        <v>99</v>
      </c>
      <c r="D31" s="120" t="s">
        <v>114</v>
      </c>
      <c r="E31" s="123">
        <v>600.63</v>
      </c>
      <c r="F31" s="123">
        <f>SUM(E31*52/1000)</f>
        <v>31.232759999999999</v>
      </c>
      <c r="G31" s="123">
        <v>166.65</v>
      </c>
      <c r="H31" s="124">
        <f t="shared" ref="H31:H36" si="1">SUM(F31*G31/1000)</f>
        <v>5.2049394540000007</v>
      </c>
      <c r="I31" s="14">
        <f>F31/6*G31</f>
        <v>867.4899089999999</v>
      </c>
    </row>
    <row r="32" spans="1:9" ht="31.5" hidden="1" customHeight="1">
      <c r="A32" s="34">
        <v>9</v>
      </c>
      <c r="B32" s="120" t="s">
        <v>117</v>
      </c>
      <c r="C32" s="121" t="s">
        <v>99</v>
      </c>
      <c r="D32" s="120" t="s">
        <v>115</v>
      </c>
      <c r="E32" s="123">
        <v>186.39</v>
      </c>
      <c r="F32" s="123">
        <f>SUM(E32*78/1000)</f>
        <v>14.538419999999999</v>
      </c>
      <c r="G32" s="123">
        <v>276.48</v>
      </c>
      <c r="H32" s="124">
        <f t="shared" si="1"/>
        <v>4.0195823615999995</v>
      </c>
      <c r="I32" s="14">
        <f t="shared" ref="I32:I34" si="2">F32/6*G32</f>
        <v>669.93039359999989</v>
      </c>
    </row>
    <row r="33" spans="1:9" ht="15.75" hidden="1" customHeight="1">
      <c r="A33" s="34">
        <v>16</v>
      </c>
      <c r="B33" s="120" t="s">
        <v>26</v>
      </c>
      <c r="C33" s="121" t="s">
        <v>99</v>
      </c>
      <c r="D33" s="120" t="s">
        <v>52</v>
      </c>
      <c r="E33" s="123">
        <v>600.63</v>
      </c>
      <c r="F33" s="123">
        <f>SUM(E33/1000)</f>
        <v>0.60063</v>
      </c>
      <c r="G33" s="123">
        <v>3228.73</v>
      </c>
      <c r="H33" s="124">
        <f t="shared" si="1"/>
        <v>1.9392720999000002</v>
      </c>
      <c r="I33" s="14">
        <f>F33*G33</f>
        <v>1939.2720999000001</v>
      </c>
    </row>
    <row r="34" spans="1:9" ht="15.75" hidden="1" customHeight="1">
      <c r="A34" s="34">
        <v>10</v>
      </c>
      <c r="B34" s="120" t="s">
        <v>116</v>
      </c>
      <c r="C34" s="121" t="s">
        <v>29</v>
      </c>
      <c r="D34" s="120" t="s">
        <v>61</v>
      </c>
      <c r="E34" s="127">
        <v>0.33333333333333331</v>
      </c>
      <c r="F34" s="123">
        <f>155/3</f>
        <v>51.666666666666664</v>
      </c>
      <c r="G34" s="123">
        <v>60.6</v>
      </c>
      <c r="H34" s="124">
        <f>SUM(G34*155/3/1000)</f>
        <v>3.1309999999999998</v>
      </c>
      <c r="I34" s="14">
        <f t="shared" si="2"/>
        <v>521.83333333333337</v>
      </c>
    </row>
    <row r="35" spans="1:9" ht="15.75" hidden="1" customHeight="1">
      <c r="A35" s="34"/>
      <c r="B35" s="120" t="s">
        <v>63</v>
      </c>
      <c r="C35" s="121" t="s">
        <v>31</v>
      </c>
      <c r="D35" s="120" t="s">
        <v>65</v>
      </c>
      <c r="E35" s="122"/>
      <c r="F35" s="123">
        <v>2</v>
      </c>
      <c r="G35" s="123">
        <v>204.52</v>
      </c>
      <c r="H35" s="124">
        <f t="shared" si="1"/>
        <v>0.40904000000000001</v>
      </c>
      <c r="I35" s="14">
        <v>0</v>
      </c>
    </row>
    <row r="36" spans="1:9" ht="15.75" hidden="1" customHeight="1">
      <c r="A36" s="34"/>
      <c r="B36" s="120" t="s">
        <v>64</v>
      </c>
      <c r="C36" s="121" t="s">
        <v>30</v>
      </c>
      <c r="D36" s="120" t="s">
        <v>65</v>
      </c>
      <c r="E36" s="122"/>
      <c r="F36" s="123">
        <v>1</v>
      </c>
      <c r="G36" s="123">
        <v>1214.74</v>
      </c>
      <c r="H36" s="124">
        <f t="shared" si="1"/>
        <v>1.2147399999999999</v>
      </c>
      <c r="I36" s="14">
        <v>0</v>
      </c>
    </row>
    <row r="37" spans="1:9" ht="15.75" customHeight="1">
      <c r="A37" s="34"/>
      <c r="B37" s="144" t="s">
        <v>5</v>
      </c>
      <c r="C37" s="121"/>
      <c r="D37" s="120"/>
      <c r="E37" s="122"/>
      <c r="F37" s="123"/>
      <c r="G37" s="123"/>
      <c r="H37" s="124" t="s">
        <v>131</v>
      </c>
      <c r="I37" s="14"/>
    </row>
    <row r="38" spans="1:9" ht="15.75" customHeight="1">
      <c r="A38" s="34">
        <v>7</v>
      </c>
      <c r="B38" s="120" t="s">
        <v>25</v>
      </c>
      <c r="C38" s="121" t="s">
        <v>30</v>
      </c>
      <c r="D38" s="120"/>
      <c r="E38" s="122"/>
      <c r="F38" s="123">
        <v>5</v>
      </c>
      <c r="G38" s="123">
        <v>1632.6</v>
      </c>
      <c r="H38" s="124">
        <f t="shared" ref="H38:H44" si="3">SUM(F38*G38/1000)</f>
        <v>8.1630000000000003</v>
      </c>
      <c r="I38" s="14">
        <f>F38/6*G38</f>
        <v>1360.5</v>
      </c>
    </row>
    <row r="39" spans="1:9" ht="15.75" customHeight="1">
      <c r="A39" s="34">
        <v>8</v>
      </c>
      <c r="B39" s="120" t="s">
        <v>139</v>
      </c>
      <c r="C39" s="121" t="s">
        <v>28</v>
      </c>
      <c r="D39" s="120" t="s">
        <v>97</v>
      </c>
      <c r="E39" s="122">
        <v>186.39</v>
      </c>
      <c r="F39" s="123">
        <f>E39*30/1000</f>
        <v>5.5916999999999994</v>
      </c>
      <c r="G39" s="123">
        <v>2247.8000000000002</v>
      </c>
      <c r="H39" s="124">
        <f>G39*F39/1000</f>
        <v>12.56902326</v>
      </c>
      <c r="I39" s="14">
        <f>F39/6*G39</f>
        <v>2094.8372100000001</v>
      </c>
    </row>
    <row r="40" spans="1:9" ht="15.75" hidden="1" customHeight="1">
      <c r="A40" s="34"/>
      <c r="B40" s="120" t="s">
        <v>164</v>
      </c>
      <c r="C40" s="121" t="s">
        <v>165</v>
      </c>
      <c r="D40" s="120" t="s">
        <v>65</v>
      </c>
      <c r="E40" s="122"/>
      <c r="F40" s="123">
        <v>72.3</v>
      </c>
      <c r="G40" s="123">
        <v>199.44</v>
      </c>
      <c r="H40" s="124">
        <f>G40*F40/1000</f>
        <v>14.419511999999999</v>
      </c>
      <c r="I40" s="14">
        <v>0</v>
      </c>
    </row>
    <row r="41" spans="1:9" ht="15.75" customHeight="1">
      <c r="A41" s="34">
        <v>9</v>
      </c>
      <c r="B41" s="120" t="s">
        <v>66</v>
      </c>
      <c r="C41" s="121" t="s">
        <v>28</v>
      </c>
      <c r="D41" s="120" t="s">
        <v>98</v>
      </c>
      <c r="E41" s="123">
        <v>186.39</v>
      </c>
      <c r="F41" s="123">
        <f>SUM(E41*155/1000)</f>
        <v>28.890449999999998</v>
      </c>
      <c r="G41" s="123">
        <v>374.95</v>
      </c>
      <c r="H41" s="124">
        <f t="shared" si="3"/>
        <v>10.832474227499999</v>
      </c>
      <c r="I41" s="14">
        <f>F41/6*G41</f>
        <v>1805.4123712499998</v>
      </c>
    </row>
    <row r="42" spans="1:9" ht="47.25" customHeight="1">
      <c r="A42" s="34">
        <v>10</v>
      </c>
      <c r="B42" s="120" t="s">
        <v>84</v>
      </c>
      <c r="C42" s="121" t="s">
        <v>99</v>
      </c>
      <c r="D42" s="120" t="s">
        <v>140</v>
      </c>
      <c r="E42" s="123">
        <v>52.2</v>
      </c>
      <c r="F42" s="123">
        <f>SUM(E42*35/1000)</f>
        <v>1.827</v>
      </c>
      <c r="G42" s="123">
        <v>6203.7</v>
      </c>
      <c r="H42" s="124">
        <f t="shared" si="3"/>
        <v>11.3341599</v>
      </c>
      <c r="I42" s="14">
        <f>F42/6*G42</f>
        <v>1889.0266499999998</v>
      </c>
    </row>
    <row r="43" spans="1:9" ht="15.75" customHeight="1">
      <c r="A43" s="34">
        <v>11</v>
      </c>
      <c r="B43" s="120" t="s">
        <v>141</v>
      </c>
      <c r="C43" s="121" t="s">
        <v>99</v>
      </c>
      <c r="D43" s="120" t="s">
        <v>67</v>
      </c>
      <c r="E43" s="123">
        <v>52.2</v>
      </c>
      <c r="F43" s="123">
        <f>SUM(E43*45/1000)</f>
        <v>2.3490000000000002</v>
      </c>
      <c r="G43" s="123">
        <v>458.28</v>
      </c>
      <c r="H43" s="124">
        <f t="shared" si="3"/>
        <v>1.0764997199999999</v>
      </c>
      <c r="I43" s="14">
        <f>F43/6*G43</f>
        <v>179.41661999999999</v>
      </c>
    </row>
    <row r="44" spans="1:9" ht="15.75" customHeight="1">
      <c r="A44" s="34">
        <v>12</v>
      </c>
      <c r="B44" s="120" t="s">
        <v>68</v>
      </c>
      <c r="C44" s="121" t="s">
        <v>31</v>
      </c>
      <c r="D44" s="120"/>
      <c r="E44" s="122"/>
      <c r="F44" s="123">
        <v>0.5</v>
      </c>
      <c r="G44" s="123">
        <v>853.06</v>
      </c>
      <c r="H44" s="124">
        <f t="shared" si="3"/>
        <v>0.42652999999999996</v>
      </c>
      <c r="I44" s="14">
        <f>F44/6*G44</f>
        <v>71.088333333333324</v>
      </c>
    </row>
    <row r="45" spans="1:9" ht="15.75" customHeight="1">
      <c r="A45" s="147" t="s">
        <v>159</v>
      </c>
      <c r="B45" s="148"/>
      <c r="C45" s="148"/>
      <c r="D45" s="148"/>
      <c r="E45" s="148"/>
      <c r="F45" s="148"/>
      <c r="G45" s="148"/>
      <c r="H45" s="148"/>
      <c r="I45" s="149"/>
    </row>
    <row r="46" spans="1:9" ht="15.75" hidden="1" customHeight="1">
      <c r="A46" s="34"/>
      <c r="B46" s="120" t="s">
        <v>119</v>
      </c>
      <c r="C46" s="121" t="s">
        <v>99</v>
      </c>
      <c r="D46" s="120" t="s">
        <v>41</v>
      </c>
      <c r="E46" s="122">
        <v>917.75</v>
      </c>
      <c r="F46" s="123">
        <f>SUM(E46*2/1000)</f>
        <v>1.8354999999999999</v>
      </c>
      <c r="G46" s="14">
        <v>865.61</v>
      </c>
      <c r="H46" s="124">
        <f t="shared" ref="H46:H55" si="4">SUM(F46*G46/1000)</f>
        <v>1.5888271549999999</v>
      </c>
      <c r="I46" s="14">
        <v>0</v>
      </c>
    </row>
    <row r="47" spans="1:9" ht="15.75" hidden="1" customHeight="1">
      <c r="A47" s="34"/>
      <c r="B47" s="120" t="s">
        <v>34</v>
      </c>
      <c r="C47" s="121" t="s">
        <v>99</v>
      </c>
      <c r="D47" s="120" t="s">
        <v>41</v>
      </c>
      <c r="E47" s="122">
        <v>48</v>
      </c>
      <c r="F47" s="123">
        <f>E47*2/1000</f>
        <v>9.6000000000000002E-2</v>
      </c>
      <c r="G47" s="14">
        <v>619.46</v>
      </c>
      <c r="H47" s="124">
        <f t="shared" si="4"/>
        <v>5.9468160000000006E-2</v>
      </c>
      <c r="I47" s="14">
        <v>0</v>
      </c>
    </row>
    <row r="48" spans="1:9" ht="15.75" hidden="1" customHeight="1">
      <c r="A48" s="34"/>
      <c r="B48" s="120" t="s">
        <v>35</v>
      </c>
      <c r="C48" s="121" t="s">
        <v>99</v>
      </c>
      <c r="D48" s="120" t="s">
        <v>41</v>
      </c>
      <c r="E48" s="122">
        <v>937.4</v>
      </c>
      <c r="F48" s="123">
        <f>SUM(E48*2/1000)</f>
        <v>1.8748</v>
      </c>
      <c r="G48" s="14">
        <v>619.46</v>
      </c>
      <c r="H48" s="124">
        <f t="shared" si="4"/>
        <v>1.161363608</v>
      </c>
      <c r="I48" s="14">
        <v>0</v>
      </c>
    </row>
    <row r="49" spans="1:9" ht="15.75" hidden="1" customHeight="1">
      <c r="A49" s="34"/>
      <c r="B49" s="120" t="s">
        <v>36</v>
      </c>
      <c r="C49" s="121" t="s">
        <v>99</v>
      </c>
      <c r="D49" s="120" t="s">
        <v>41</v>
      </c>
      <c r="E49" s="122">
        <v>1243.28</v>
      </c>
      <c r="F49" s="123">
        <f>SUM(E49*2/1000)</f>
        <v>2.4865599999999999</v>
      </c>
      <c r="G49" s="14">
        <v>648.64</v>
      </c>
      <c r="H49" s="124">
        <f t="shared" si="4"/>
        <v>1.6128822783999999</v>
      </c>
      <c r="I49" s="14">
        <v>0</v>
      </c>
    </row>
    <row r="50" spans="1:9" ht="15.75" hidden="1" customHeight="1">
      <c r="A50" s="34"/>
      <c r="B50" s="120" t="s">
        <v>32</v>
      </c>
      <c r="C50" s="121" t="s">
        <v>33</v>
      </c>
      <c r="D50" s="120" t="s">
        <v>41</v>
      </c>
      <c r="E50" s="122">
        <v>64.5</v>
      </c>
      <c r="F50" s="123">
        <f>SUM(E50*2/100)</f>
        <v>1.29</v>
      </c>
      <c r="G50" s="14">
        <v>77.84</v>
      </c>
      <c r="H50" s="124">
        <f t="shared" si="4"/>
        <v>0.10041360000000001</v>
      </c>
      <c r="I50" s="14">
        <v>0</v>
      </c>
    </row>
    <row r="51" spans="1:9" ht="15.75" customHeight="1">
      <c r="A51" s="34">
        <v>13</v>
      </c>
      <c r="B51" s="120" t="s">
        <v>54</v>
      </c>
      <c r="C51" s="121" t="s">
        <v>99</v>
      </c>
      <c r="D51" s="120" t="s">
        <v>186</v>
      </c>
      <c r="E51" s="122">
        <v>678.4</v>
      </c>
      <c r="F51" s="123">
        <f>SUM(E51*5/1000)</f>
        <v>3.3919999999999999</v>
      </c>
      <c r="G51" s="14">
        <v>1297.28</v>
      </c>
      <c r="H51" s="124">
        <f t="shared" si="4"/>
        <v>4.4003737599999999</v>
      </c>
      <c r="I51" s="14">
        <f>F51/5*G51</f>
        <v>880.07475199999999</v>
      </c>
    </row>
    <row r="52" spans="1:9" ht="31.5" hidden="1" customHeight="1">
      <c r="A52" s="34"/>
      <c r="B52" s="120" t="s">
        <v>100</v>
      </c>
      <c r="C52" s="121" t="s">
        <v>99</v>
      </c>
      <c r="D52" s="120" t="s">
        <v>41</v>
      </c>
      <c r="E52" s="122">
        <v>678.4</v>
      </c>
      <c r="F52" s="123">
        <f>SUM(E52*2/1000)</f>
        <v>1.3568</v>
      </c>
      <c r="G52" s="14">
        <v>1297.28</v>
      </c>
      <c r="H52" s="124">
        <f t="shared" si="4"/>
        <v>1.7601495039999999</v>
      </c>
      <c r="I52" s="14">
        <v>0</v>
      </c>
    </row>
    <row r="53" spans="1:9" ht="31.5" hidden="1" customHeight="1">
      <c r="A53" s="34"/>
      <c r="B53" s="120" t="s">
        <v>101</v>
      </c>
      <c r="C53" s="121" t="s">
        <v>37</v>
      </c>
      <c r="D53" s="120" t="s">
        <v>41</v>
      </c>
      <c r="E53" s="122">
        <v>12</v>
      </c>
      <c r="F53" s="123">
        <f>SUM(E53*2/100)</f>
        <v>0.24</v>
      </c>
      <c r="G53" s="14">
        <v>2918.89</v>
      </c>
      <c r="H53" s="124">
        <f t="shared" si="4"/>
        <v>0.70053359999999998</v>
      </c>
      <c r="I53" s="14">
        <v>0</v>
      </c>
    </row>
    <row r="54" spans="1:9" ht="15.75" hidden="1" customHeight="1">
      <c r="A54" s="34"/>
      <c r="B54" s="120" t="s">
        <v>38</v>
      </c>
      <c r="C54" s="121" t="s">
        <v>39</v>
      </c>
      <c r="D54" s="120" t="s">
        <v>41</v>
      </c>
      <c r="E54" s="122">
        <v>1</v>
      </c>
      <c r="F54" s="123">
        <v>0.02</v>
      </c>
      <c r="G54" s="14">
        <v>6042.12</v>
      </c>
      <c r="H54" s="124">
        <f t="shared" si="4"/>
        <v>0.1208424</v>
      </c>
      <c r="I54" s="14">
        <v>0</v>
      </c>
    </row>
    <row r="55" spans="1:9" ht="15.75" hidden="1" customHeight="1">
      <c r="A55" s="34">
        <v>15</v>
      </c>
      <c r="B55" s="120" t="s">
        <v>40</v>
      </c>
      <c r="C55" s="121" t="s">
        <v>120</v>
      </c>
      <c r="D55" s="120" t="s">
        <v>69</v>
      </c>
      <c r="E55" s="122">
        <v>72</v>
      </c>
      <c r="F55" s="123">
        <f>SUM(E55)*3</f>
        <v>216</v>
      </c>
      <c r="G55" s="14">
        <v>70.209999999999994</v>
      </c>
      <c r="H55" s="124">
        <f t="shared" si="4"/>
        <v>15.165359999999998</v>
      </c>
      <c r="I55" s="14">
        <f>E55*G55</f>
        <v>5055.12</v>
      </c>
    </row>
    <row r="56" spans="1:9" ht="15.75" customHeight="1">
      <c r="A56" s="147" t="s">
        <v>160</v>
      </c>
      <c r="B56" s="148"/>
      <c r="C56" s="148"/>
      <c r="D56" s="148"/>
      <c r="E56" s="148"/>
      <c r="F56" s="148"/>
      <c r="G56" s="148"/>
      <c r="H56" s="148"/>
      <c r="I56" s="149"/>
    </row>
    <row r="57" spans="1:9" ht="15.75" customHeight="1">
      <c r="A57" s="34"/>
      <c r="B57" s="144" t="s">
        <v>42</v>
      </c>
      <c r="C57" s="121"/>
      <c r="D57" s="120"/>
      <c r="E57" s="122"/>
      <c r="F57" s="123"/>
      <c r="G57" s="123"/>
      <c r="H57" s="124"/>
      <c r="I57" s="14"/>
    </row>
    <row r="58" spans="1:9" ht="31.5" customHeight="1">
      <c r="A58" s="34">
        <v>14</v>
      </c>
      <c r="B58" s="120" t="s">
        <v>121</v>
      </c>
      <c r="C58" s="121" t="s">
        <v>94</v>
      </c>
      <c r="D58" s="120" t="s">
        <v>122</v>
      </c>
      <c r="E58" s="122">
        <v>110.66</v>
      </c>
      <c r="F58" s="123">
        <f>SUM(E58*6/100)</f>
        <v>6.6396000000000006</v>
      </c>
      <c r="G58" s="14">
        <v>1654.04</v>
      </c>
      <c r="H58" s="124">
        <f>SUM(F58*G58/1000)</f>
        <v>10.982163984000001</v>
      </c>
      <c r="I58" s="14">
        <f>F58/6*G58</f>
        <v>1830.360664</v>
      </c>
    </row>
    <row r="59" spans="1:9" ht="15.75" customHeight="1">
      <c r="A59" s="34"/>
      <c r="B59" s="145" t="s">
        <v>43</v>
      </c>
      <c r="C59" s="129"/>
      <c r="D59" s="130"/>
      <c r="E59" s="131"/>
      <c r="F59" s="132"/>
      <c r="G59" s="132"/>
      <c r="H59" s="133" t="s">
        <v>131</v>
      </c>
      <c r="I59" s="14"/>
    </row>
    <row r="60" spans="1:9" ht="15.75" customHeight="1">
      <c r="A60" s="34">
        <v>15</v>
      </c>
      <c r="B60" s="16" t="s">
        <v>44</v>
      </c>
      <c r="C60" s="18" t="s">
        <v>120</v>
      </c>
      <c r="D60" s="16" t="s">
        <v>65</v>
      </c>
      <c r="E60" s="21">
        <v>8</v>
      </c>
      <c r="F60" s="123">
        <v>8</v>
      </c>
      <c r="G60" s="14">
        <v>237.74</v>
      </c>
      <c r="H60" s="134">
        <f t="shared" ref="H60:H73" si="5">SUM(F60*G60/1000)</f>
        <v>1.9019200000000001</v>
      </c>
      <c r="I60" s="14">
        <f>G60*2</f>
        <v>475.48</v>
      </c>
    </row>
    <row r="61" spans="1:9" ht="15.75" hidden="1" customHeight="1">
      <c r="A61" s="34"/>
      <c r="B61" s="16" t="s">
        <v>45</v>
      </c>
      <c r="C61" s="18" t="s">
        <v>120</v>
      </c>
      <c r="D61" s="16" t="s">
        <v>65</v>
      </c>
      <c r="E61" s="21">
        <v>3</v>
      </c>
      <c r="F61" s="123">
        <v>3</v>
      </c>
      <c r="G61" s="14">
        <v>81.510000000000005</v>
      </c>
      <c r="H61" s="134">
        <f t="shared" si="5"/>
        <v>0.24453000000000003</v>
      </c>
      <c r="I61" s="14">
        <v>0</v>
      </c>
    </row>
    <row r="62" spans="1:9" ht="15.75" hidden="1" customHeight="1">
      <c r="A62" s="34"/>
      <c r="B62" s="16" t="s">
        <v>46</v>
      </c>
      <c r="C62" s="18" t="s">
        <v>123</v>
      </c>
      <c r="D62" s="16" t="s">
        <v>52</v>
      </c>
      <c r="E62" s="122">
        <v>8539</v>
      </c>
      <c r="F62" s="14">
        <f>SUM(E62/100)</f>
        <v>85.39</v>
      </c>
      <c r="G62" s="14">
        <v>226.79</v>
      </c>
      <c r="H62" s="134">
        <f t="shared" si="5"/>
        <v>19.3655981</v>
      </c>
      <c r="I62" s="14">
        <v>0</v>
      </c>
    </row>
    <row r="63" spans="1:9" ht="15.75" hidden="1" customHeight="1">
      <c r="A63" s="34"/>
      <c r="B63" s="16" t="s">
        <v>47</v>
      </c>
      <c r="C63" s="18" t="s">
        <v>124</v>
      </c>
      <c r="D63" s="16"/>
      <c r="E63" s="122">
        <v>8539</v>
      </c>
      <c r="F63" s="14">
        <f>SUM(E63/1000)</f>
        <v>8.5389999999999997</v>
      </c>
      <c r="G63" s="14">
        <v>176.61</v>
      </c>
      <c r="H63" s="134">
        <f t="shared" si="5"/>
        <v>1.5080727900000002</v>
      </c>
      <c r="I63" s="14">
        <v>0</v>
      </c>
    </row>
    <row r="64" spans="1:9" ht="15.75" hidden="1" customHeight="1">
      <c r="A64" s="34"/>
      <c r="B64" s="16" t="s">
        <v>48</v>
      </c>
      <c r="C64" s="18" t="s">
        <v>75</v>
      </c>
      <c r="D64" s="16" t="s">
        <v>52</v>
      </c>
      <c r="E64" s="122">
        <v>1370</v>
      </c>
      <c r="F64" s="14">
        <f>SUM(E64/100)</f>
        <v>13.7</v>
      </c>
      <c r="G64" s="14">
        <v>2217.7800000000002</v>
      </c>
      <c r="H64" s="134">
        <f t="shared" si="5"/>
        <v>30.383586000000005</v>
      </c>
      <c r="I64" s="14">
        <v>0</v>
      </c>
    </row>
    <row r="65" spans="1:9" ht="15.75" hidden="1" customHeight="1">
      <c r="A65" s="34"/>
      <c r="B65" s="135" t="s">
        <v>125</v>
      </c>
      <c r="C65" s="18" t="s">
        <v>31</v>
      </c>
      <c r="D65" s="16"/>
      <c r="E65" s="122">
        <v>9</v>
      </c>
      <c r="F65" s="14">
        <f>SUM(E65)</f>
        <v>9</v>
      </c>
      <c r="G65" s="14">
        <v>42.67</v>
      </c>
      <c r="H65" s="134">
        <f t="shared" si="5"/>
        <v>0.38403000000000004</v>
      </c>
      <c r="I65" s="14">
        <v>0</v>
      </c>
    </row>
    <row r="66" spans="1:9" ht="15.75" hidden="1" customHeight="1">
      <c r="A66" s="34"/>
      <c r="B66" s="135" t="s">
        <v>126</v>
      </c>
      <c r="C66" s="18" t="s">
        <v>31</v>
      </c>
      <c r="D66" s="16"/>
      <c r="E66" s="122">
        <v>9</v>
      </c>
      <c r="F66" s="14">
        <f>SUM(E66)</f>
        <v>9</v>
      </c>
      <c r="G66" s="14">
        <v>39.81</v>
      </c>
      <c r="H66" s="134">
        <f t="shared" si="5"/>
        <v>0.35829</v>
      </c>
      <c r="I66" s="14">
        <v>0</v>
      </c>
    </row>
    <row r="67" spans="1:9" ht="15.75" hidden="1" customHeight="1">
      <c r="A67" s="34"/>
      <c r="B67" s="16" t="s">
        <v>55</v>
      </c>
      <c r="C67" s="18" t="s">
        <v>56</v>
      </c>
      <c r="D67" s="16" t="s">
        <v>52</v>
      </c>
      <c r="E67" s="21">
        <v>3</v>
      </c>
      <c r="F67" s="123">
        <v>3</v>
      </c>
      <c r="G67" s="14">
        <v>53.62</v>
      </c>
      <c r="H67" s="134">
        <f t="shared" si="5"/>
        <v>0.16085999999999998</v>
      </c>
      <c r="I67" s="14">
        <v>0</v>
      </c>
    </row>
    <row r="68" spans="1:9" ht="15.75" customHeight="1">
      <c r="A68" s="34"/>
      <c r="B68" s="108" t="s">
        <v>70</v>
      </c>
      <c r="C68" s="18"/>
      <c r="D68" s="16"/>
      <c r="E68" s="21"/>
      <c r="F68" s="14"/>
      <c r="G68" s="14"/>
      <c r="H68" s="134" t="s">
        <v>131</v>
      </c>
      <c r="I68" s="14"/>
    </row>
    <row r="69" spans="1:9" ht="15.75" customHeight="1">
      <c r="A69" s="34">
        <v>16</v>
      </c>
      <c r="B69" s="16" t="s">
        <v>71</v>
      </c>
      <c r="C69" s="18" t="s">
        <v>73</v>
      </c>
      <c r="D69" s="16"/>
      <c r="E69" s="21">
        <v>2</v>
      </c>
      <c r="F69" s="14">
        <v>0.2</v>
      </c>
      <c r="G69" s="14">
        <v>536.23</v>
      </c>
      <c r="H69" s="134">
        <f t="shared" si="5"/>
        <v>0.10724600000000001</v>
      </c>
      <c r="I69" s="14">
        <f>G69*0.2</f>
        <v>107.24600000000001</v>
      </c>
    </row>
    <row r="70" spans="1:9" ht="15.75" hidden="1" customHeight="1">
      <c r="A70" s="34"/>
      <c r="B70" s="16" t="s">
        <v>72</v>
      </c>
      <c r="C70" s="18" t="s">
        <v>29</v>
      </c>
      <c r="D70" s="16"/>
      <c r="E70" s="21">
        <v>1</v>
      </c>
      <c r="F70" s="116">
        <v>1</v>
      </c>
      <c r="G70" s="14">
        <v>911.85</v>
      </c>
      <c r="H70" s="134">
        <f>F70*G70/1000</f>
        <v>0.91185000000000005</v>
      </c>
      <c r="I70" s="14">
        <v>0</v>
      </c>
    </row>
    <row r="71" spans="1:9" ht="15.75" hidden="1" customHeight="1">
      <c r="A71" s="34"/>
      <c r="B71" s="16" t="s">
        <v>143</v>
      </c>
      <c r="C71" s="18" t="s">
        <v>29</v>
      </c>
      <c r="D71" s="16"/>
      <c r="E71" s="21">
        <v>1</v>
      </c>
      <c r="F71" s="14">
        <v>1</v>
      </c>
      <c r="G71" s="14">
        <v>383.25</v>
      </c>
      <c r="H71" s="134">
        <f>G71*F71/1000</f>
        <v>0.38324999999999998</v>
      </c>
      <c r="I71" s="14">
        <v>0</v>
      </c>
    </row>
    <row r="72" spans="1:9" ht="15.75" hidden="1" customHeight="1">
      <c r="A72" s="34"/>
      <c r="B72" s="137" t="s">
        <v>74</v>
      </c>
      <c r="C72" s="18"/>
      <c r="D72" s="16"/>
      <c r="E72" s="21"/>
      <c r="F72" s="14"/>
      <c r="G72" s="14" t="s">
        <v>131</v>
      </c>
      <c r="H72" s="134" t="s">
        <v>131</v>
      </c>
      <c r="I72" s="14"/>
    </row>
    <row r="73" spans="1:9" ht="15.75" hidden="1" customHeight="1">
      <c r="A73" s="34"/>
      <c r="B73" s="63" t="s">
        <v>132</v>
      </c>
      <c r="C73" s="18" t="s">
        <v>75</v>
      </c>
      <c r="D73" s="16"/>
      <c r="E73" s="21"/>
      <c r="F73" s="14">
        <v>1.35</v>
      </c>
      <c r="G73" s="14">
        <v>2949.85</v>
      </c>
      <c r="H73" s="134">
        <f t="shared" si="5"/>
        <v>3.9822975</v>
      </c>
      <c r="I73" s="14">
        <v>0</v>
      </c>
    </row>
    <row r="74" spans="1:9" ht="15.75" hidden="1" customHeight="1">
      <c r="A74" s="34"/>
      <c r="B74" s="108" t="s">
        <v>102</v>
      </c>
      <c r="C74" s="137"/>
      <c r="D74" s="36"/>
      <c r="E74" s="37"/>
      <c r="F74" s="126"/>
      <c r="G74" s="126"/>
      <c r="H74" s="138">
        <f>SUM(H58:H73)</f>
        <v>70.673694374000007</v>
      </c>
      <c r="I74" s="126"/>
    </row>
    <row r="75" spans="1:9" ht="15.75" hidden="1" customHeight="1">
      <c r="A75" s="34"/>
      <c r="B75" s="120" t="s">
        <v>127</v>
      </c>
      <c r="C75" s="18"/>
      <c r="D75" s="16"/>
      <c r="E75" s="139"/>
      <c r="F75" s="14">
        <v>1</v>
      </c>
      <c r="G75" s="14">
        <v>7101.4</v>
      </c>
      <c r="H75" s="134">
        <f>G75*F75/1000</f>
        <v>7.1013999999999999</v>
      </c>
      <c r="I75" s="14">
        <v>0</v>
      </c>
    </row>
    <row r="76" spans="1:9" ht="15.75" customHeight="1">
      <c r="A76" s="147" t="s">
        <v>161</v>
      </c>
      <c r="B76" s="148"/>
      <c r="C76" s="148"/>
      <c r="D76" s="148"/>
      <c r="E76" s="148"/>
      <c r="F76" s="148"/>
      <c r="G76" s="148"/>
      <c r="H76" s="148"/>
      <c r="I76" s="149"/>
    </row>
    <row r="77" spans="1:9" ht="15.75" customHeight="1">
      <c r="A77" s="34">
        <v>17</v>
      </c>
      <c r="B77" s="120" t="s">
        <v>128</v>
      </c>
      <c r="C77" s="18" t="s">
        <v>53</v>
      </c>
      <c r="D77" s="140" t="s">
        <v>188</v>
      </c>
      <c r="E77" s="14">
        <v>2054.6</v>
      </c>
      <c r="F77" s="14">
        <f>SUM(E77*12)</f>
        <v>24655.199999999997</v>
      </c>
      <c r="G77" s="14">
        <v>2.2400000000000002</v>
      </c>
      <c r="H77" s="134">
        <f>SUM(F77*G77/1000)</f>
        <v>55.227648000000002</v>
      </c>
      <c r="I77" s="14">
        <f>F77/12*G77</f>
        <v>4602.3040000000001</v>
      </c>
    </row>
    <row r="78" spans="1:9" ht="31.5" customHeight="1">
      <c r="A78" s="34">
        <v>18</v>
      </c>
      <c r="B78" s="16" t="s">
        <v>76</v>
      </c>
      <c r="C78" s="18"/>
      <c r="D78" s="140" t="s">
        <v>188</v>
      </c>
      <c r="E78" s="122">
        <f>E77</f>
        <v>2054.6</v>
      </c>
      <c r="F78" s="14">
        <f>E78*12</f>
        <v>24655.199999999997</v>
      </c>
      <c r="G78" s="14">
        <v>1.74</v>
      </c>
      <c r="H78" s="134">
        <f>F78*G78/1000</f>
        <v>42.900047999999998</v>
      </c>
      <c r="I78" s="14">
        <f>F78/12*G78</f>
        <v>3575.0039999999999</v>
      </c>
    </row>
    <row r="79" spans="1:9" ht="15.75" customHeight="1">
      <c r="A79" s="34"/>
      <c r="B79" s="50" t="s">
        <v>80</v>
      </c>
      <c r="C79" s="137"/>
      <c r="D79" s="136"/>
      <c r="E79" s="126"/>
      <c r="F79" s="126"/>
      <c r="G79" s="126"/>
      <c r="H79" s="138">
        <f>H78</f>
        <v>42.900047999999998</v>
      </c>
      <c r="I79" s="126">
        <f>I16+I17+I18+I20+I27+I28+I38+I39+I41+I42+I43+I44+I51+I58+I60+I69+I77+I78</f>
        <v>38407.549175250002</v>
      </c>
    </row>
    <row r="80" spans="1:9" ht="15.75" customHeight="1">
      <c r="A80" s="34"/>
      <c r="B80" s="75" t="s">
        <v>58</v>
      </c>
      <c r="C80" s="18"/>
      <c r="D80" s="63"/>
      <c r="E80" s="14"/>
      <c r="F80" s="14"/>
      <c r="G80" s="14"/>
      <c r="H80" s="14"/>
      <c r="I80" s="14"/>
    </row>
    <row r="81" spans="1:9" ht="15.75" customHeight="1">
      <c r="A81" s="34">
        <v>19</v>
      </c>
      <c r="B81" s="76" t="s">
        <v>133</v>
      </c>
      <c r="C81" s="77" t="s">
        <v>120</v>
      </c>
      <c r="D81" s="63"/>
      <c r="E81" s="14"/>
      <c r="F81" s="14">
        <v>432</v>
      </c>
      <c r="G81" s="14">
        <v>50.68</v>
      </c>
      <c r="H81" s="14">
        <f>G81*F81/1000</f>
        <v>21.893759999999997</v>
      </c>
      <c r="I81" s="14">
        <f>G81*36</f>
        <v>1824.48</v>
      </c>
    </row>
    <row r="82" spans="1:9" ht="31.5" customHeight="1">
      <c r="A82" s="34">
        <v>20</v>
      </c>
      <c r="B82" s="76" t="s">
        <v>168</v>
      </c>
      <c r="C82" s="18" t="s">
        <v>29</v>
      </c>
      <c r="D82" s="63"/>
      <c r="E82" s="14"/>
      <c r="F82" s="14">
        <v>3</v>
      </c>
      <c r="G82" s="14">
        <v>559.62</v>
      </c>
      <c r="H82" s="134">
        <f t="shared" ref="H82:H84" si="6">G82*F82/1000</f>
        <v>1.67886</v>
      </c>
      <c r="I82" s="14">
        <f>G82*2</f>
        <v>1119.24</v>
      </c>
    </row>
    <row r="83" spans="1:9" ht="15.75" customHeight="1">
      <c r="A83" s="34">
        <v>21</v>
      </c>
      <c r="B83" s="76" t="s">
        <v>169</v>
      </c>
      <c r="C83" s="18" t="s">
        <v>29</v>
      </c>
      <c r="D83" s="63"/>
      <c r="E83" s="14"/>
      <c r="F83" s="14">
        <v>2</v>
      </c>
      <c r="G83" s="14">
        <v>195.95</v>
      </c>
      <c r="H83" s="134">
        <f t="shared" si="6"/>
        <v>0.39189999999999997</v>
      </c>
      <c r="I83" s="14">
        <f>G83*2</f>
        <v>391.9</v>
      </c>
    </row>
    <row r="84" spans="1:9" ht="15.75" customHeight="1">
      <c r="A84" s="34">
        <v>22</v>
      </c>
      <c r="B84" s="76" t="s">
        <v>170</v>
      </c>
      <c r="C84" s="77" t="s">
        <v>171</v>
      </c>
      <c r="D84" s="63"/>
      <c r="E84" s="14"/>
      <c r="F84" s="14">
        <v>1</v>
      </c>
      <c r="G84" s="14">
        <v>195.95</v>
      </c>
      <c r="H84" s="134">
        <f t="shared" si="6"/>
        <v>0.19594999999999999</v>
      </c>
      <c r="I84" s="14">
        <f>G84</f>
        <v>195.95</v>
      </c>
    </row>
    <row r="85" spans="1:9" ht="15.75" customHeight="1">
      <c r="A85" s="34"/>
      <c r="B85" s="57" t="s">
        <v>49</v>
      </c>
      <c r="C85" s="53"/>
      <c r="D85" s="66"/>
      <c r="E85" s="53">
        <v>1</v>
      </c>
      <c r="F85" s="53"/>
      <c r="G85" s="53"/>
      <c r="H85" s="53"/>
      <c r="I85" s="37">
        <f>SUM(I81:I84)</f>
        <v>3531.57</v>
      </c>
    </row>
    <row r="86" spans="1:9" ht="15.75" customHeight="1">
      <c r="A86" s="34"/>
      <c r="B86" s="63" t="s">
        <v>77</v>
      </c>
      <c r="C86" s="17"/>
      <c r="D86" s="17"/>
      <c r="E86" s="54"/>
      <c r="F86" s="54"/>
      <c r="G86" s="55"/>
      <c r="H86" s="55"/>
      <c r="I86" s="20">
        <v>0</v>
      </c>
    </row>
    <row r="87" spans="1:9" ht="15.75" customHeight="1">
      <c r="A87" s="67"/>
      <c r="B87" s="58" t="s">
        <v>50</v>
      </c>
      <c r="C87" s="43"/>
      <c r="D87" s="43"/>
      <c r="E87" s="43"/>
      <c r="F87" s="43"/>
      <c r="G87" s="43"/>
      <c r="H87" s="43"/>
      <c r="I87" s="56">
        <f>I79+I85</f>
        <v>41939.119175250002</v>
      </c>
    </row>
    <row r="88" spans="1:9" ht="15.75">
      <c r="A88" s="160" t="s">
        <v>192</v>
      </c>
      <c r="B88" s="160"/>
      <c r="C88" s="160"/>
      <c r="D88" s="160"/>
      <c r="E88" s="160"/>
      <c r="F88" s="160"/>
      <c r="G88" s="160"/>
      <c r="H88" s="160"/>
      <c r="I88" s="160"/>
    </row>
    <row r="89" spans="1:9" ht="15.75">
      <c r="A89" s="102"/>
      <c r="B89" s="155" t="s">
        <v>193</v>
      </c>
      <c r="C89" s="155"/>
      <c r="D89" s="155"/>
      <c r="E89" s="155"/>
      <c r="F89" s="155"/>
      <c r="G89" s="155"/>
      <c r="H89" s="119"/>
      <c r="I89" s="3"/>
    </row>
    <row r="90" spans="1:9">
      <c r="A90" s="106"/>
      <c r="B90" s="151" t="s">
        <v>6</v>
      </c>
      <c r="C90" s="151"/>
      <c r="D90" s="151"/>
      <c r="E90" s="151"/>
      <c r="F90" s="151"/>
      <c r="G90" s="151"/>
      <c r="H90" s="29"/>
      <c r="I90" s="5"/>
    </row>
    <row r="91" spans="1:9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.75">
      <c r="A92" s="156" t="s">
        <v>7</v>
      </c>
      <c r="B92" s="156"/>
      <c r="C92" s="156"/>
      <c r="D92" s="156"/>
      <c r="E92" s="156"/>
      <c r="F92" s="156"/>
      <c r="G92" s="156"/>
      <c r="H92" s="156"/>
      <c r="I92" s="156"/>
    </row>
    <row r="93" spans="1:9" ht="15.75">
      <c r="A93" s="156" t="s">
        <v>8</v>
      </c>
      <c r="B93" s="156"/>
      <c r="C93" s="156"/>
      <c r="D93" s="156"/>
      <c r="E93" s="156"/>
      <c r="F93" s="156"/>
      <c r="G93" s="156"/>
      <c r="H93" s="156"/>
      <c r="I93" s="156"/>
    </row>
    <row r="94" spans="1:9" ht="15.75">
      <c r="A94" s="157" t="s">
        <v>59</v>
      </c>
      <c r="B94" s="157"/>
      <c r="C94" s="157"/>
      <c r="D94" s="157"/>
      <c r="E94" s="157"/>
      <c r="F94" s="157"/>
      <c r="G94" s="157"/>
      <c r="H94" s="157"/>
      <c r="I94" s="157"/>
    </row>
    <row r="95" spans="1:9" ht="15.75">
      <c r="A95" s="11"/>
    </row>
    <row r="96" spans="1:9" ht="15.75">
      <c r="A96" s="158" t="s">
        <v>9</v>
      </c>
      <c r="B96" s="158"/>
      <c r="C96" s="158"/>
      <c r="D96" s="158"/>
      <c r="E96" s="158"/>
      <c r="F96" s="158"/>
      <c r="G96" s="158"/>
      <c r="H96" s="158"/>
      <c r="I96" s="158"/>
    </row>
    <row r="97" spans="1:9" ht="15.75">
      <c r="A97" s="4"/>
    </row>
    <row r="98" spans="1:9" ht="15.75">
      <c r="B98" s="107" t="s">
        <v>10</v>
      </c>
      <c r="C98" s="150" t="s">
        <v>162</v>
      </c>
      <c r="D98" s="150"/>
      <c r="E98" s="150"/>
      <c r="F98" s="117"/>
      <c r="I98" s="105"/>
    </row>
    <row r="99" spans="1:9">
      <c r="A99" s="106"/>
      <c r="C99" s="151" t="s">
        <v>11</v>
      </c>
      <c r="D99" s="151"/>
      <c r="E99" s="151"/>
      <c r="F99" s="29"/>
      <c r="I99" s="104" t="s">
        <v>12</v>
      </c>
    </row>
    <row r="100" spans="1:9" ht="15.75">
      <c r="A100" s="30"/>
      <c r="C100" s="12"/>
      <c r="D100" s="12"/>
      <c r="G100" s="12"/>
      <c r="H100" s="12"/>
    </row>
    <row r="101" spans="1:9" ht="15.75">
      <c r="B101" s="107" t="s">
        <v>13</v>
      </c>
      <c r="C101" s="152"/>
      <c r="D101" s="152"/>
      <c r="E101" s="152"/>
      <c r="F101" s="118"/>
      <c r="I101" s="105"/>
    </row>
    <row r="102" spans="1:9">
      <c r="A102" s="106"/>
      <c r="C102" s="153" t="s">
        <v>11</v>
      </c>
      <c r="D102" s="153"/>
      <c r="E102" s="153"/>
      <c r="F102" s="106"/>
      <c r="I102" s="104" t="s">
        <v>12</v>
      </c>
    </row>
    <row r="103" spans="1:9" ht="15.75">
      <c r="A103" s="4" t="s">
        <v>14</v>
      </c>
    </row>
    <row r="104" spans="1:9">
      <c r="A104" s="154" t="s">
        <v>15</v>
      </c>
      <c r="B104" s="154"/>
      <c r="C104" s="154"/>
      <c r="D104" s="154"/>
      <c r="E104" s="154"/>
      <c r="F104" s="154"/>
      <c r="G104" s="154"/>
      <c r="H104" s="154"/>
      <c r="I104" s="154"/>
    </row>
    <row r="105" spans="1:9" ht="45" customHeight="1">
      <c r="A105" s="146" t="s">
        <v>16</v>
      </c>
      <c r="B105" s="146"/>
      <c r="C105" s="146"/>
      <c r="D105" s="146"/>
      <c r="E105" s="146"/>
      <c r="F105" s="146"/>
      <c r="G105" s="146"/>
      <c r="H105" s="146"/>
      <c r="I105" s="146"/>
    </row>
    <row r="106" spans="1:9" ht="30" customHeight="1">
      <c r="A106" s="146" t="s">
        <v>17</v>
      </c>
      <c r="B106" s="146"/>
      <c r="C106" s="146"/>
      <c r="D106" s="146"/>
      <c r="E106" s="146"/>
      <c r="F106" s="146"/>
      <c r="G106" s="146"/>
      <c r="H106" s="146"/>
      <c r="I106" s="146"/>
    </row>
    <row r="107" spans="1:9" ht="30" customHeight="1">
      <c r="A107" s="146" t="s">
        <v>21</v>
      </c>
      <c r="B107" s="146"/>
      <c r="C107" s="146"/>
      <c r="D107" s="146"/>
      <c r="E107" s="146"/>
      <c r="F107" s="146"/>
      <c r="G107" s="146"/>
      <c r="H107" s="146"/>
      <c r="I107" s="146"/>
    </row>
    <row r="108" spans="1:9" ht="15" customHeight="1">
      <c r="A108" s="146" t="s">
        <v>20</v>
      </c>
      <c r="B108" s="146"/>
      <c r="C108" s="146"/>
      <c r="D108" s="146"/>
      <c r="E108" s="146"/>
      <c r="F108" s="146"/>
      <c r="G108" s="146"/>
      <c r="H108" s="146"/>
      <c r="I108" s="146"/>
    </row>
  </sheetData>
  <mergeCells count="27">
    <mergeCell ref="A106:I106"/>
    <mergeCell ref="A107:I107"/>
    <mergeCell ref="A108:I108"/>
    <mergeCell ref="C98:E98"/>
    <mergeCell ref="C99:E99"/>
    <mergeCell ref="C101:E101"/>
    <mergeCell ref="C102:E102"/>
    <mergeCell ref="A104:I104"/>
    <mergeCell ref="A105:I105"/>
    <mergeCell ref="B89:G89"/>
    <mergeCell ref="B90:G90"/>
    <mergeCell ref="A92:I92"/>
    <mergeCell ref="A93:I93"/>
    <mergeCell ref="A94:I94"/>
    <mergeCell ref="A96:I96"/>
    <mergeCell ref="A15:I15"/>
    <mergeCell ref="A29:I29"/>
    <mergeCell ref="A45:I45"/>
    <mergeCell ref="A56:I56"/>
    <mergeCell ref="A76:I76"/>
    <mergeCell ref="A88:I88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2" t="s">
        <v>90</v>
      </c>
      <c r="I1" s="31"/>
    </row>
    <row r="2" spans="1:9" ht="15.75">
      <c r="A2" s="33" t="s">
        <v>60</v>
      </c>
    </row>
    <row r="3" spans="1:9" ht="15.75">
      <c r="A3" s="161" t="s">
        <v>194</v>
      </c>
      <c r="B3" s="161"/>
      <c r="C3" s="161"/>
      <c r="D3" s="161"/>
      <c r="E3" s="161"/>
      <c r="F3" s="161"/>
      <c r="G3" s="161"/>
      <c r="H3" s="161"/>
      <c r="I3" s="161"/>
    </row>
    <row r="4" spans="1:9" ht="31.5" customHeight="1">
      <c r="A4" s="162" t="s">
        <v>152</v>
      </c>
      <c r="B4" s="162"/>
      <c r="C4" s="162"/>
      <c r="D4" s="162"/>
      <c r="E4" s="162"/>
      <c r="F4" s="162"/>
      <c r="G4" s="162"/>
      <c r="H4" s="162"/>
      <c r="I4" s="162"/>
    </row>
    <row r="5" spans="1:9" ht="15.75">
      <c r="A5" s="161" t="s">
        <v>195</v>
      </c>
      <c r="B5" s="163"/>
      <c r="C5" s="163"/>
      <c r="D5" s="163"/>
      <c r="E5" s="163"/>
      <c r="F5" s="163"/>
      <c r="G5" s="163"/>
      <c r="H5" s="163"/>
      <c r="I5" s="163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5">
        <v>42460</v>
      </c>
    </row>
    <row r="7" spans="1:9" ht="15.75">
      <c r="B7" s="107"/>
      <c r="C7" s="107"/>
      <c r="D7" s="107"/>
      <c r="E7" s="3"/>
      <c r="F7" s="3"/>
      <c r="G7" s="3"/>
      <c r="H7" s="3"/>
    </row>
    <row r="8" spans="1:9" ht="78.75" customHeight="1">
      <c r="A8" s="164" t="s">
        <v>157</v>
      </c>
      <c r="B8" s="164"/>
      <c r="C8" s="164"/>
      <c r="D8" s="164"/>
      <c r="E8" s="164"/>
      <c r="F8" s="164"/>
      <c r="G8" s="164"/>
      <c r="H8" s="164"/>
      <c r="I8" s="164"/>
    </row>
    <row r="9" spans="1:9" ht="15.75">
      <c r="A9" s="4"/>
    </row>
    <row r="10" spans="1:9" ht="47.25" customHeight="1">
      <c r="A10" s="165" t="s">
        <v>158</v>
      </c>
      <c r="B10" s="165"/>
      <c r="C10" s="165"/>
      <c r="D10" s="165"/>
      <c r="E10" s="165"/>
      <c r="F10" s="165"/>
      <c r="G10" s="165"/>
      <c r="H10" s="165"/>
      <c r="I10" s="165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6" t="s">
        <v>57</v>
      </c>
      <c r="B14" s="166"/>
      <c r="C14" s="166"/>
      <c r="D14" s="166"/>
      <c r="E14" s="166"/>
      <c r="F14" s="166"/>
      <c r="G14" s="166"/>
      <c r="H14" s="166"/>
      <c r="I14" s="166"/>
    </row>
    <row r="15" spans="1:9">
      <c r="A15" s="159" t="s">
        <v>4</v>
      </c>
      <c r="B15" s="159"/>
      <c r="C15" s="159"/>
      <c r="D15" s="159"/>
      <c r="E15" s="159"/>
      <c r="F15" s="159"/>
      <c r="G15" s="159"/>
      <c r="H15" s="159"/>
      <c r="I15" s="159"/>
    </row>
    <row r="16" spans="1:9" ht="31.5" customHeight="1">
      <c r="A16" s="34">
        <v>1</v>
      </c>
      <c r="B16" s="120" t="s">
        <v>93</v>
      </c>
      <c r="C16" s="121" t="s">
        <v>94</v>
      </c>
      <c r="D16" s="120" t="s">
        <v>95</v>
      </c>
      <c r="E16" s="122">
        <v>55</v>
      </c>
      <c r="F16" s="123">
        <f>SUM(E16*156/100)</f>
        <v>85.8</v>
      </c>
      <c r="G16" s="123">
        <v>187.48</v>
      </c>
      <c r="H16" s="124">
        <f t="shared" ref="H16:H26" si="0">SUM(F16*G16/1000)</f>
        <v>16.085783999999997</v>
      </c>
      <c r="I16" s="14">
        <f>F16/12*G16</f>
        <v>1340.4819999999997</v>
      </c>
    </row>
    <row r="17" spans="1:9" ht="31.5" customHeight="1">
      <c r="A17" s="34">
        <v>2</v>
      </c>
      <c r="B17" s="120" t="s">
        <v>134</v>
      </c>
      <c r="C17" s="121" t="s">
        <v>94</v>
      </c>
      <c r="D17" s="120" t="s">
        <v>96</v>
      </c>
      <c r="E17" s="122">
        <v>165</v>
      </c>
      <c r="F17" s="123">
        <f>SUM(E17*104/100)</f>
        <v>171.6</v>
      </c>
      <c r="G17" s="123">
        <v>187.48</v>
      </c>
      <c r="H17" s="124">
        <f t="shared" si="0"/>
        <v>32.171567999999994</v>
      </c>
      <c r="I17" s="14">
        <f>F17/12*G17</f>
        <v>2680.9639999999995</v>
      </c>
    </row>
    <row r="18" spans="1:9" ht="31.5" customHeight="1">
      <c r="A18" s="34">
        <v>3</v>
      </c>
      <c r="B18" s="120" t="s">
        <v>135</v>
      </c>
      <c r="C18" s="121" t="s">
        <v>94</v>
      </c>
      <c r="D18" s="120" t="s">
        <v>136</v>
      </c>
      <c r="E18" s="122">
        <f>SUM(E16+E17)</f>
        <v>220</v>
      </c>
      <c r="F18" s="123">
        <f>SUM(E18*24/100)</f>
        <v>52.8</v>
      </c>
      <c r="G18" s="123">
        <v>539.30999999999995</v>
      </c>
      <c r="H18" s="124">
        <f t="shared" si="0"/>
        <v>28.475567999999996</v>
      </c>
      <c r="I18" s="14">
        <f>F18/12*G18</f>
        <v>2372.9639999999995</v>
      </c>
    </row>
    <row r="19" spans="1:9" ht="15.75" hidden="1" customHeight="1">
      <c r="A19" s="34">
        <v>4</v>
      </c>
      <c r="B19" s="120" t="s">
        <v>103</v>
      </c>
      <c r="C19" s="121" t="s">
        <v>104</v>
      </c>
      <c r="D19" s="120" t="s">
        <v>105</v>
      </c>
      <c r="E19" s="122">
        <v>32.4</v>
      </c>
      <c r="F19" s="123">
        <f>SUM(E19/10)</f>
        <v>3.2399999999999998</v>
      </c>
      <c r="G19" s="123">
        <v>181.91</v>
      </c>
      <c r="H19" s="124">
        <f t="shared" si="0"/>
        <v>0.58938839999999992</v>
      </c>
      <c r="I19" s="14">
        <v>0</v>
      </c>
    </row>
    <row r="20" spans="1:9" ht="15.75" customHeight="1">
      <c r="A20" s="34">
        <v>4</v>
      </c>
      <c r="B20" s="120" t="s">
        <v>106</v>
      </c>
      <c r="C20" s="121" t="s">
        <v>94</v>
      </c>
      <c r="D20" s="120" t="s">
        <v>137</v>
      </c>
      <c r="E20" s="122">
        <v>12.24</v>
      </c>
      <c r="F20" s="123">
        <f>SUM(E20*12/100)</f>
        <v>1.4687999999999999</v>
      </c>
      <c r="G20" s="123">
        <v>232.92</v>
      </c>
      <c r="H20" s="124">
        <f t="shared" si="0"/>
        <v>0.342112896</v>
      </c>
      <c r="I20" s="14">
        <f>F20/12*G20</f>
        <v>28.509407999999997</v>
      </c>
    </row>
    <row r="21" spans="1:9" ht="15.75" customHeight="1">
      <c r="A21" s="34">
        <v>5</v>
      </c>
      <c r="B21" s="120" t="s">
        <v>107</v>
      </c>
      <c r="C21" s="121" t="s">
        <v>94</v>
      </c>
      <c r="D21" s="120" t="s">
        <v>138</v>
      </c>
      <c r="E21" s="122">
        <v>10.08</v>
      </c>
      <c r="F21" s="123">
        <f>SUM(E21*6/100)</f>
        <v>0.6048</v>
      </c>
      <c r="G21" s="123">
        <v>231.03</v>
      </c>
      <c r="H21" s="124">
        <f t="shared" si="0"/>
        <v>0.13972694399999999</v>
      </c>
      <c r="I21" s="14">
        <f>F21/6*G21</f>
        <v>23.287824000000001</v>
      </c>
    </row>
    <row r="22" spans="1:9" ht="15.75" hidden="1" customHeight="1">
      <c r="A22" s="34">
        <v>7</v>
      </c>
      <c r="B22" s="120" t="s">
        <v>108</v>
      </c>
      <c r="C22" s="121" t="s">
        <v>51</v>
      </c>
      <c r="D22" s="120" t="s">
        <v>105</v>
      </c>
      <c r="E22" s="122">
        <v>293.76</v>
      </c>
      <c r="F22" s="123">
        <f>SUM(E22/100)</f>
        <v>2.9375999999999998</v>
      </c>
      <c r="G22" s="123">
        <v>287.83999999999997</v>
      </c>
      <c r="H22" s="124">
        <f t="shared" si="0"/>
        <v>0.84555878399999984</v>
      </c>
      <c r="I22" s="14">
        <v>0</v>
      </c>
    </row>
    <row r="23" spans="1:9" ht="15.75" hidden="1" customHeight="1">
      <c r="A23" s="34">
        <v>8</v>
      </c>
      <c r="B23" s="120" t="s">
        <v>109</v>
      </c>
      <c r="C23" s="121" t="s">
        <v>51</v>
      </c>
      <c r="D23" s="120" t="s">
        <v>105</v>
      </c>
      <c r="E23" s="125">
        <v>17.64</v>
      </c>
      <c r="F23" s="123">
        <f>SUM(E23/100)</f>
        <v>0.1764</v>
      </c>
      <c r="G23" s="123">
        <v>47.34</v>
      </c>
      <c r="H23" s="124">
        <f t="shared" si="0"/>
        <v>8.3507760000000007E-3</v>
      </c>
      <c r="I23" s="14">
        <v>0</v>
      </c>
    </row>
    <row r="24" spans="1:9" ht="15.75" hidden="1" customHeight="1">
      <c r="A24" s="34">
        <v>9</v>
      </c>
      <c r="B24" s="120" t="s">
        <v>110</v>
      </c>
      <c r="C24" s="121" t="s">
        <v>51</v>
      </c>
      <c r="D24" s="120" t="s">
        <v>111</v>
      </c>
      <c r="E24" s="122">
        <v>10.8</v>
      </c>
      <c r="F24" s="123">
        <f>E24/100</f>
        <v>0.10800000000000001</v>
      </c>
      <c r="G24" s="123">
        <v>416.62</v>
      </c>
      <c r="H24" s="124">
        <f t="shared" si="0"/>
        <v>4.4994960000000007E-2</v>
      </c>
      <c r="I24" s="14">
        <v>0</v>
      </c>
    </row>
    <row r="25" spans="1:9" ht="15.75" hidden="1" customHeight="1">
      <c r="A25" s="34">
        <v>10</v>
      </c>
      <c r="B25" s="120" t="s">
        <v>112</v>
      </c>
      <c r="C25" s="121" t="s">
        <v>51</v>
      </c>
      <c r="D25" s="120" t="s">
        <v>52</v>
      </c>
      <c r="E25" s="122">
        <v>12.6</v>
      </c>
      <c r="F25" s="123">
        <f>E25/100</f>
        <v>0.126</v>
      </c>
      <c r="G25" s="123">
        <v>231.03</v>
      </c>
      <c r="H25" s="124">
        <f>G25*F25/1000</f>
        <v>2.9109780000000002E-2</v>
      </c>
      <c r="I25" s="14">
        <v>0</v>
      </c>
    </row>
    <row r="26" spans="1:9" ht="15.75" hidden="1" customHeight="1">
      <c r="A26" s="34">
        <v>11</v>
      </c>
      <c r="B26" s="120" t="s">
        <v>113</v>
      </c>
      <c r="C26" s="121" t="s">
        <v>51</v>
      </c>
      <c r="D26" s="120" t="s">
        <v>105</v>
      </c>
      <c r="E26" s="122">
        <v>14.4</v>
      </c>
      <c r="F26" s="123">
        <f>SUM(E26/100)</f>
        <v>0.14400000000000002</v>
      </c>
      <c r="G26" s="123">
        <v>556.74</v>
      </c>
      <c r="H26" s="124">
        <f t="shared" si="0"/>
        <v>8.0170560000000016E-2</v>
      </c>
      <c r="I26" s="14">
        <v>0</v>
      </c>
    </row>
    <row r="27" spans="1:9" ht="15.75" customHeight="1">
      <c r="A27" s="34">
        <v>6</v>
      </c>
      <c r="B27" s="120" t="s">
        <v>62</v>
      </c>
      <c r="C27" s="121" t="s">
        <v>31</v>
      </c>
      <c r="D27" s="120" t="s">
        <v>130</v>
      </c>
      <c r="E27" s="122">
        <v>0.1</v>
      </c>
      <c r="F27" s="123">
        <f>SUM(E27*365)</f>
        <v>36.5</v>
      </c>
      <c r="G27" s="123">
        <v>157.18</v>
      </c>
      <c r="H27" s="124">
        <f>SUM(F27*G27/1000)</f>
        <v>5.737070000000001</v>
      </c>
      <c r="I27" s="14">
        <f>F27/12*G27</f>
        <v>478.08916666666664</v>
      </c>
    </row>
    <row r="28" spans="1:9" ht="15.75" customHeight="1">
      <c r="A28" s="34">
        <v>7</v>
      </c>
      <c r="B28" s="128" t="s">
        <v>23</v>
      </c>
      <c r="C28" s="121" t="s">
        <v>24</v>
      </c>
      <c r="D28" s="128" t="s">
        <v>131</v>
      </c>
      <c r="E28" s="122">
        <v>2054.6</v>
      </c>
      <c r="F28" s="123">
        <f>SUM(E28*12)</f>
        <v>24655.199999999997</v>
      </c>
      <c r="G28" s="123">
        <v>6.15</v>
      </c>
      <c r="H28" s="124">
        <f>SUM(F28*G28/1000)</f>
        <v>151.62947999999997</v>
      </c>
      <c r="I28" s="14">
        <f>F28/12*G28</f>
        <v>12635.79</v>
      </c>
    </row>
    <row r="29" spans="1:9" ht="15.75" customHeight="1">
      <c r="A29" s="147" t="s">
        <v>88</v>
      </c>
      <c r="B29" s="148"/>
      <c r="C29" s="148"/>
      <c r="D29" s="148"/>
      <c r="E29" s="148"/>
      <c r="F29" s="148"/>
      <c r="G29" s="148"/>
      <c r="H29" s="148"/>
      <c r="I29" s="149"/>
    </row>
    <row r="30" spans="1:9" ht="15.75" hidden="1" customHeight="1">
      <c r="A30" s="34"/>
      <c r="B30" s="144" t="s">
        <v>27</v>
      </c>
      <c r="C30" s="121"/>
      <c r="D30" s="120"/>
      <c r="E30" s="122"/>
      <c r="F30" s="123"/>
      <c r="G30" s="123"/>
      <c r="H30" s="124"/>
      <c r="I30" s="14"/>
    </row>
    <row r="31" spans="1:9" ht="31.5" hidden="1" customHeight="1">
      <c r="A31" s="34">
        <v>8</v>
      </c>
      <c r="B31" s="120" t="s">
        <v>118</v>
      </c>
      <c r="C31" s="121" t="s">
        <v>99</v>
      </c>
      <c r="D31" s="120" t="s">
        <v>114</v>
      </c>
      <c r="E31" s="123">
        <v>600.63</v>
      </c>
      <c r="F31" s="123">
        <f>SUM(E31*52/1000)</f>
        <v>31.232759999999999</v>
      </c>
      <c r="G31" s="123">
        <v>166.65</v>
      </c>
      <c r="H31" s="124">
        <f t="shared" ref="H31:H36" si="1">SUM(F31*G31/1000)</f>
        <v>5.2049394540000007</v>
      </c>
      <c r="I31" s="14">
        <f>F31/6*G31</f>
        <v>867.4899089999999</v>
      </c>
    </row>
    <row r="32" spans="1:9" ht="31.5" hidden="1" customHeight="1">
      <c r="A32" s="34">
        <v>9</v>
      </c>
      <c r="B32" s="120" t="s">
        <v>117</v>
      </c>
      <c r="C32" s="121" t="s">
        <v>99</v>
      </c>
      <c r="D32" s="120" t="s">
        <v>115</v>
      </c>
      <c r="E32" s="123">
        <v>186.39</v>
      </c>
      <c r="F32" s="123">
        <f>SUM(E32*78/1000)</f>
        <v>14.538419999999999</v>
      </c>
      <c r="G32" s="123">
        <v>276.48</v>
      </c>
      <c r="H32" s="124">
        <f t="shared" si="1"/>
        <v>4.0195823615999995</v>
      </c>
      <c r="I32" s="14">
        <f t="shared" ref="I32:I34" si="2">F32/6*G32</f>
        <v>669.93039359999989</v>
      </c>
    </row>
    <row r="33" spans="1:9" ht="15.75" hidden="1" customHeight="1">
      <c r="A33" s="34">
        <v>16</v>
      </c>
      <c r="B33" s="120" t="s">
        <v>26</v>
      </c>
      <c r="C33" s="121" t="s">
        <v>99</v>
      </c>
      <c r="D33" s="120" t="s">
        <v>52</v>
      </c>
      <c r="E33" s="123">
        <v>600.63</v>
      </c>
      <c r="F33" s="123">
        <f>SUM(E33/1000)</f>
        <v>0.60063</v>
      </c>
      <c r="G33" s="123">
        <v>3228.73</v>
      </c>
      <c r="H33" s="124">
        <f t="shared" si="1"/>
        <v>1.9392720999000002</v>
      </c>
      <c r="I33" s="14">
        <f>F33*G33</f>
        <v>1939.2720999000001</v>
      </c>
    </row>
    <row r="34" spans="1:9" ht="15.75" hidden="1" customHeight="1">
      <c r="A34" s="34">
        <v>10</v>
      </c>
      <c r="B34" s="120" t="s">
        <v>116</v>
      </c>
      <c r="C34" s="121" t="s">
        <v>29</v>
      </c>
      <c r="D34" s="120" t="s">
        <v>61</v>
      </c>
      <c r="E34" s="127">
        <v>0.33333333333333331</v>
      </c>
      <c r="F34" s="123">
        <f>155/3</f>
        <v>51.666666666666664</v>
      </c>
      <c r="G34" s="123">
        <v>60.6</v>
      </c>
      <c r="H34" s="124">
        <f>SUM(G34*155/3/1000)</f>
        <v>3.1309999999999998</v>
      </c>
      <c r="I34" s="14">
        <f t="shared" si="2"/>
        <v>521.83333333333337</v>
      </c>
    </row>
    <row r="35" spans="1:9" ht="15.75" hidden="1" customHeight="1">
      <c r="A35" s="34"/>
      <c r="B35" s="120" t="s">
        <v>63</v>
      </c>
      <c r="C35" s="121" t="s">
        <v>31</v>
      </c>
      <c r="D35" s="120" t="s">
        <v>65</v>
      </c>
      <c r="E35" s="122"/>
      <c r="F35" s="123">
        <v>2</v>
      </c>
      <c r="G35" s="123">
        <v>204.52</v>
      </c>
      <c r="H35" s="124">
        <f t="shared" si="1"/>
        <v>0.40904000000000001</v>
      </c>
      <c r="I35" s="14">
        <v>0</v>
      </c>
    </row>
    <row r="36" spans="1:9" ht="15.75" hidden="1" customHeight="1">
      <c r="A36" s="34"/>
      <c r="B36" s="120" t="s">
        <v>64</v>
      </c>
      <c r="C36" s="121" t="s">
        <v>30</v>
      </c>
      <c r="D36" s="120" t="s">
        <v>65</v>
      </c>
      <c r="E36" s="122"/>
      <c r="F36" s="123">
        <v>1</v>
      </c>
      <c r="G36" s="123">
        <v>1214.74</v>
      </c>
      <c r="H36" s="124">
        <f t="shared" si="1"/>
        <v>1.2147399999999999</v>
      </c>
      <c r="I36" s="14">
        <v>0</v>
      </c>
    </row>
    <row r="37" spans="1:9" ht="15.75" customHeight="1">
      <c r="A37" s="34"/>
      <c r="B37" s="144" t="s">
        <v>5</v>
      </c>
      <c r="C37" s="121"/>
      <c r="D37" s="120"/>
      <c r="E37" s="122"/>
      <c r="F37" s="123"/>
      <c r="G37" s="123"/>
      <c r="H37" s="124" t="s">
        <v>131</v>
      </c>
      <c r="I37" s="14"/>
    </row>
    <row r="38" spans="1:9" ht="15.75" customHeight="1">
      <c r="A38" s="34">
        <v>8</v>
      </c>
      <c r="B38" s="120" t="s">
        <v>25</v>
      </c>
      <c r="C38" s="121" t="s">
        <v>30</v>
      </c>
      <c r="D38" s="120"/>
      <c r="E38" s="122"/>
      <c r="F38" s="123">
        <v>5</v>
      </c>
      <c r="G38" s="123">
        <v>1632.6</v>
      </c>
      <c r="H38" s="124">
        <f t="shared" ref="H38:H44" si="3">SUM(F38*G38/1000)</f>
        <v>8.1630000000000003</v>
      </c>
      <c r="I38" s="14">
        <f>F38/6*G38</f>
        <v>1360.5</v>
      </c>
    </row>
    <row r="39" spans="1:9" ht="15.75" customHeight="1">
      <c r="A39" s="34">
        <v>9</v>
      </c>
      <c r="B39" s="120" t="s">
        <v>139</v>
      </c>
      <c r="C39" s="121" t="s">
        <v>28</v>
      </c>
      <c r="D39" s="120" t="s">
        <v>97</v>
      </c>
      <c r="E39" s="122">
        <v>186.39</v>
      </c>
      <c r="F39" s="123">
        <f>E39*30/1000</f>
        <v>5.5916999999999994</v>
      </c>
      <c r="G39" s="123">
        <v>2247.8000000000002</v>
      </c>
      <c r="H39" s="124">
        <f>G39*F39/1000</f>
        <v>12.56902326</v>
      </c>
      <c r="I39" s="14">
        <f>F39/6*G39</f>
        <v>2094.8372100000001</v>
      </c>
    </row>
    <row r="40" spans="1:9" ht="15.75" hidden="1" customHeight="1">
      <c r="A40" s="34"/>
      <c r="B40" s="120" t="s">
        <v>164</v>
      </c>
      <c r="C40" s="121" t="s">
        <v>165</v>
      </c>
      <c r="D40" s="120" t="s">
        <v>65</v>
      </c>
      <c r="E40" s="122"/>
      <c r="F40" s="123">
        <v>72.3</v>
      </c>
      <c r="G40" s="123">
        <v>199.44</v>
      </c>
      <c r="H40" s="124">
        <f>G40*F40/1000</f>
        <v>14.419511999999999</v>
      </c>
      <c r="I40" s="14">
        <v>0</v>
      </c>
    </row>
    <row r="41" spans="1:9" ht="15.75" customHeight="1">
      <c r="A41" s="34">
        <v>10</v>
      </c>
      <c r="B41" s="120" t="s">
        <v>66</v>
      </c>
      <c r="C41" s="121" t="s">
        <v>28</v>
      </c>
      <c r="D41" s="120" t="s">
        <v>98</v>
      </c>
      <c r="E41" s="123">
        <v>186.39</v>
      </c>
      <c r="F41" s="123">
        <f>SUM(E41*155/1000)</f>
        <v>28.890449999999998</v>
      </c>
      <c r="G41" s="123">
        <v>374.95</v>
      </c>
      <c r="H41" s="124">
        <f t="shared" si="3"/>
        <v>10.832474227499999</v>
      </c>
      <c r="I41" s="14">
        <f>F41/6*G41</f>
        <v>1805.4123712499998</v>
      </c>
    </row>
    <row r="42" spans="1:9" ht="47.25" customHeight="1">
      <c r="A42" s="34">
        <v>11</v>
      </c>
      <c r="B42" s="120" t="s">
        <v>84</v>
      </c>
      <c r="C42" s="121" t="s">
        <v>99</v>
      </c>
      <c r="D42" s="120" t="s">
        <v>140</v>
      </c>
      <c r="E42" s="123">
        <v>52.2</v>
      </c>
      <c r="F42" s="123">
        <f>SUM(E42*35/1000)</f>
        <v>1.827</v>
      </c>
      <c r="G42" s="123">
        <v>6203.7</v>
      </c>
      <c r="H42" s="124">
        <f t="shared" si="3"/>
        <v>11.3341599</v>
      </c>
      <c r="I42" s="14">
        <f>F42/6*G42</f>
        <v>1889.0266499999998</v>
      </c>
    </row>
    <row r="43" spans="1:9" ht="15.75" customHeight="1">
      <c r="A43" s="34">
        <v>12</v>
      </c>
      <c r="B43" s="120" t="s">
        <v>141</v>
      </c>
      <c r="C43" s="121" t="s">
        <v>99</v>
      </c>
      <c r="D43" s="120" t="s">
        <v>67</v>
      </c>
      <c r="E43" s="123">
        <v>52.2</v>
      </c>
      <c r="F43" s="123">
        <f>SUM(E43*45/1000)</f>
        <v>2.3490000000000002</v>
      </c>
      <c r="G43" s="123">
        <v>458.28</v>
      </c>
      <c r="H43" s="124">
        <f t="shared" si="3"/>
        <v>1.0764997199999999</v>
      </c>
      <c r="I43" s="14">
        <f>F43/6*G43</f>
        <v>179.41661999999999</v>
      </c>
    </row>
    <row r="44" spans="1:9" ht="15.75" customHeight="1">
      <c r="A44" s="34">
        <v>13</v>
      </c>
      <c r="B44" s="120" t="s">
        <v>68</v>
      </c>
      <c r="C44" s="121" t="s">
        <v>31</v>
      </c>
      <c r="D44" s="120"/>
      <c r="E44" s="122"/>
      <c r="F44" s="123">
        <v>0.5</v>
      </c>
      <c r="G44" s="123">
        <v>853.06</v>
      </c>
      <c r="H44" s="124">
        <f t="shared" si="3"/>
        <v>0.42652999999999996</v>
      </c>
      <c r="I44" s="14">
        <f>F44/6*G44</f>
        <v>71.088333333333324</v>
      </c>
    </row>
    <row r="45" spans="1:9" ht="15.75" hidden="1" customHeight="1">
      <c r="A45" s="147" t="s">
        <v>159</v>
      </c>
      <c r="B45" s="148"/>
      <c r="C45" s="148"/>
      <c r="D45" s="148"/>
      <c r="E45" s="148"/>
      <c r="F45" s="148"/>
      <c r="G45" s="148"/>
      <c r="H45" s="148"/>
      <c r="I45" s="149"/>
    </row>
    <row r="46" spans="1:9" ht="15.75" hidden="1" customHeight="1">
      <c r="A46" s="34"/>
      <c r="B46" s="120" t="s">
        <v>119</v>
      </c>
      <c r="C46" s="121" t="s">
        <v>99</v>
      </c>
      <c r="D46" s="120" t="s">
        <v>41</v>
      </c>
      <c r="E46" s="122">
        <v>917.75</v>
      </c>
      <c r="F46" s="123">
        <f>SUM(E46*2/1000)</f>
        <v>1.8354999999999999</v>
      </c>
      <c r="G46" s="14">
        <v>865.61</v>
      </c>
      <c r="H46" s="124">
        <f t="shared" ref="H46:H55" si="4">SUM(F46*G46/1000)</f>
        <v>1.5888271549999999</v>
      </c>
      <c r="I46" s="14">
        <v>0</v>
      </c>
    </row>
    <row r="47" spans="1:9" ht="15.75" hidden="1" customHeight="1">
      <c r="A47" s="34"/>
      <c r="B47" s="120" t="s">
        <v>34</v>
      </c>
      <c r="C47" s="121" t="s">
        <v>99</v>
      </c>
      <c r="D47" s="120" t="s">
        <v>41</v>
      </c>
      <c r="E47" s="122">
        <v>48</v>
      </c>
      <c r="F47" s="123">
        <f>E47*2/1000</f>
        <v>9.6000000000000002E-2</v>
      </c>
      <c r="G47" s="14">
        <v>619.46</v>
      </c>
      <c r="H47" s="124">
        <f t="shared" si="4"/>
        <v>5.9468160000000006E-2</v>
      </c>
      <c r="I47" s="14">
        <v>0</v>
      </c>
    </row>
    <row r="48" spans="1:9" ht="15.75" hidden="1" customHeight="1">
      <c r="A48" s="34"/>
      <c r="B48" s="120" t="s">
        <v>35</v>
      </c>
      <c r="C48" s="121" t="s">
        <v>99</v>
      </c>
      <c r="D48" s="120" t="s">
        <v>41</v>
      </c>
      <c r="E48" s="122">
        <v>937.4</v>
      </c>
      <c r="F48" s="123">
        <f>SUM(E48*2/1000)</f>
        <v>1.8748</v>
      </c>
      <c r="G48" s="14">
        <v>619.46</v>
      </c>
      <c r="H48" s="124">
        <f t="shared" si="4"/>
        <v>1.161363608</v>
      </c>
      <c r="I48" s="14">
        <v>0</v>
      </c>
    </row>
    <row r="49" spans="1:9" ht="15.75" hidden="1" customHeight="1">
      <c r="A49" s="34"/>
      <c r="B49" s="120" t="s">
        <v>36</v>
      </c>
      <c r="C49" s="121" t="s">
        <v>99</v>
      </c>
      <c r="D49" s="120" t="s">
        <v>41</v>
      </c>
      <c r="E49" s="122">
        <v>1243.28</v>
      </c>
      <c r="F49" s="123">
        <f>SUM(E49*2/1000)</f>
        <v>2.4865599999999999</v>
      </c>
      <c r="G49" s="14">
        <v>648.64</v>
      </c>
      <c r="H49" s="124">
        <f t="shared" si="4"/>
        <v>1.6128822783999999</v>
      </c>
      <c r="I49" s="14">
        <v>0</v>
      </c>
    </row>
    <row r="50" spans="1:9" ht="15.75" hidden="1" customHeight="1">
      <c r="A50" s="34"/>
      <c r="B50" s="120" t="s">
        <v>32</v>
      </c>
      <c r="C50" s="121" t="s">
        <v>33</v>
      </c>
      <c r="D50" s="120" t="s">
        <v>41</v>
      </c>
      <c r="E50" s="122">
        <v>64.5</v>
      </c>
      <c r="F50" s="123">
        <f>SUM(E50*2/100)</f>
        <v>1.29</v>
      </c>
      <c r="G50" s="14">
        <v>77.84</v>
      </c>
      <c r="H50" s="124">
        <f t="shared" si="4"/>
        <v>0.10041360000000001</v>
      </c>
      <c r="I50" s="14">
        <v>0</v>
      </c>
    </row>
    <row r="51" spans="1:9" ht="15.75" hidden="1" customHeight="1">
      <c r="A51" s="34">
        <v>14</v>
      </c>
      <c r="B51" s="120" t="s">
        <v>54</v>
      </c>
      <c r="C51" s="121" t="s">
        <v>99</v>
      </c>
      <c r="D51" s="120" t="s">
        <v>186</v>
      </c>
      <c r="E51" s="122">
        <v>678.4</v>
      </c>
      <c r="F51" s="123">
        <f>SUM(E51*5/1000)</f>
        <v>3.3919999999999999</v>
      </c>
      <c r="G51" s="14">
        <v>1297.28</v>
      </c>
      <c r="H51" s="124">
        <f t="shared" si="4"/>
        <v>4.4003737599999999</v>
      </c>
      <c r="I51" s="14">
        <f>F51/5*G51</f>
        <v>880.07475199999999</v>
      </c>
    </row>
    <row r="52" spans="1:9" ht="31.5" hidden="1" customHeight="1">
      <c r="A52" s="34"/>
      <c r="B52" s="120" t="s">
        <v>100</v>
      </c>
      <c r="C52" s="121" t="s">
        <v>99</v>
      </c>
      <c r="D52" s="120" t="s">
        <v>41</v>
      </c>
      <c r="E52" s="122">
        <v>678.4</v>
      </c>
      <c r="F52" s="123">
        <f>SUM(E52*2/1000)</f>
        <v>1.3568</v>
      </c>
      <c r="G52" s="14">
        <v>1297.28</v>
      </c>
      <c r="H52" s="124">
        <f t="shared" si="4"/>
        <v>1.7601495039999999</v>
      </c>
      <c r="I52" s="14">
        <v>0</v>
      </c>
    </row>
    <row r="53" spans="1:9" ht="31.5" hidden="1" customHeight="1">
      <c r="A53" s="34"/>
      <c r="B53" s="120" t="s">
        <v>101</v>
      </c>
      <c r="C53" s="121" t="s">
        <v>37</v>
      </c>
      <c r="D53" s="120" t="s">
        <v>41</v>
      </c>
      <c r="E53" s="122">
        <v>12</v>
      </c>
      <c r="F53" s="123">
        <f>SUM(E53*2/100)</f>
        <v>0.24</v>
      </c>
      <c r="G53" s="14">
        <v>2918.89</v>
      </c>
      <c r="H53" s="124">
        <f t="shared" si="4"/>
        <v>0.70053359999999998</v>
      </c>
      <c r="I53" s="14">
        <v>0</v>
      </c>
    </row>
    <row r="54" spans="1:9" ht="15.75" hidden="1" customHeight="1">
      <c r="A54" s="34"/>
      <c r="B54" s="120" t="s">
        <v>38</v>
      </c>
      <c r="C54" s="121" t="s">
        <v>39</v>
      </c>
      <c r="D54" s="120" t="s">
        <v>41</v>
      </c>
      <c r="E54" s="122">
        <v>1</v>
      </c>
      <c r="F54" s="123">
        <v>0.02</v>
      </c>
      <c r="G54" s="14">
        <v>6042.12</v>
      </c>
      <c r="H54" s="124">
        <f t="shared" si="4"/>
        <v>0.1208424</v>
      </c>
      <c r="I54" s="14">
        <v>0</v>
      </c>
    </row>
    <row r="55" spans="1:9" ht="15.75" hidden="1" customHeight="1">
      <c r="A55" s="34">
        <v>15</v>
      </c>
      <c r="B55" s="120" t="s">
        <v>40</v>
      </c>
      <c r="C55" s="121" t="s">
        <v>120</v>
      </c>
      <c r="D55" s="120" t="s">
        <v>69</v>
      </c>
      <c r="E55" s="122">
        <v>72</v>
      </c>
      <c r="F55" s="123">
        <f>SUM(E55)*3</f>
        <v>216</v>
      </c>
      <c r="G55" s="14">
        <v>70.209999999999994</v>
      </c>
      <c r="H55" s="124">
        <f t="shared" si="4"/>
        <v>15.165359999999998</v>
      </c>
      <c r="I55" s="14">
        <f>E55*G55</f>
        <v>5055.12</v>
      </c>
    </row>
    <row r="56" spans="1:9" ht="15.75" customHeight="1">
      <c r="A56" s="147" t="s">
        <v>196</v>
      </c>
      <c r="B56" s="148"/>
      <c r="C56" s="148"/>
      <c r="D56" s="148"/>
      <c r="E56" s="148"/>
      <c r="F56" s="148"/>
      <c r="G56" s="148"/>
      <c r="H56" s="148"/>
      <c r="I56" s="149"/>
    </row>
    <row r="57" spans="1:9" ht="15.75" customHeight="1">
      <c r="A57" s="34"/>
      <c r="B57" s="144" t="s">
        <v>42</v>
      </c>
      <c r="C57" s="121"/>
      <c r="D57" s="120"/>
      <c r="E57" s="122"/>
      <c r="F57" s="123"/>
      <c r="G57" s="123"/>
      <c r="H57" s="124"/>
      <c r="I57" s="14"/>
    </row>
    <row r="58" spans="1:9" ht="31.5" customHeight="1">
      <c r="A58" s="34">
        <v>14</v>
      </c>
      <c r="B58" s="120" t="s">
        <v>121</v>
      </c>
      <c r="C58" s="121" t="s">
        <v>94</v>
      </c>
      <c r="D58" s="120" t="s">
        <v>122</v>
      </c>
      <c r="E58" s="122">
        <v>110.66</v>
      </c>
      <c r="F58" s="123">
        <f>SUM(E58*6/100)</f>
        <v>6.6396000000000006</v>
      </c>
      <c r="G58" s="14">
        <v>1654.04</v>
      </c>
      <c r="H58" s="124">
        <f>SUM(F58*G58/1000)</f>
        <v>10.982163984000001</v>
      </c>
      <c r="I58" s="14">
        <f>F58/6*G58</f>
        <v>1830.360664</v>
      </c>
    </row>
    <row r="59" spans="1:9" ht="15.75" customHeight="1">
      <c r="A59" s="34"/>
      <c r="B59" s="145" t="s">
        <v>43</v>
      </c>
      <c r="C59" s="129"/>
      <c r="D59" s="130"/>
      <c r="E59" s="131"/>
      <c r="F59" s="132"/>
      <c r="G59" s="132"/>
      <c r="H59" s="133" t="s">
        <v>131</v>
      </c>
      <c r="I59" s="14"/>
    </row>
    <row r="60" spans="1:9" ht="15.75" customHeight="1">
      <c r="A60" s="34">
        <v>15</v>
      </c>
      <c r="B60" s="16" t="s">
        <v>44</v>
      </c>
      <c r="C60" s="18" t="s">
        <v>120</v>
      </c>
      <c r="D60" s="16" t="s">
        <v>65</v>
      </c>
      <c r="E60" s="21">
        <v>8</v>
      </c>
      <c r="F60" s="123">
        <v>8</v>
      </c>
      <c r="G60" s="14">
        <v>237.74</v>
      </c>
      <c r="H60" s="134">
        <f t="shared" ref="H60:H73" si="5">SUM(F60*G60/1000)</f>
        <v>1.9019200000000001</v>
      </c>
      <c r="I60" s="14">
        <f>G60*2</f>
        <v>475.48</v>
      </c>
    </row>
    <row r="61" spans="1:9" ht="15.75" hidden="1" customHeight="1">
      <c r="A61" s="34"/>
      <c r="B61" s="16" t="s">
        <v>45</v>
      </c>
      <c r="C61" s="18" t="s">
        <v>120</v>
      </c>
      <c r="D61" s="16" t="s">
        <v>65</v>
      </c>
      <c r="E61" s="21">
        <v>3</v>
      </c>
      <c r="F61" s="123">
        <v>3</v>
      </c>
      <c r="G61" s="14">
        <v>81.510000000000005</v>
      </c>
      <c r="H61" s="134">
        <f t="shared" si="5"/>
        <v>0.24453000000000003</v>
      </c>
      <c r="I61" s="14">
        <v>0</v>
      </c>
    </row>
    <row r="62" spans="1:9" ht="15.75" hidden="1" customHeight="1">
      <c r="A62" s="34"/>
      <c r="B62" s="16" t="s">
        <v>46</v>
      </c>
      <c r="C62" s="18" t="s">
        <v>123</v>
      </c>
      <c r="D62" s="16" t="s">
        <v>52</v>
      </c>
      <c r="E62" s="122">
        <v>8539</v>
      </c>
      <c r="F62" s="14">
        <f>SUM(E62/100)</f>
        <v>85.39</v>
      </c>
      <c r="G62" s="14">
        <v>226.79</v>
      </c>
      <c r="H62" s="134">
        <f t="shared" si="5"/>
        <v>19.3655981</v>
      </c>
      <c r="I62" s="14">
        <v>0</v>
      </c>
    </row>
    <row r="63" spans="1:9" ht="15.75" hidden="1" customHeight="1">
      <c r="A63" s="34"/>
      <c r="B63" s="16" t="s">
        <v>47</v>
      </c>
      <c r="C63" s="18" t="s">
        <v>124</v>
      </c>
      <c r="D63" s="16"/>
      <c r="E63" s="122">
        <v>8539</v>
      </c>
      <c r="F63" s="14">
        <f>SUM(E63/1000)</f>
        <v>8.5389999999999997</v>
      </c>
      <c r="G63" s="14">
        <v>176.61</v>
      </c>
      <c r="H63" s="134">
        <f t="shared" si="5"/>
        <v>1.5080727900000002</v>
      </c>
      <c r="I63" s="14">
        <v>0</v>
      </c>
    </row>
    <row r="64" spans="1:9" ht="15.75" hidden="1" customHeight="1">
      <c r="A64" s="34"/>
      <c r="B64" s="16" t="s">
        <v>48</v>
      </c>
      <c r="C64" s="18" t="s">
        <v>75</v>
      </c>
      <c r="D64" s="16" t="s">
        <v>52</v>
      </c>
      <c r="E64" s="122">
        <v>1370</v>
      </c>
      <c r="F64" s="14">
        <f>SUM(E64/100)</f>
        <v>13.7</v>
      </c>
      <c r="G64" s="14">
        <v>2217.7800000000002</v>
      </c>
      <c r="H64" s="134">
        <f t="shared" si="5"/>
        <v>30.383586000000005</v>
      </c>
      <c r="I64" s="14">
        <v>0</v>
      </c>
    </row>
    <row r="65" spans="1:9" ht="15.75" hidden="1" customHeight="1">
      <c r="A65" s="34"/>
      <c r="B65" s="135" t="s">
        <v>125</v>
      </c>
      <c r="C65" s="18" t="s">
        <v>31</v>
      </c>
      <c r="D65" s="16"/>
      <c r="E65" s="122">
        <v>9</v>
      </c>
      <c r="F65" s="14">
        <f>SUM(E65)</f>
        <v>9</v>
      </c>
      <c r="G65" s="14">
        <v>42.67</v>
      </c>
      <c r="H65" s="134">
        <f t="shared" si="5"/>
        <v>0.38403000000000004</v>
      </c>
      <c r="I65" s="14">
        <v>0</v>
      </c>
    </row>
    <row r="66" spans="1:9" ht="15.75" hidden="1" customHeight="1">
      <c r="A66" s="34"/>
      <c r="B66" s="135" t="s">
        <v>126</v>
      </c>
      <c r="C66" s="18" t="s">
        <v>31</v>
      </c>
      <c r="D66" s="16"/>
      <c r="E66" s="122">
        <v>9</v>
      </c>
      <c r="F66" s="14">
        <f>SUM(E66)</f>
        <v>9</v>
      </c>
      <c r="G66" s="14">
        <v>39.81</v>
      </c>
      <c r="H66" s="134">
        <f t="shared" si="5"/>
        <v>0.35829</v>
      </c>
      <c r="I66" s="14">
        <v>0</v>
      </c>
    </row>
    <row r="67" spans="1:9" ht="15.75" hidden="1" customHeight="1">
      <c r="A67" s="34"/>
      <c r="B67" s="16" t="s">
        <v>55</v>
      </c>
      <c r="C67" s="18" t="s">
        <v>56</v>
      </c>
      <c r="D67" s="16" t="s">
        <v>52</v>
      </c>
      <c r="E67" s="21">
        <v>3</v>
      </c>
      <c r="F67" s="123">
        <v>3</v>
      </c>
      <c r="G67" s="14">
        <v>53.62</v>
      </c>
      <c r="H67" s="134">
        <f t="shared" si="5"/>
        <v>0.16085999999999998</v>
      </c>
      <c r="I67" s="14">
        <v>0</v>
      </c>
    </row>
    <row r="68" spans="1:9" ht="15.75" hidden="1" customHeight="1">
      <c r="A68" s="34"/>
      <c r="B68" s="36" t="s">
        <v>70</v>
      </c>
      <c r="C68" s="18"/>
      <c r="D68" s="16"/>
      <c r="E68" s="21"/>
      <c r="F68" s="14"/>
      <c r="G68" s="14"/>
      <c r="H68" s="134" t="s">
        <v>131</v>
      </c>
      <c r="I68" s="14"/>
    </row>
    <row r="69" spans="1:9" ht="15.75" hidden="1" customHeight="1">
      <c r="A69" s="34"/>
      <c r="B69" s="16" t="s">
        <v>71</v>
      </c>
      <c r="C69" s="18" t="s">
        <v>73</v>
      </c>
      <c r="D69" s="16"/>
      <c r="E69" s="21">
        <v>2</v>
      </c>
      <c r="F69" s="14">
        <v>0.2</v>
      </c>
      <c r="G69" s="14">
        <v>536.23</v>
      </c>
      <c r="H69" s="134">
        <f t="shared" si="5"/>
        <v>0.10724600000000001</v>
      </c>
      <c r="I69" s="14">
        <v>0</v>
      </c>
    </row>
    <row r="70" spans="1:9" ht="15.75" hidden="1" customHeight="1">
      <c r="A70" s="34"/>
      <c r="B70" s="16" t="s">
        <v>72</v>
      </c>
      <c r="C70" s="18" t="s">
        <v>29</v>
      </c>
      <c r="D70" s="16"/>
      <c r="E70" s="21">
        <v>1</v>
      </c>
      <c r="F70" s="116">
        <v>1</v>
      </c>
      <c r="G70" s="14">
        <v>911.85</v>
      </c>
      <c r="H70" s="134">
        <f>F70*G70/1000</f>
        <v>0.91185000000000005</v>
      </c>
      <c r="I70" s="14">
        <v>0</v>
      </c>
    </row>
    <row r="71" spans="1:9" ht="15.75" hidden="1" customHeight="1">
      <c r="A71" s="34"/>
      <c r="B71" s="16" t="s">
        <v>143</v>
      </c>
      <c r="C71" s="18" t="s">
        <v>29</v>
      </c>
      <c r="D71" s="16"/>
      <c r="E71" s="21">
        <v>1</v>
      </c>
      <c r="F71" s="14">
        <v>1</v>
      </c>
      <c r="G71" s="14">
        <v>383.25</v>
      </c>
      <c r="H71" s="134">
        <f>G71*F71/1000</f>
        <v>0.38324999999999998</v>
      </c>
      <c r="I71" s="14">
        <v>0</v>
      </c>
    </row>
    <row r="72" spans="1:9" ht="15.75" hidden="1" customHeight="1">
      <c r="A72" s="34"/>
      <c r="B72" s="136" t="s">
        <v>74</v>
      </c>
      <c r="C72" s="18"/>
      <c r="D72" s="16"/>
      <c r="E72" s="21"/>
      <c r="F72" s="14"/>
      <c r="G72" s="14" t="s">
        <v>131</v>
      </c>
      <c r="H72" s="134" t="s">
        <v>131</v>
      </c>
      <c r="I72" s="14"/>
    </row>
    <row r="73" spans="1:9" ht="15.75" hidden="1" customHeight="1">
      <c r="A73" s="34"/>
      <c r="B73" s="63" t="s">
        <v>132</v>
      </c>
      <c r="C73" s="18" t="s">
        <v>75</v>
      </c>
      <c r="D73" s="16"/>
      <c r="E73" s="21"/>
      <c r="F73" s="14">
        <v>1.35</v>
      </c>
      <c r="G73" s="14">
        <v>2949.85</v>
      </c>
      <c r="H73" s="134">
        <f t="shared" si="5"/>
        <v>3.9822975</v>
      </c>
      <c r="I73" s="14">
        <v>0</v>
      </c>
    </row>
    <row r="74" spans="1:9" ht="15.75" hidden="1" customHeight="1">
      <c r="A74" s="34"/>
      <c r="B74" s="115" t="s">
        <v>102</v>
      </c>
      <c r="C74" s="137"/>
      <c r="D74" s="36"/>
      <c r="E74" s="37"/>
      <c r="F74" s="126"/>
      <c r="G74" s="126"/>
      <c r="H74" s="138">
        <f>SUM(H58:H73)</f>
        <v>70.673694374000007</v>
      </c>
      <c r="I74" s="126"/>
    </row>
    <row r="75" spans="1:9" ht="15.75" hidden="1" customHeight="1">
      <c r="A75" s="34"/>
      <c r="B75" s="120" t="s">
        <v>127</v>
      </c>
      <c r="C75" s="18"/>
      <c r="D75" s="16"/>
      <c r="E75" s="139"/>
      <c r="F75" s="14">
        <v>1</v>
      </c>
      <c r="G75" s="14">
        <v>7101.4</v>
      </c>
      <c r="H75" s="134">
        <f>G75*F75/1000</f>
        <v>7.1013999999999999</v>
      </c>
      <c r="I75" s="14">
        <v>0</v>
      </c>
    </row>
    <row r="76" spans="1:9" ht="15.75" customHeight="1">
      <c r="A76" s="147" t="s">
        <v>197</v>
      </c>
      <c r="B76" s="148"/>
      <c r="C76" s="148"/>
      <c r="D76" s="148"/>
      <c r="E76" s="148"/>
      <c r="F76" s="148"/>
      <c r="G76" s="148"/>
      <c r="H76" s="148"/>
      <c r="I76" s="149"/>
    </row>
    <row r="77" spans="1:9" ht="15.75" customHeight="1">
      <c r="A77" s="34">
        <v>16</v>
      </c>
      <c r="B77" s="120" t="s">
        <v>128</v>
      </c>
      <c r="C77" s="18" t="s">
        <v>53</v>
      </c>
      <c r="D77" s="140" t="s">
        <v>188</v>
      </c>
      <c r="E77" s="14">
        <v>2054.6</v>
      </c>
      <c r="F77" s="14">
        <f>SUM(E77*12)</f>
        <v>24655.199999999997</v>
      </c>
      <c r="G77" s="14">
        <v>2.2400000000000002</v>
      </c>
      <c r="H77" s="134">
        <f>SUM(F77*G77/1000)</f>
        <v>55.227648000000002</v>
      </c>
      <c r="I77" s="14">
        <f>F77/12*G77</f>
        <v>4602.3040000000001</v>
      </c>
    </row>
    <row r="78" spans="1:9" ht="31.5" customHeight="1">
      <c r="A78" s="34">
        <v>17</v>
      </c>
      <c r="B78" s="16" t="s">
        <v>76</v>
      </c>
      <c r="C78" s="18"/>
      <c r="D78" s="140" t="s">
        <v>188</v>
      </c>
      <c r="E78" s="122">
        <f>E77</f>
        <v>2054.6</v>
      </c>
      <c r="F78" s="14">
        <f>E78*12</f>
        <v>24655.199999999997</v>
      </c>
      <c r="G78" s="14">
        <v>1.74</v>
      </c>
      <c r="H78" s="134">
        <f>F78*G78/1000</f>
        <v>42.900047999999998</v>
      </c>
      <c r="I78" s="14">
        <f>F78/12*G78</f>
        <v>3575.0039999999999</v>
      </c>
    </row>
    <row r="79" spans="1:9" ht="15.75" customHeight="1">
      <c r="A79" s="34"/>
      <c r="B79" s="50" t="s">
        <v>80</v>
      </c>
      <c r="C79" s="137"/>
      <c r="D79" s="136"/>
      <c r="E79" s="126"/>
      <c r="F79" s="126"/>
      <c r="G79" s="126"/>
      <c r="H79" s="138">
        <f>H78</f>
        <v>42.900047999999998</v>
      </c>
      <c r="I79" s="126">
        <f>I16+I17+I18+I20+I21+I27+I28+I38+I39+I41+I42+I43+I44+I58+I60+I77+I78</f>
        <v>37443.516247250001</v>
      </c>
    </row>
    <row r="80" spans="1:9" ht="15.75" customHeight="1">
      <c r="A80" s="34"/>
      <c r="B80" s="75" t="s">
        <v>58</v>
      </c>
      <c r="C80" s="18"/>
      <c r="D80" s="63"/>
      <c r="E80" s="14"/>
      <c r="F80" s="14"/>
      <c r="G80" s="14"/>
      <c r="H80" s="14"/>
      <c r="I80" s="14"/>
    </row>
    <row r="81" spans="1:9" ht="15.75" customHeight="1">
      <c r="A81" s="34">
        <v>18</v>
      </c>
      <c r="B81" s="76" t="s">
        <v>133</v>
      </c>
      <c r="C81" s="77" t="s">
        <v>120</v>
      </c>
      <c r="D81" s="63"/>
      <c r="E81" s="14"/>
      <c r="F81" s="14">
        <v>432</v>
      </c>
      <c r="G81" s="14">
        <v>50.68</v>
      </c>
      <c r="H81" s="14">
        <f>G81*F81/1000</f>
        <v>21.893759999999997</v>
      </c>
      <c r="I81" s="14">
        <f>G81*36</f>
        <v>1824.48</v>
      </c>
    </row>
    <row r="82" spans="1:9" ht="31.5" customHeight="1">
      <c r="A82" s="34">
        <v>19</v>
      </c>
      <c r="B82" s="76" t="s">
        <v>79</v>
      </c>
      <c r="C82" s="18" t="s">
        <v>29</v>
      </c>
      <c r="D82" s="63"/>
      <c r="E82" s="14"/>
      <c r="F82" s="14">
        <v>4</v>
      </c>
      <c r="G82" s="14">
        <v>79.09</v>
      </c>
      <c r="H82" s="14">
        <f t="shared" ref="H82:H87" si="6">G82*F82/1000</f>
        <v>0.31636000000000003</v>
      </c>
      <c r="I82" s="14">
        <f>G82</f>
        <v>79.09</v>
      </c>
    </row>
    <row r="83" spans="1:9" ht="31.5" customHeight="1">
      <c r="A83" s="34">
        <v>20</v>
      </c>
      <c r="B83" s="76" t="s">
        <v>168</v>
      </c>
      <c r="C83" s="18" t="s">
        <v>29</v>
      </c>
      <c r="D83" s="63"/>
      <c r="E83" s="14"/>
      <c r="F83" s="14">
        <v>3</v>
      </c>
      <c r="G83" s="14">
        <v>559.62</v>
      </c>
      <c r="H83" s="134">
        <f t="shared" si="6"/>
        <v>1.67886</v>
      </c>
      <c r="I83" s="14">
        <f t="shared" ref="I83:I87" si="7">G83</f>
        <v>559.62</v>
      </c>
    </row>
    <row r="84" spans="1:9" ht="15.75" customHeight="1">
      <c r="A84" s="34">
        <v>21</v>
      </c>
      <c r="B84" s="76" t="s">
        <v>172</v>
      </c>
      <c r="C84" s="18" t="s">
        <v>29</v>
      </c>
      <c r="D84" s="63"/>
      <c r="E84" s="14"/>
      <c r="F84" s="14">
        <v>1</v>
      </c>
      <c r="G84" s="14">
        <v>476.76</v>
      </c>
      <c r="H84" s="134">
        <f t="shared" si="6"/>
        <v>0.47676000000000002</v>
      </c>
      <c r="I84" s="14">
        <f t="shared" si="7"/>
        <v>476.76</v>
      </c>
    </row>
    <row r="85" spans="1:9" ht="31.5" customHeight="1">
      <c r="A85" s="34">
        <v>22</v>
      </c>
      <c r="B85" s="76" t="s">
        <v>146</v>
      </c>
      <c r="C85" s="77" t="s">
        <v>147</v>
      </c>
      <c r="D85" s="63"/>
      <c r="E85" s="14"/>
      <c r="F85" s="14">
        <v>1</v>
      </c>
      <c r="G85" s="14">
        <v>51.39</v>
      </c>
      <c r="H85" s="134">
        <f t="shared" si="6"/>
        <v>5.1389999999999998E-2</v>
      </c>
      <c r="I85" s="14">
        <f t="shared" si="7"/>
        <v>51.39</v>
      </c>
    </row>
    <row r="86" spans="1:9" ht="15.75" customHeight="1">
      <c r="A86" s="34">
        <v>23</v>
      </c>
      <c r="B86" s="76" t="s">
        <v>173</v>
      </c>
      <c r="C86" s="77" t="s">
        <v>120</v>
      </c>
      <c r="D86" s="63"/>
      <c r="E86" s="14"/>
      <c r="F86" s="14">
        <v>1</v>
      </c>
      <c r="G86" s="14">
        <v>484.76</v>
      </c>
      <c r="H86" s="134">
        <f t="shared" si="6"/>
        <v>0.48475999999999997</v>
      </c>
      <c r="I86" s="14">
        <f t="shared" si="7"/>
        <v>484.76</v>
      </c>
    </row>
    <row r="87" spans="1:9" ht="15.75" customHeight="1">
      <c r="A87" s="34">
        <v>24</v>
      </c>
      <c r="B87" s="76" t="s">
        <v>174</v>
      </c>
      <c r="C87" s="77" t="s">
        <v>175</v>
      </c>
      <c r="D87" s="63"/>
      <c r="E87" s="14"/>
      <c r="F87" s="14">
        <v>4</v>
      </c>
      <c r="G87" s="14">
        <v>1501</v>
      </c>
      <c r="H87" s="134">
        <f t="shared" si="6"/>
        <v>6.0039999999999996</v>
      </c>
      <c r="I87" s="14">
        <f>G87*2</f>
        <v>3002</v>
      </c>
    </row>
    <row r="88" spans="1:9" ht="15.75" customHeight="1">
      <c r="A88" s="34"/>
      <c r="B88" s="57" t="s">
        <v>49</v>
      </c>
      <c r="C88" s="53"/>
      <c r="D88" s="66"/>
      <c r="E88" s="53">
        <v>1</v>
      </c>
      <c r="F88" s="53"/>
      <c r="G88" s="53"/>
      <c r="H88" s="53"/>
      <c r="I88" s="37">
        <f>SUM(I81:I87)</f>
        <v>6478.0999999999995</v>
      </c>
    </row>
    <row r="89" spans="1:9" ht="15.75" customHeight="1">
      <c r="A89" s="34"/>
      <c r="B89" s="63" t="s">
        <v>77</v>
      </c>
      <c r="C89" s="17"/>
      <c r="D89" s="17"/>
      <c r="E89" s="54"/>
      <c r="F89" s="54"/>
      <c r="G89" s="55"/>
      <c r="H89" s="55"/>
      <c r="I89" s="20">
        <v>0</v>
      </c>
    </row>
    <row r="90" spans="1:9" ht="15.75" customHeight="1">
      <c r="A90" s="67"/>
      <c r="B90" s="58" t="s">
        <v>50</v>
      </c>
      <c r="C90" s="43"/>
      <c r="D90" s="43"/>
      <c r="E90" s="43"/>
      <c r="F90" s="43"/>
      <c r="G90" s="43"/>
      <c r="H90" s="43"/>
      <c r="I90" s="56">
        <f>I79+I88</f>
        <v>43921.61624725</v>
      </c>
    </row>
    <row r="91" spans="1:9" ht="15.75">
      <c r="A91" s="160" t="s">
        <v>198</v>
      </c>
      <c r="B91" s="160"/>
      <c r="C91" s="160"/>
      <c r="D91" s="160"/>
      <c r="E91" s="160"/>
      <c r="F91" s="160"/>
      <c r="G91" s="160"/>
      <c r="H91" s="160"/>
      <c r="I91" s="160"/>
    </row>
    <row r="92" spans="1:9" ht="15.75">
      <c r="A92" s="102"/>
      <c r="B92" s="155" t="s">
        <v>199</v>
      </c>
      <c r="C92" s="155"/>
      <c r="D92" s="155"/>
      <c r="E92" s="155"/>
      <c r="F92" s="155"/>
      <c r="G92" s="155"/>
      <c r="H92" s="119"/>
      <c r="I92" s="3"/>
    </row>
    <row r="93" spans="1:9">
      <c r="A93" s="106"/>
      <c r="B93" s="151" t="s">
        <v>6</v>
      </c>
      <c r="C93" s="151"/>
      <c r="D93" s="151"/>
      <c r="E93" s="151"/>
      <c r="F93" s="151"/>
      <c r="G93" s="151"/>
      <c r="H93" s="29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56" t="s">
        <v>7</v>
      </c>
      <c r="B95" s="156"/>
      <c r="C95" s="156"/>
      <c r="D95" s="156"/>
      <c r="E95" s="156"/>
      <c r="F95" s="156"/>
      <c r="G95" s="156"/>
      <c r="H95" s="156"/>
      <c r="I95" s="156"/>
    </row>
    <row r="96" spans="1:9" ht="15.75">
      <c r="A96" s="156" t="s">
        <v>8</v>
      </c>
      <c r="B96" s="156"/>
      <c r="C96" s="156"/>
      <c r="D96" s="156"/>
      <c r="E96" s="156"/>
      <c r="F96" s="156"/>
      <c r="G96" s="156"/>
      <c r="H96" s="156"/>
      <c r="I96" s="156"/>
    </row>
    <row r="97" spans="1:9" ht="15.75">
      <c r="A97" s="157" t="s">
        <v>59</v>
      </c>
      <c r="B97" s="157"/>
      <c r="C97" s="157"/>
      <c r="D97" s="157"/>
      <c r="E97" s="157"/>
      <c r="F97" s="157"/>
      <c r="G97" s="157"/>
      <c r="H97" s="157"/>
      <c r="I97" s="157"/>
    </row>
    <row r="98" spans="1:9" ht="15.75">
      <c r="A98" s="11"/>
    </row>
    <row r="99" spans="1:9" ht="15.75">
      <c r="A99" s="158" t="s">
        <v>9</v>
      </c>
      <c r="B99" s="158"/>
      <c r="C99" s="158"/>
      <c r="D99" s="158"/>
      <c r="E99" s="158"/>
      <c r="F99" s="158"/>
      <c r="G99" s="158"/>
      <c r="H99" s="158"/>
      <c r="I99" s="158"/>
    </row>
    <row r="100" spans="1:9" ht="15.75">
      <c r="A100" s="4"/>
    </row>
    <row r="101" spans="1:9" ht="15.75">
      <c r="B101" s="107" t="s">
        <v>10</v>
      </c>
      <c r="C101" s="150" t="s">
        <v>162</v>
      </c>
      <c r="D101" s="150"/>
      <c r="E101" s="150"/>
      <c r="F101" s="117"/>
      <c r="I101" s="105"/>
    </row>
    <row r="102" spans="1:9">
      <c r="A102" s="106"/>
      <c r="C102" s="151" t="s">
        <v>11</v>
      </c>
      <c r="D102" s="151"/>
      <c r="E102" s="151"/>
      <c r="F102" s="29"/>
      <c r="I102" s="104" t="s">
        <v>12</v>
      </c>
    </row>
    <row r="103" spans="1:9" ht="15.75">
      <c r="A103" s="30"/>
      <c r="C103" s="12"/>
      <c r="D103" s="12"/>
      <c r="G103" s="12"/>
      <c r="H103" s="12"/>
    </row>
    <row r="104" spans="1:9" ht="15.75">
      <c r="B104" s="107" t="s">
        <v>13</v>
      </c>
      <c r="C104" s="152"/>
      <c r="D104" s="152"/>
      <c r="E104" s="152"/>
      <c r="F104" s="118"/>
      <c r="I104" s="105"/>
    </row>
    <row r="105" spans="1:9">
      <c r="A105" s="106"/>
      <c r="C105" s="153" t="s">
        <v>11</v>
      </c>
      <c r="D105" s="153"/>
      <c r="E105" s="153"/>
      <c r="F105" s="106"/>
      <c r="I105" s="104" t="s">
        <v>12</v>
      </c>
    </row>
    <row r="106" spans="1:9" ht="15.75">
      <c r="A106" s="4" t="s">
        <v>14</v>
      </c>
    </row>
    <row r="107" spans="1:9">
      <c r="A107" s="154" t="s">
        <v>15</v>
      </c>
      <c r="B107" s="154"/>
      <c r="C107" s="154"/>
      <c r="D107" s="154"/>
      <c r="E107" s="154"/>
      <c r="F107" s="154"/>
      <c r="G107" s="154"/>
      <c r="H107" s="154"/>
      <c r="I107" s="154"/>
    </row>
    <row r="108" spans="1:9" ht="45" customHeight="1">
      <c r="A108" s="146" t="s">
        <v>16</v>
      </c>
      <c r="B108" s="146"/>
      <c r="C108" s="146"/>
      <c r="D108" s="146"/>
      <c r="E108" s="146"/>
      <c r="F108" s="146"/>
      <c r="G108" s="146"/>
      <c r="H108" s="146"/>
      <c r="I108" s="146"/>
    </row>
    <row r="109" spans="1:9" ht="30" customHeight="1">
      <c r="A109" s="146" t="s">
        <v>17</v>
      </c>
      <c r="B109" s="146"/>
      <c r="C109" s="146"/>
      <c r="D109" s="146"/>
      <c r="E109" s="146"/>
      <c r="F109" s="146"/>
      <c r="G109" s="146"/>
      <c r="H109" s="146"/>
      <c r="I109" s="146"/>
    </row>
    <row r="110" spans="1:9" ht="30" customHeight="1">
      <c r="A110" s="146" t="s">
        <v>21</v>
      </c>
      <c r="B110" s="146"/>
      <c r="C110" s="146"/>
      <c r="D110" s="146"/>
      <c r="E110" s="146"/>
      <c r="F110" s="146"/>
      <c r="G110" s="146"/>
      <c r="H110" s="146"/>
      <c r="I110" s="146"/>
    </row>
    <row r="111" spans="1:9" ht="15" customHeight="1">
      <c r="A111" s="146" t="s">
        <v>20</v>
      </c>
      <c r="B111" s="146"/>
      <c r="C111" s="146"/>
      <c r="D111" s="146"/>
      <c r="E111" s="146"/>
      <c r="F111" s="146"/>
      <c r="G111" s="146"/>
      <c r="H111" s="146"/>
      <c r="I111" s="146"/>
    </row>
  </sheetData>
  <mergeCells count="27">
    <mergeCell ref="A109:I109"/>
    <mergeCell ref="A110:I110"/>
    <mergeCell ref="A111:I111"/>
    <mergeCell ref="C101:E101"/>
    <mergeCell ref="C102:E102"/>
    <mergeCell ref="C104:E104"/>
    <mergeCell ref="C105:E105"/>
    <mergeCell ref="A107:I107"/>
    <mergeCell ref="A108:I108"/>
    <mergeCell ref="B92:G92"/>
    <mergeCell ref="B93:G93"/>
    <mergeCell ref="A95:I95"/>
    <mergeCell ref="A96:I96"/>
    <mergeCell ref="A97:I97"/>
    <mergeCell ref="A99:I99"/>
    <mergeCell ref="A15:I15"/>
    <mergeCell ref="A29:I29"/>
    <mergeCell ref="A45:I45"/>
    <mergeCell ref="A56:I56"/>
    <mergeCell ref="A76:I76"/>
    <mergeCell ref="A91:I91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7.874015748031496E-2" header="0.31496062992125984" footer="0.31496062992125984"/>
  <pageSetup paperSize="9" scale="6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2" t="s">
        <v>90</v>
      </c>
      <c r="I1" s="31"/>
    </row>
    <row r="2" spans="1:9" ht="15.75">
      <c r="A2" s="33" t="s">
        <v>60</v>
      </c>
    </row>
    <row r="3" spans="1:9" ht="15.75">
      <c r="A3" s="161" t="s">
        <v>200</v>
      </c>
      <c r="B3" s="161"/>
      <c r="C3" s="161"/>
      <c r="D3" s="161"/>
      <c r="E3" s="161"/>
      <c r="F3" s="161"/>
      <c r="G3" s="161"/>
      <c r="H3" s="161"/>
      <c r="I3" s="161"/>
    </row>
    <row r="4" spans="1:9" ht="31.5" customHeight="1">
      <c r="A4" s="162" t="s">
        <v>152</v>
      </c>
      <c r="B4" s="162"/>
      <c r="C4" s="162"/>
      <c r="D4" s="162"/>
      <c r="E4" s="162"/>
      <c r="F4" s="162"/>
      <c r="G4" s="162"/>
      <c r="H4" s="162"/>
      <c r="I4" s="162"/>
    </row>
    <row r="5" spans="1:9" ht="15.75">
      <c r="A5" s="161" t="s">
        <v>201</v>
      </c>
      <c r="B5" s="163"/>
      <c r="C5" s="163"/>
      <c r="D5" s="163"/>
      <c r="E5" s="163"/>
      <c r="F5" s="163"/>
      <c r="G5" s="163"/>
      <c r="H5" s="163"/>
      <c r="I5" s="163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5">
        <v>42490</v>
      </c>
    </row>
    <row r="7" spans="1:9" ht="15.75">
      <c r="B7" s="107"/>
      <c r="C7" s="107"/>
      <c r="D7" s="107"/>
      <c r="E7" s="3"/>
      <c r="F7" s="3"/>
      <c r="G7" s="3"/>
      <c r="H7" s="3"/>
    </row>
    <row r="8" spans="1:9" ht="78.75" customHeight="1">
      <c r="A8" s="164" t="s">
        <v>157</v>
      </c>
      <c r="B8" s="164"/>
      <c r="C8" s="164"/>
      <c r="D8" s="164"/>
      <c r="E8" s="164"/>
      <c r="F8" s="164"/>
      <c r="G8" s="164"/>
      <c r="H8" s="164"/>
      <c r="I8" s="164"/>
    </row>
    <row r="9" spans="1:9" ht="15.75">
      <c r="A9" s="4"/>
    </row>
    <row r="10" spans="1:9" ht="47.25" customHeight="1">
      <c r="A10" s="165" t="s">
        <v>158</v>
      </c>
      <c r="B10" s="165"/>
      <c r="C10" s="165"/>
      <c r="D10" s="165"/>
      <c r="E10" s="165"/>
      <c r="F10" s="165"/>
      <c r="G10" s="165"/>
      <c r="H10" s="165"/>
      <c r="I10" s="165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6" t="s">
        <v>57</v>
      </c>
      <c r="B14" s="166"/>
      <c r="C14" s="166"/>
      <c r="D14" s="166"/>
      <c r="E14" s="166"/>
      <c r="F14" s="166"/>
      <c r="G14" s="166"/>
      <c r="H14" s="166"/>
      <c r="I14" s="166"/>
    </row>
    <row r="15" spans="1:9">
      <c r="A15" s="159" t="s">
        <v>4</v>
      </c>
      <c r="B15" s="159"/>
      <c r="C15" s="159"/>
      <c r="D15" s="159"/>
      <c r="E15" s="159"/>
      <c r="F15" s="159"/>
      <c r="G15" s="159"/>
      <c r="H15" s="159"/>
      <c r="I15" s="159"/>
    </row>
    <row r="16" spans="1:9" ht="31.5" customHeight="1">
      <c r="A16" s="34">
        <v>1</v>
      </c>
      <c r="B16" s="120" t="s">
        <v>93</v>
      </c>
      <c r="C16" s="121" t="s">
        <v>94</v>
      </c>
      <c r="D16" s="120" t="s">
        <v>95</v>
      </c>
      <c r="E16" s="122">
        <v>55</v>
      </c>
      <c r="F16" s="123">
        <f>SUM(E16*156/100)</f>
        <v>85.8</v>
      </c>
      <c r="G16" s="123">
        <v>187.48</v>
      </c>
      <c r="H16" s="124">
        <f t="shared" ref="H16:H26" si="0">SUM(F16*G16/1000)</f>
        <v>16.085783999999997</v>
      </c>
      <c r="I16" s="14">
        <f>F16/12*G16</f>
        <v>1340.4819999999997</v>
      </c>
    </row>
    <row r="17" spans="1:9" ht="31.5" customHeight="1">
      <c r="A17" s="34">
        <v>2</v>
      </c>
      <c r="B17" s="120" t="s">
        <v>134</v>
      </c>
      <c r="C17" s="121" t="s">
        <v>94</v>
      </c>
      <c r="D17" s="120" t="s">
        <v>96</v>
      </c>
      <c r="E17" s="122">
        <v>165</v>
      </c>
      <c r="F17" s="123">
        <f>SUM(E17*104/100)</f>
        <v>171.6</v>
      </c>
      <c r="G17" s="123">
        <v>187.48</v>
      </c>
      <c r="H17" s="124">
        <f t="shared" si="0"/>
        <v>32.171567999999994</v>
      </c>
      <c r="I17" s="14">
        <f>F17/12*G17</f>
        <v>2680.9639999999995</v>
      </c>
    </row>
    <row r="18" spans="1:9" ht="31.5" customHeight="1">
      <c r="A18" s="34">
        <v>3</v>
      </c>
      <c r="B18" s="120" t="s">
        <v>135</v>
      </c>
      <c r="C18" s="121" t="s">
        <v>94</v>
      </c>
      <c r="D18" s="120" t="s">
        <v>136</v>
      </c>
      <c r="E18" s="122">
        <f>SUM(E16+E17)</f>
        <v>220</v>
      </c>
      <c r="F18" s="123">
        <f>SUM(E18*24/100)</f>
        <v>52.8</v>
      </c>
      <c r="G18" s="123">
        <v>539.30999999999995</v>
      </c>
      <c r="H18" s="124">
        <f t="shared" si="0"/>
        <v>28.475567999999996</v>
      </c>
      <c r="I18" s="14">
        <f>F18/12*G18</f>
        <v>2372.9639999999995</v>
      </c>
    </row>
    <row r="19" spans="1:9" ht="15.75" hidden="1" customHeight="1">
      <c r="A19" s="34">
        <v>4</v>
      </c>
      <c r="B19" s="120" t="s">
        <v>103</v>
      </c>
      <c r="C19" s="121" t="s">
        <v>104</v>
      </c>
      <c r="D19" s="120" t="s">
        <v>105</v>
      </c>
      <c r="E19" s="122">
        <v>32.4</v>
      </c>
      <c r="F19" s="123">
        <f>SUM(E19/10)</f>
        <v>3.2399999999999998</v>
      </c>
      <c r="G19" s="123">
        <v>181.91</v>
      </c>
      <c r="H19" s="124">
        <f t="shared" si="0"/>
        <v>0.58938839999999992</v>
      </c>
      <c r="I19" s="14">
        <v>0</v>
      </c>
    </row>
    <row r="20" spans="1:9" ht="15.75" customHeight="1">
      <c r="A20" s="34">
        <v>4</v>
      </c>
      <c r="B20" s="120" t="s">
        <v>106</v>
      </c>
      <c r="C20" s="121" t="s">
        <v>94</v>
      </c>
      <c r="D20" s="120" t="s">
        <v>137</v>
      </c>
      <c r="E20" s="122">
        <v>12.24</v>
      </c>
      <c r="F20" s="123">
        <f>SUM(E20*12/100)</f>
        <v>1.4687999999999999</v>
      </c>
      <c r="G20" s="123">
        <v>232.92</v>
      </c>
      <c r="H20" s="124">
        <f t="shared" si="0"/>
        <v>0.342112896</v>
      </c>
      <c r="I20" s="14">
        <f>F20/12*G20</f>
        <v>28.509407999999997</v>
      </c>
    </row>
    <row r="21" spans="1:9" ht="15.75" hidden="1" customHeight="1">
      <c r="A21" s="34">
        <v>5</v>
      </c>
      <c r="B21" s="120" t="s">
        <v>107</v>
      </c>
      <c r="C21" s="121" t="s">
        <v>94</v>
      </c>
      <c r="D21" s="120" t="s">
        <v>138</v>
      </c>
      <c r="E21" s="122">
        <v>10.08</v>
      </c>
      <c r="F21" s="123">
        <f>SUM(E21*6/100)</f>
        <v>0.6048</v>
      </c>
      <c r="G21" s="123">
        <v>231.03</v>
      </c>
      <c r="H21" s="124">
        <f t="shared" si="0"/>
        <v>0.13972694399999999</v>
      </c>
      <c r="I21" s="14">
        <f>F21/6*G21</f>
        <v>23.287824000000001</v>
      </c>
    </row>
    <row r="22" spans="1:9" ht="15.75" hidden="1" customHeight="1">
      <c r="A22" s="34">
        <v>7</v>
      </c>
      <c r="B22" s="120" t="s">
        <v>108</v>
      </c>
      <c r="C22" s="121" t="s">
        <v>51</v>
      </c>
      <c r="D22" s="120" t="s">
        <v>105</v>
      </c>
      <c r="E22" s="122">
        <v>293.76</v>
      </c>
      <c r="F22" s="123">
        <f>SUM(E22/100)</f>
        <v>2.9375999999999998</v>
      </c>
      <c r="G22" s="123">
        <v>287.83999999999997</v>
      </c>
      <c r="H22" s="124">
        <f t="shared" si="0"/>
        <v>0.84555878399999984</v>
      </c>
      <c r="I22" s="14">
        <v>0</v>
      </c>
    </row>
    <row r="23" spans="1:9" ht="15.75" hidden="1" customHeight="1">
      <c r="A23" s="34">
        <v>8</v>
      </c>
      <c r="B23" s="120" t="s">
        <v>109</v>
      </c>
      <c r="C23" s="121" t="s">
        <v>51</v>
      </c>
      <c r="D23" s="120" t="s">
        <v>105</v>
      </c>
      <c r="E23" s="125">
        <v>17.64</v>
      </c>
      <c r="F23" s="123">
        <f>SUM(E23/100)</f>
        <v>0.1764</v>
      </c>
      <c r="G23" s="123">
        <v>47.34</v>
      </c>
      <c r="H23" s="124">
        <f t="shared" si="0"/>
        <v>8.3507760000000007E-3</v>
      </c>
      <c r="I23" s="14">
        <v>0</v>
      </c>
    </row>
    <row r="24" spans="1:9" ht="15.75" hidden="1" customHeight="1">
      <c r="A24" s="34">
        <v>9</v>
      </c>
      <c r="B24" s="120" t="s">
        <v>110</v>
      </c>
      <c r="C24" s="121" t="s">
        <v>51</v>
      </c>
      <c r="D24" s="120" t="s">
        <v>111</v>
      </c>
      <c r="E24" s="122">
        <v>10.8</v>
      </c>
      <c r="F24" s="123">
        <f>E24/100</f>
        <v>0.10800000000000001</v>
      </c>
      <c r="G24" s="123">
        <v>416.62</v>
      </c>
      <c r="H24" s="124">
        <f t="shared" si="0"/>
        <v>4.4994960000000007E-2</v>
      </c>
      <c r="I24" s="14">
        <v>0</v>
      </c>
    </row>
    <row r="25" spans="1:9" ht="15.75" hidden="1" customHeight="1">
      <c r="A25" s="34">
        <v>10</v>
      </c>
      <c r="B25" s="120" t="s">
        <v>112</v>
      </c>
      <c r="C25" s="121" t="s">
        <v>51</v>
      </c>
      <c r="D25" s="120" t="s">
        <v>52</v>
      </c>
      <c r="E25" s="122">
        <v>12.6</v>
      </c>
      <c r="F25" s="123">
        <f>E25/100</f>
        <v>0.126</v>
      </c>
      <c r="G25" s="123">
        <v>231.03</v>
      </c>
      <c r="H25" s="124">
        <f>G25*F25/1000</f>
        <v>2.9109780000000002E-2</v>
      </c>
      <c r="I25" s="14">
        <v>0</v>
      </c>
    </row>
    <row r="26" spans="1:9" ht="15.75" hidden="1" customHeight="1">
      <c r="A26" s="34">
        <v>11</v>
      </c>
      <c r="B26" s="120" t="s">
        <v>113</v>
      </c>
      <c r="C26" s="121" t="s">
        <v>51</v>
      </c>
      <c r="D26" s="120" t="s">
        <v>105</v>
      </c>
      <c r="E26" s="122">
        <v>14.4</v>
      </c>
      <c r="F26" s="123">
        <f>SUM(E26/100)</f>
        <v>0.14400000000000002</v>
      </c>
      <c r="G26" s="123">
        <v>556.74</v>
      </c>
      <c r="H26" s="124">
        <f t="shared" si="0"/>
        <v>8.0170560000000016E-2</v>
      </c>
      <c r="I26" s="14">
        <v>0</v>
      </c>
    </row>
    <row r="27" spans="1:9" ht="15.75" customHeight="1">
      <c r="A27" s="34">
        <v>5</v>
      </c>
      <c r="B27" s="120" t="s">
        <v>62</v>
      </c>
      <c r="C27" s="121" t="s">
        <v>31</v>
      </c>
      <c r="D27" s="120" t="s">
        <v>130</v>
      </c>
      <c r="E27" s="122">
        <v>0.1</v>
      </c>
      <c r="F27" s="123">
        <f>SUM(E27*365)</f>
        <v>36.5</v>
      </c>
      <c r="G27" s="123">
        <v>157.18</v>
      </c>
      <c r="H27" s="124">
        <f>SUM(F27*G27/1000)</f>
        <v>5.737070000000001</v>
      </c>
      <c r="I27" s="14">
        <f>F27/12*G27</f>
        <v>478.08916666666664</v>
      </c>
    </row>
    <row r="28" spans="1:9" ht="15.75" customHeight="1">
      <c r="A28" s="34">
        <v>6</v>
      </c>
      <c r="B28" s="128" t="s">
        <v>23</v>
      </c>
      <c r="C28" s="121" t="s">
        <v>24</v>
      </c>
      <c r="D28" s="128" t="s">
        <v>131</v>
      </c>
      <c r="E28" s="122">
        <v>2054.6</v>
      </c>
      <c r="F28" s="123">
        <f>SUM(E28*12)</f>
        <v>24655.199999999997</v>
      </c>
      <c r="G28" s="123">
        <v>6.15</v>
      </c>
      <c r="H28" s="124">
        <f>SUM(F28*G28/1000)</f>
        <v>151.62947999999997</v>
      </c>
      <c r="I28" s="14">
        <f>F28/12*G28</f>
        <v>12635.79</v>
      </c>
    </row>
    <row r="29" spans="1:9" ht="15.75" customHeight="1">
      <c r="A29" s="147" t="s">
        <v>88</v>
      </c>
      <c r="B29" s="148"/>
      <c r="C29" s="148"/>
      <c r="D29" s="148"/>
      <c r="E29" s="148"/>
      <c r="F29" s="148"/>
      <c r="G29" s="148"/>
      <c r="H29" s="148"/>
      <c r="I29" s="149"/>
    </row>
    <row r="30" spans="1:9" ht="15.75" hidden="1" customHeight="1">
      <c r="A30" s="34"/>
      <c r="B30" s="144" t="s">
        <v>27</v>
      </c>
      <c r="C30" s="121"/>
      <c r="D30" s="120"/>
      <c r="E30" s="122"/>
      <c r="F30" s="123"/>
      <c r="G30" s="123"/>
      <c r="H30" s="124"/>
      <c r="I30" s="14"/>
    </row>
    <row r="31" spans="1:9" ht="31.5" hidden="1" customHeight="1">
      <c r="A31" s="34">
        <v>8</v>
      </c>
      <c r="B31" s="120" t="s">
        <v>118</v>
      </c>
      <c r="C31" s="121" t="s">
        <v>99</v>
      </c>
      <c r="D31" s="120" t="s">
        <v>114</v>
      </c>
      <c r="E31" s="123">
        <v>600.63</v>
      </c>
      <c r="F31" s="123">
        <f>SUM(E31*52/1000)</f>
        <v>31.232759999999999</v>
      </c>
      <c r="G31" s="123">
        <v>166.65</v>
      </c>
      <c r="H31" s="124">
        <f t="shared" ref="H31:H36" si="1">SUM(F31*G31/1000)</f>
        <v>5.2049394540000007</v>
      </c>
      <c r="I31" s="14">
        <f>F31/6*G31</f>
        <v>867.4899089999999</v>
      </c>
    </row>
    <row r="32" spans="1:9" ht="31.5" hidden="1" customHeight="1">
      <c r="A32" s="34">
        <v>9</v>
      </c>
      <c r="B32" s="120" t="s">
        <v>117</v>
      </c>
      <c r="C32" s="121" t="s">
        <v>99</v>
      </c>
      <c r="D32" s="120" t="s">
        <v>115</v>
      </c>
      <c r="E32" s="123">
        <v>186.39</v>
      </c>
      <c r="F32" s="123">
        <f>SUM(E32*78/1000)</f>
        <v>14.538419999999999</v>
      </c>
      <c r="G32" s="123">
        <v>276.48</v>
      </c>
      <c r="H32" s="124">
        <f t="shared" si="1"/>
        <v>4.0195823615999995</v>
      </c>
      <c r="I32" s="14">
        <f t="shared" ref="I32:I34" si="2">F32/6*G32</f>
        <v>669.93039359999989</v>
      </c>
    </row>
    <row r="33" spans="1:9" ht="15.75" hidden="1" customHeight="1">
      <c r="A33" s="34">
        <v>16</v>
      </c>
      <c r="B33" s="120" t="s">
        <v>26</v>
      </c>
      <c r="C33" s="121" t="s">
        <v>99</v>
      </c>
      <c r="D33" s="120" t="s">
        <v>52</v>
      </c>
      <c r="E33" s="123">
        <v>600.63</v>
      </c>
      <c r="F33" s="123">
        <f>SUM(E33/1000)</f>
        <v>0.60063</v>
      </c>
      <c r="G33" s="123">
        <v>3228.73</v>
      </c>
      <c r="H33" s="124">
        <f t="shared" si="1"/>
        <v>1.9392720999000002</v>
      </c>
      <c r="I33" s="14">
        <f>F33*G33</f>
        <v>1939.2720999000001</v>
      </c>
    </row>
    <row r="34" spans="1:9" ht="15.75" hidden="1" customHeight="1">
      <c r="A34" s="34">
        <v>10</v>
      </c>
      <c r="B34" s="120" t="s">
        <v>116</v>
      </c>
      <c r="C34" s="121" t="s">
        <v>29</v>
      </c>
      <c r="D34" s="120" t="s">
        <v>61</v>
      </c>
      <c r="E34" s="127">
        <v>0.33333333333333331</v>
      </c>
      <c r="F34" s="123">
        <f>155/3</f>
        <v>51.666666666666664</v>
      </c>
      <c r="G34" s="123">
        <v>60.6</v>
      </c>
      <c r="H34" s="124">
        <f>SUM(G34*155/3/1000)</f>
        <v>3.1309999999999998</v>
      </c>
      <c r="I34" s="14">
        <f t="shared" si="2"/>
        <v>521.83333333333337</v>
      </c>
    </row>
    <row r="35" spans="1:9" ht="15.75" hidden="1" customHeight="1">
      <c r="A35" s="34"/>
      <c r="B35" s="120" t="s">
        <v>63</v>
      </c>
      <c r="C35" s="121" t="s">
        <v>31</v>
      </c>
      <c r="D35" s="120" t="s">
        <v>65</v>
      </c>
      <c r="E35" s="122"/>
      <c r="F35" s="123">
        <v>2</v>
      </c>
      <c r="G35" s="123">
        <v>204.52</v>
      </c>
      <c r="H35" s="124">
        <f t="shared" si="1"/>
        <v>0.40904000000000001</v>
      </c>
      <c r="I35" s="14">
        <v>0</v>
      </c>
    </row>
    <row r="36" spans="1:9" ht="15.75" hidden="1" customHeight="1">
      <c r="A36" s="34"/>
      <c r="B36" s="120" t="s">
        <v>64</v>
      </c>
      <c r="C36" s="121" t="s">
        <v>30</v>
      </c>
      <c r="D36" s="120" t="s">
        <v>65</v>
      </c>
      <c r="E36" s="122"/>
      <c r="F36" s="123">
        <v>1</v>
      </c>
      <c r="G36" s="123">
        <v>1214.74</v>
      </c>
      <c r="H36" s="124">
        <f t="shared" si="1"/>
        <v>1.2147399999999999</v>
      </c>
      <c r="I36" s="14">
        <v>0</v>
      </c>
    </row>
    <row r="37" spans="1:9" ht="15.75" customHeight="1">
      <c r="A37" s="34"/>
      <c r="B37" s="144" t="s">
        <v>5</v>
      </c>
      <c r="C37" s="121"/>
      <c r="D37" s="120"/>
      <c r="E37" s="122"/>
      <c r="F37" s="123"/>
      <c r="G37" s="123"/>
      <c r="H37" s="124" t="s">
        <v>131</v>
      </c>
      <c r="I37" s="14"/>
    </row>
    <row r="38" spans="1:9" ht="15.75" customHeight="1">
      <c r="A38" s="34">
        <v>7</v>
      </c>
      <c r="B38" s="120" t="s">
        <v>25</v>
      </c>
      <c r="C38" s="121" t="s">
        <v>30</v>
      </c>
      <c r="D38" s="120"/>
      <c r="E38" s="122"/>
      <c r="F38" s="123">
        <v>5</v>
      </c>
      <c r="G38" s="123">
        <v>1632.6</v>
      </c>
      <c r="H38" s="124">
        <f t="shared" ref="H38:H44" si="3">SUM(F38*G38/1000)</f>
        <v>8.1630000000000003</v>
      </c>
      <c r="I38" s="14">
        <f>F38/6*G38</f>
        <v>1360.5</v>
      </c>
    </row>
    <row r="39" spans="1:9" ht="15.75" customHeight="1">
      <c r="A39" s="34">
        <v>8</v>
      </c>
      <c r="B39" s="120" t="s">
        <v>139</v>
      </c>
      <c r="C39" s="121" t="s">
        <v>28</v>
      </c>
      <c r="D39" s="120" t="s">
        <v>97</v>
      </c>
      <c r="E39" s="122">
        <v>186.39</v>
      </c>
      <c r="F39" s="123">
        <f>E39*30/1000</f>
        <v>5.5916999999999994</v>
      </c>
      <c r="G39" s="123">
        <v>2247.8000000000002</v>
      </c>
      <c r="H39" s="124">
        <f>G39*F39/1000</f>
        <v>12.56902326</v>
      </c>
      <c r="I39" s="14">
        <f>F39/6*G39</f>
        <v>2094.8372100000001</v>
      </c>
    </row>
    <row r="40" spans="1:9" ht="15.75" hidden="1" customHeight="1">
      <c r="A40" s="34"/>
      <c r="B40" s="120" t="s">
        <v>164</v>
      </c>
      <c r="C40" s="121" t="s">
        <v>165</v>
      </c>
      <c r="D40" s="120" t="s">
        <v>65</v>
      </c>
      <c r="E40" s="122"/>
      <c r="F40" s="123">
        <v>72.3</v>
      </c>
      <c r="G40" s="123">
        <v>199.44</v>
      </c>
      <c r="H40" s="124">
        <f>G40*F40/1000</f>
        <v>14.419511999999999</v>
      </c>
      <c r="I40" s="14">
        <v>0</v>
      </c>
    </row>
    <row r="41" spans="1:9" ht="15.75" customHeight="1">
      <c r="A41" s="34">
        <v>9</v>
      </c>
      <c r="B41" s="120" t="s">
        <v>66</v>
      </c>
      <c r="C41" s="121" t="s">
        <v>28</v>
      </c>
      <c r="D41" s="120" t="s">
        <v>98</v>
      </c>
      <c r="E41" s="123">
        <v>186.39</v>
      </c>
      <c r="F41" s="123">
        <f>SUM(E41*155/1000)</f>
        <v>28.890449999999998</v>
      </c>
      <c r="G41" s="123">
        <v>374.95</v>
      </c>
      <c r="H41" s="124">
        <f t="shared" si="3"/>
        <v>10.832474227499999</v>
      </c>
      <c r="I41" s="14">
        <f>F41/6*G41</f>
        <v>1805.4123712499998</v>
      </c>
    </row>
    <row r="42" spans="1:9" ht="47.25" customHeight="1">
      <c r="A42" s="34">
        <v>10</v>
      </c>
      <c r="B42" s="120" t="s">
        <v>84</v>
      </c>
      <c r="C42" s="121" t="s">
        <v>99</v>
      </c>
      <c r="D42" s="120" t="s">
        <v>140</v>
      </c>
      <c r="E42" s="123">
        <v>52.2</v>
      </c>
      <c r="F42" s="123">
        <f>SUM(E42*35/1000)</f>
        <v>1.827</v>
      </c>
      <c r="G42" s="123">
        <v>6203.7</v>
      </c>
      <c r="H42" s="124">
        <f t="shared" si="3"/>
        <v>11.3341599</v>
      </c>
      <c r="I42" s="14">
        <f>F42/6*G42</f>
        <v>1889.0266499999998</v>
      </c>
    </row>
    <row r="43" spans="1:9" ht="15.75" customHeight="1">
      <c r="A43" s="34">
        <v>11</v>
      </c>
      <c r="B43" s="120" t="s">
        <v>141</v>
      </c>
      <c r="C43" s="121" t="s">
        <v>99</v>
      </c>
      <c r="D43" s="120" t="s">
        <v>67</v>
      </c>
      <c r="E43" s="123">
        <v>52.2</v>
      </c>
      <c r="F43" s="123">
        <f>SUM(E43*45/1000)</f>
        <v>2.3490000000000002</v>
      </c>
      <c r="G43" s="123">
        <v>458.28</v>
      </c>
      <c r="H43" s="124">
        <f t="shared" si="3"/>
        <v>1.0764997199999999</v>
      </c>
      <c r="I43" s="14">
        <f>F43/6*G43</f>
        <v>179.41661999999999</v>
      </c>
    </row>
    <row r="44" spans="1:9" ht="15.75" customHeight="1">
      <c r="A44" s="34">
        <v>12</v>
      </c>
      <c r="B44" s="120" t="s">
        <v>68</v>
      </c>
      <c r="C44" s="121" t="s">
        <v>31</v>
      </c>
      <c r="D44" s="120"/>
      <c r="E44" s="122"/>
      <c r="F44" s="123">
        <v>0.5</v>
      </c>
      <c r="G44" s="123">
        <v>853.06</v>
      </c>
      <c r="H44" s="124">
        <f t="shared" si="3"/>
        <v>0.42652999999999996</v>
      </c>
      <c r="I44" s="14">
        <f>F44/6*G44</f>
        <v>71.088333333333324</v>
      </c>
    </row>
    <row r="45" spans="1:9" ht="15.75" customHeight="1">
      <c r="A45" s="147" t="s">
        <v>159</v>
      </c>
      <c r="B45" s="148"/>
      <c r="C45" s="148"/>
      <c r="D45" s="148"/>
      <c r="E45" s="148"/>
      <c r="F45" s="148"/>
      <c r="G45" s="148"/>
      <c r="H45" s="148"/>
      <c r="I45" s="149"/>
    </row>
    <row r="46" spans="1:9" ht="15.75" hidden="1" customHeight="1">
      <c r="A46" s="34"/>
      <c r="B46" s="120" t="s">
        <v>119</v>
      </c>
      <c r="C46" s="121" t="s">
        <v>99</v>
      </c>
      <c r="D46" s="120" t="s">
        <v>41</v>
      </c>
      <c r="E46" s="122">
        <v>917.75</v>
      </c>
      <c r="F46" s="123">
        <f>SUM(E46*2/1000)</f>
        <v>1.8354999999999999</v>
      </c>
      <c r="G46" s="14">
        <v>865.61</v>
      </c>
      <c r="H46" s="124">
        <f t="shared" ref="H46:H55" si="4">SUM(F46*G46/1000)</f>
        <v>1.5888271549999999</v>
      </c>
      <c r="I46" s="14">
        <v>0</v>
      </c>
    </row>
    <row r="47" spans="1:9" ht="15.75" hidden="1" customHeight="1">
      <c r="A47" s="34"/>
      <c r="B47" s="120" t="s">
        <v>34</v>
      </c>
      <c r="C47" s="121" t="s">
        <v>99</v>
      </c>
      <c r="D47" s="120" t="s">
        <v>41</v>
      </c>
      <c r="E47" s="122">
        <v>48</v>
      </c>
      <c r="F47" s="123">
        <f>E47*2/1000</f>
        <v>9.6000000000000002E-2</v>
      </c>
      <c r="G47" s="14">
        <v>619.46</v>
      </c>
      <c r="H47" s="124">
        <f t="shared" si="4"/>
        <v>5.9468160000000006E-2</v>
      </c>
      <c r="I47" s="14">
        <v>0</v>
      </c>
    </row>
    <row r="48" spans="1:9" ht="15.75" hidden="1" customHeight="1">
      <c r="A48" s="34"/>
      <c r="B48" s="120" t="s">
        <v>35</v>
      </c>
      <c r="C48" s="121" t="s">
        <v>99</v>
      </c>
      <c r="D48" s="120" t="s">
        <v>41</v>
      </c>
      <c r="E48" s="122">
        <v>937.4</v>
      </c>
      <c r="F48" s="123">
        <f>SUM(E48*2/1000)</f>
        <v>1.8748</v>
      </c>
      <c r="G48" s="14">
        <v>619.46</v>
      </c>
      <c r="H48" s="124">
        <f t="shared" si="4"/>
        <v>1.161363608</v>
      </c>
      <c r="I48" s="14">
        <v>0</v>
      </c>
    </row>
    <row r="49" spans="1:9" ht="15.75" hidden="1" customHeight="1">
      <c r="A49" s="34"/>
      <c r="B49" s="120" t="s">
        <v>36</v>
      </c>
      <c r="C49" s="121" t="s">
        <v>99</v>
      </c>
      <c r="D49" s="120" t="s">
        <v>41</v>
      </c>
      <c r="E49" s="122">
        <v>1243.28</v>
      </c>
      <c r="F49" s="123">
        <f>SUM(E49*2/1000)</f>
        <v>2.4865599999999999</v>
      </c>
      <c r="G49" s="14">
        <v>648.64</v>
      </c>
      <c r="H49" s="124">
        <f t="shared" si="4"/>
        <v>1.6128822783999999</v>
      </c>
      <c r="I49" s="14">
        <v>0</v>
      </c>
    </row>
    <row r="50" spans="1:9" ht="15.75" hidden="1" customHeight="1">
      <c r="A50" s="34"/>
      <c r="B50" s="120" t="s">
        <v>32</v>
      </c>
      <c r="C50" s="121" t="s">
        <v>33</v>
      </c>
      <c r="D50" s="120" t="s">
        <v>41</v>
      </c>
      <c r="E50" s="122">
        <v>64.5</v>
      </c>
      <c r="F50" s="123">
        <f>SUM(E50*2/100)</f>
        <v>1.29</v>
      </c>
      <c r="G50" s="14">
        <v>77.84</v>
      </c>
      <c r="H50" s="124">
        <f t="shared" si="4"/>
        <v>0.10041360000000001</v>
      </c>
      <c r="I50" s="14">
        <v>0</v>
      </c>
    </row>
    <row r="51" spans="1:9" ht="15.75" hidden="1" customHeight="1">
      <c r="A51" s="34">
        <v>14</v>
      </c>
      <c r="B51" s="120" t="s">
        <v>54</v>
      </c>
      <c r="C51" s="121" t="s">
        <v>99</v>
      </c>
      <c r="D51" s="120" t="s">
        <v>186</v>
      </c>
      <c r="E51" s="122">
        <v>678.4</v>
      </c>
      <c r="F51" s="123">
        <f>SUM(E51*5/1000)</f>
        <v>3.3919999999999999</v>
      </c>
      <c r="G51" s="14">
        <v>1297.28</v>
      </c>
      <c r="H51" s="124">
        <f t="shared" si="4"/>
        <v>4.4003737599999999</v>
      </c>
      <c r="I51" s="14">
        <f>F51/5*G51</f>
        <v>880.07475199999999</v>
      </c>
    </row>
    <row r="52" spans="1:9" ht="31.5" customHeight="1">
      <c r="A52" s="34">
        <v>13</v>
      </c>
      <c r="B52" s="120" t="s">
        <v>100</v>
      </c>
      <c r="C52" s="121" t="s">
        <v>99</v>
      </c>
      <c r="D52" s="120" t="s">
        <v>41</v>
      </c>
      <c r="E52" s="122">
        <v>678.4</v>
      </c>
      <c r="F52" s="123">
        <f>SUM(E52*2/1000)</f>
        <v>1.3568</v>
      </c>
      <c r="G52" s="14">
        <v>1297.28</v>
      </c>
      <c r="H52" s="124">
        <f t="shared" si="4"/>
        <v>1.7601495039999999</v>
      </c>
      <c r="I52" s="14">
        <f>F52/2*G52</f>
        <v>880.07475199999999</v>
      </c>
    </row>
    <row r="53" spans="1:9" ht="31.5" customHeight="1">
      <c r="A53" s="34">
        <v>14</v>
      </c>
      <c r="B53" s="120" t="s">
        <v>101</v>
      </c>
      <c r="C53" s="121" t="s">
        <v>37</v>
      </c>
      <c r="D53" s="120" t="s">
        <v>41</v>
      </c>
      <c r="E53" s="122">
        <v>12</v>
      </c>
      <c r="F53" s="123">
        <f>SUM(E53*2/100)</f>
        <v>0.24</v>
      </c>
      <c r="G53" s="14">
        <v>2918.89</v>
      </c>
      <c r="H53" s="124">
        <f t="shared" si="4"/>
        <v>0.70053359999999998</v>
      </c>
      <c r="I53" s="14">
        <f t="shared" ref="I53:I54" si="5">F53/2*G53</f>
        <v>350.26679999999999</v>
      </c>
    </row>
    <row r="54" spans="1:9" ht="15.75" customHeight="1">
      <c r="A54" s="34">
        <v>15</v>
      </c>
      <c r="B54" s="120" t="s">
        <v>38</v>
      </c>
      <c r="C54" s="121" t="s">
        <v>39</v>
      </c>
      <c r="D54" s="120" t="s">
        <v>41</v>
      </c>
      <c r="E54" s="122">
        <v>1</v>
      </c>
      <c r="F54" s="123">
        <v>0.02</v>
      </c>
      <c r="G54" s="14">
        <v>6042.12</v>
      </c>
      <c r="H54" s="124">
        <f t="shared" si="4"/>
        <v>0.1208424</v>
      </c>
      <c r="I54" s="14">
        <f t="shared" si="5"/>
        <v>60.421199999999999</v>
      </c>
    </row>
    <row r="55" spans="1:9" ht="15.75" customHeight="1">
      <c r="A55" s="34">
        <v>16</v>
      </c>
      <c r="B55" s="120" t="s">
        <v>40</v>
      </c>
      <c r="C55" s="121" t="s">
        <v>120</v>
      </c>
      <c r="D55" s="120" t="s">
        <v>69</v>
      </c>
      <c r="E55" s="122">
        <v>72</v>
      </c>
      <c r="F55" s="123">
        <f>SUM(E55)*3</f>
        <v>216</v>
      </c>
      <c r="G55" s="14">
        <v>70.209999999999994</v>
      </c>
      <c r="H55" s="124">
        <f t="shared" si="4"/>
        <v>15.165359999999998</v>
      </c>
      <c r="I55" s="14">
        <f>E55*G55</f>
        <v>5055.12</v>
      </c>
    </row>
    <row r="56" spans="1:9" ht="15.75" customHeight="1">
      <c r="A56" s="147" t="s">
        <v>160</v>
      </c>
      <c r="B56" s="148"/>
      <c r="C56" s="148"/>
      <c r="D56" s="148"/>
      <c r="E56" s="148"/>
      <c r="F56" s="148"/>
      <c r="G56" s="148"/>
      <c r="H56" s="148"/>
      <c r="I56" s="149"/>
    </row>
    <row r="57" spans="1:9" ht="15.75" customHeight="1">
      <c r="A57" s="34"/>
      <c r="B57" s="144" t="s">
        <v>42</v>
      </c>
      <c r="C57" s="121"/>
      <c r="D57" s="120"/>
      <c r="E57" s="122"/>
      <c r="F57" s="123"/>
      <c r="G57" s="123"/>
      <c r="H57" s="124"/>
      <c r="I57" s="14"/>
    </row>
    <row r="58" spans="1:9" ht="31.5" customHeight="1">
      <c r="A58" s="34">
        <v>17</v>
      </c>
      <c r="B58" s="120" t="s">
        <v>121</v>
      </c>
      <c r="C58" s="121" t="s">
        <v>94</v>
      </c>
      <c r="D58" s="120" t="s">
        <v>122</v>
      </c>
      <c r="E58" s="122">
        <v>110.66</v>
      </c>
      <c r="F58" s="123">
        <f>SUM(E58*6/100)</f>
        <v>6.6396000000000006</v>
      </c>
      <c r="G58" s="14">
        <v>1654.04</v>
      </c>
      <c r="H58" s="124">
        <f>SUM(F58*G58/1000)</f>
        <v>10.982163984000001</v>
      </c>
      <c r="I58" s="14">
        <f>F58/6*G58</f>
        <v>1830.360664</v>
      </c>
    </row>
    <row r="59" spans="1:9" ht="15.75" customHeight="1">
      <c r="A59" s="34"/>
      <c r="B59" s="145" t="s">
        <v>43</v>
      </c>
      <c r="C59" s="129"/>
      <c r="D59" s="130"/>
      <c r="E59" s="131"/>
      <c r="F59" s="132"/>
      <c r="G59" s="132"/>
      <c r="H59" s="133" t="s">
        <v>131</v>
      </c>
      <c r="I59" s="14"/>
    </row>
    <row r="60" spans="1:9" ht="15.75" customHeight="1">
      <c r="A60" s="34">
        <v>18</v>
      </c>
      <c r="B60" s="16" t="s">
        <v>44</v>
      </c>
      <c r="C60" s="18" t="s">
        <v>120</v>
      </c>
      <c r="D60" s="16" t="s">
        <v>65</v>
      </c>
      <c r="E60" s="21">
        <v>8</v>
      </c>
      <c r="F60" s="123">
        <v>8</v>
      </c>
      <c r="G60" s="14">
        <v>237.74</v>
      </c>
      <c r="H60" s="134">
        <f t="shared" ref="H60:H73" si="6">SUM(F60*G60/1000)</f>
        <v>1.9019200000000001</v>
      </c>
      <c r="I60" s="14">
        <f>G60</f>
        <v>237.74</v>
      </c>
    </row>
    <row r="61" spans="1:9" ht="15.75" hidden="1" customHeight="1">
      <c r="A61" s="34"/>
      <c r="B61" s="16" t="s">
        <v>45</v>
      </c>
      <c r="C61" s="18" t="s">
        <v>120</v>
      </c>
      <c r="D61" s="16" t="s">
        <v>65</v>
      </c>
      <c r="E61" s="21">
        <v>3</v>
      </c>
      <c r="F61" s="123">
        <v>3</v>
      </c>
      <c r="G61" s="14">
        <v>81.510000000000005</v>
      </c>
      <c r="H61" s="134">
        <f t="shared" si="6"/>
        <v>0.24453000000000003</v>
      </c>
      <c r="I61" s="14">
        <v>0</v>
      </c>
    </row>
    <row r="62" spans="1:9" ht="15.75" hidden="1" customHeight="1">
      <c r="A62" s="34"/>
      <c r="B62" s="16" t="s">
        <v>46</v>
      </c>
      <c r="C62" s="18" t="s">
        <v>123</v>
      </c>
      <c r="D62" s="16" t="s">
        <v>52</v>
      </c>
      <c r="E62" s="122">
        <v>8539</v>
      </c>
      <c r="F62" s="14">
        <f>SUM(E62/100)</f>
        <v>85.39</v>
      </c>
      <c r="G62" s="14">
        <v>226.79</v>
      </c>
      <c r="H62" s="134">
        <f t="shared" si="6"/>
        <v>19.3655981</v>
      </c>
      <c r="I62" s="14">
        <v>0</v>
      </c>
    </row>
    <row r="63" spans="1:9" ht="15.75" hidden="1" customHeight="1">
      <c r="A63" s="34"/>
      <c r="B63" s="16" t="s">
        <v>47</v>
      </c>
      <c r="C63" s="18" t="s">
        <v>124</v>
      </c>
      <c r="D63" s="16"/>
      <c r="E63" s="122">
        <v>8539</v>
      </c>
      <c r="F63" s="14">
        <f>SUM(E63/1000)</f>
        <v>8.5389999999999997</v>
      </c>
      <c r="G63" s="14">
        <v>176.61</v>
      </c>
      <c r="H63" s="134">
        <f t="shared" si="6"/>
        <v>1.5080727900000002</v>
      </c>
      <c r="I63" s="14">
        <v>0</v>
      </c>
    </row>
    <row r="64" spans="1:9" ht="15.75" hidden="1" customHeight="1">
      <c r="A64" s="34"/>
      <c r="B64" s="16" t="s">
        <v>48</v>
      </c>
      <c r="C64" s="18" t="s">
        <v>75</v>
      </c>
      <c r="D64" s="16" t="s">
        <v>52</v>
      </c>
      <c r="E64" s="122">
        <v>1370</v>
      </c>
      <c r="F64" s="14">
        <f>SUM(E64/100)</f>
        <v>13.7</v>
      </c>
      <c r="G64" s="14">
        <v>2217.7800000000002</v>
      </c>
      <c r="H64" s="134">
        <f t="shared" si="6"/>
        <v>30.383586000000005</v>
      </c>
      <c r="I64" s="14">
        <v>0</v>
      </c>
    </row>
    <row r="65" spans="1:9" ht="15.75" hidden="1" customHeight="1">
      <c r="A65" s="34"/>
      <c r="B65" s="135" t="s">
        <v>125</v>
      </c>
      <c r="C65" s="18" t="s">
        <v>31</v>
      </c>
      <c r="D65" s="16"/>
      <c r="E65" s="122">
        <v>9</v>
      </c>
      <c r="F65" s="14">
        <f>SUM(E65)</f>
        <v>9</v>
      </c>
      <c r="G65" s="14">
        <v>42.67</v>
      </c>
      <c r="H65" s="134">
        <f t="shared" si="6"/>
        <v>0.38403000000000004</v>
      </c>
      <c r="I65" s="14">
        <v>0</v>
      </c>
    </row>
    <row r="66" spans="1:9" ht="15.75" hidden="1" customHeight="1">
      <c r="A66" s="34"/>
      <c r="B66" s="135" t="s">
        <v>126</v>
      </c>
      <c r="C66" s="18" t="s">
        <v>31</v>
      </c>
      <c r="D66" s="16"/>
      <c r="E66" s="122">
        <v>9</v>
      </c>
      <c r="F66" s="14">
        <f>SUM(E66)</f>
        <v>9</v>
      </c>
      <c r="G66" s="14">
        <v>39.81</v>
      </c>
      <c r="H66" s="134">
        <f t="shared" si="6"/>
        <v>0.35829</v>
      </c>
      <c r="I66" s="14">
        <v>0</v>
      </c>
    </row>
    <row r="67" spans="1:9" ht="15.75" hidden="1" customHeight="1">
      <c r="A67" s="34"/>
      <c r="B67" s="16" t="s">
        <v>55</v>
      </c>
      <c r="C67" s="18" t="s">
        <v>56</v>
      </c>
      <c r="D67" s="16" t="s">
        <v>52</v>
      </c>
      <c r="E67" s="21">
        <v>3</v>
      </c>
      <c r="F67" s="123">
        <v>3</v>
      </c>
      <c r="G67" s="14">
        <v>53.62</v>
      </c>
      <c r="H67" s="134">
        <f t="shared" si="6"/>
        <v>0.16085999999999998</v>
      </c>
      <c r="I67" s="14">
        <v>0</v>
      </c>
    </row>
    <row r="68" spans="1:9" ht="15.75" hidden="1" customHeight="1">
      <c r="A68" s="34"/>
      <c r="B68" s="36" t="s">
        <v>70</v>
      </c>
      <c r="C68" s="18"/>
      <c r="D68" s="16"/>
      <c r="E68" s="21"/>
      <c r="F68" s="14"/>
      <c r="G68" s="14"/>
      <c r="H68" s="134" t="s">
        <v>131</v>
      </c>
      <c r="I68" s="14"/>
    </row>
    <row r="69" spans="1:9" ht="15.75" hidden="1" customHeight="1">
      <c r="A69" s="34"/>
      <c r="B69" s="16" t="s">
        <v>71</v>
      </c>
      <c r="C69" s="18" t="s">
        <v>73</v>
      </c>
      <c r="D69" s="16"/>
      <c r="E69" s="21">
        <v>2</v>
      </c>
      <c r="F69" s="14">
        <v>0.2</v>
      </c>
      <c r="G69" s="14">
        <v>536.23</v>
      </c>
      <c r="H69" s="134">
        <f t="shared" si="6"/>
        <v>0.10724600000000001</v>
      </c>
      <c r="I69" s="14">
        <v>0</v>
      </c>
    </row>
    <row r="70" spans="1:9" ht="15.75" hidden="1" customHeight="1">
      <c r="A70" s="34"/>
      <c r="B70" s="16" t="s">
        <v>72</v>
      </c>
      <c r="C70" s="18" t="s">
        <v>29</v>
      </c>
      <c r="D70" s="16"/>
      <c r="E70" s="21">
        <v>1</v>
      </c>
      <c r="F70" s="116">
        <v>1</v>
      </c>
      <c r="G70" s="14">
        <v>911.85</v>
      </c>
      <c r="H70" s="134">
        <f>F70*G70/1000</f>
        <v>0.91185000000000005</v>
      </c>
      <c r="I70" s="14">
        <v>0</v>
      </c>
    </row>
    <row r="71" spans="1:9" ht="15.75" hidden="1" customHeight="1">
      <c r="A71" s="34"/>
      <c r="B71" s="16" t="s">
        <v>143</v>
      </c>
      <c r="C71" s="18" t="s">
        <v>29</v>
      </c>
      <c r="D71" s="16"/>
      <c r="E71" s="21">
        <v>1</v>
      </c>
      <c r="F71" s="14">
        <v>1</v>
      </c>
      <c r="G71" s="14">
        <v>383.25</v>
      </c>
      <c r="H71" s="134">
        <f>G71*F71/1000</f>
        <v>0.38324999999999998</v>
      </c>
      <c r="I71" s="14">
        <v>0</v>
      </c>
    </row>
    <row r="72" spans="1:9" ht="15.75" hidden="1" customHeight="1">
      <c r="A72" s="34"/>
      <c r="B72" s="136" t="s">
        <v>74</v>
      </c>
      <c r="C72" s="18"/>
      <c r="D72" s="16"/>
      <c r="E72" s="21"/>
      <c r="F72" s="14"/>
      <c r="G72" s="14" t="s">
        <v>131</v>
      </c>
      <c r="H72" s="134" t="s">
        <v>131</v>
      </c>
      <c r="I72" s="14"/>
    </row>
    <row r="73" spans="1:9" ht="15.75" hidden="1" customHeight="1">
      <c r="A73" s="34"/>
      <c r="B73" s="63" t="s">
        <v>132</v>
      </c>
      <c r="C73" s="18" t="s">
        <v>75</v>
      </c>
      <c r="D73" s="16"/>
      <c r="E73" s="21"/>
      <c r="F73" s="14">
        <v>1.35</v>
      </c>
      <c r="G73" s="14">
        <v>2949.85</v>
      </c>
      <c r="H73" s="134">
        <f t="shared" si="6"/>
        <v>3.9822975</v>
      </c>
      <c r="I73" s="14">
        <v>0</v>
      </c>
    </row>
    <row r="74" spans="1:9" ht="15.75" hidden="1" customHeight="1">
      <c r="A74" s="34"/>
      <c r="B74" s="115" t="s">
        <v>102</v>
      </c>
      <c r="C74" s="137"/>
      <c r="D74" s="36"/>
      <c r="E74" s="37"/>
      <c r="F74" s="126"/>
      <c r="G74" s="126"/>
      <c r="H74" s="138">
        <f>SUM(H58:H73)</f>
        <v>70.673694374000007</v>
      </c>
      <c r="I74" s="126"/>
    </row>
    <row r="75" spans="1:9" ht="15.75" hidden="1" customHeight="1">
      <c r="A75" s="34"/>
      <c r="B75" s="120" t="s">
        <v>127</v>
      </c>
      <c r="C75" s="18"/>
      <c r="D75" s="16"/>
      <c r="E75" s="139"/>
      <c r="F75" s="14">
        <v>1</v>
      </c>
      <c r="G75" s="14">
        <v>7101.4</v>
      </c>
      <c r="H75" s="134">
        <f>G75*F75/1000</f>
        <v>7.1013999999999999</v>
      </c>
      <c r="I75" s="14">
        <v>0</v>
      </c>
    </row>
    <row r="76" spans="1:9" ht="15.75" customHeight="1">
      <c r="A76" s="147" t="s">
        <v>161</v>
      </c>
      <c r="B76" s="148"/>
      <c r="C76" s="148"/>
      <c r="D76" s="148"/>
      <c r="E76" s="148"/>
      <c r="F76" s="148"/>
      <c r="G76" s="148"/>
      <c r="H76" s="148"/>
      <c r="I76" s="149"/>
    </row>
    <row r="77" spans="1:9" ht="15.75" customHeight="1">
      <c r="A77" s="34">
        <v>19</v>
      </c>
      <c r="B77" s="120" t="s">
        <v>128</v>
      </c>
      <c r="C77" s="18" t="s">
        <v>53</v>
      </c>
      <c r="D77" s="140" t="s">
        <v>188</v>
      </c>
      <c r="E77" s="14">
        <v>2054.6</v>
      </c>
      <c r="F77" s="14">
        <f>SUM(E77*12)</f>
        <v>24655.199999999997</v>
      </c>
      <c r="G77" s="14">
        <v>2.2400000000000002</v>
      </c>
      <c r="H77" s="134">
        <f>SUM(F77*G77/1000)</f>
        <v>55.227648000000002</v>
      </c>
      <c r="I77" s="14">
        <f>F77/12*G77</f>
        <v>4602.3040000000001</v>
      </c>
    </row>
    <row r="78" spans="1:9" ht="31.5" customHeight="1">
      <c r="A78" s="34">
        <v>20</v>
      </c>
      <c r="B78" s="16" t="s">
        <v>76</v>
      </c>
      <c r="C78" s="18"/>
      <c r="D78" s="140" t="s">
        <v>188</v>
      </c>
      <c r="E78" s="122">
        <f>E77</f>
        <v>2054.6</v>
      </c>
      <c r="F78" s="14">
        <f>E78*12</f>
        <v>24655.199999999997</v>
      </c>
      <c r="G78" s="14">
        <v>1.74</v>
      </c>
      <c r="H78" s="134">
        <f>F78*G78/1000</f>
        <v>42.900047999999998</v>
      </c>
      <c r="I78" s="14">
        <f>F78/12*G78</f>
        <v>3575.0039999999999</v>
      </c>
    </row>
    <row r="79" spans="1:9" ht="15.75" customHeight="1">
      <c r="A79" s="34"/>
      <c r="B79" s="50" t="s">
        <v>80</v>
      </c>
      <c r="C79" s="137"/>
      <c r="D79" s="136"/>
      <c r="E79" s="126"/>
      <c r="F79" s="126"/>
      <c r="G79" s="126"/>
      <c r="H79" s="138">
        <f>H78</f>
        <v>42.900047999999998</v>
      </c>
      <c r="I79" s="126">
        <f>I16+I17+I18+I20+I27+I28+I38+I39+I41+I42+I43+I44+I52+I53+I54+I55+I58+I60+I77+I78</f>
        <v>43528.371175250009</v>
      </c>
    </row>
    <row r="80" spans="1:9" ht="15.75" customHeight="1">
      <c r="A80" s="34"/>
      <c r="B80" s="75" t="s">
        <v>58</v>
      </c>
      <c r="C80" s="18"/>
      <c r="D80" s="63"/>
      <c r="E80" s="14"/>
      <c r="F80" s="14"/>
      <c r="G80" s="14"/>
      <c r="H80" s="14"/>
      <c r="I80" s="14"/>
    </row>
    <row r="81" spans="1:9" ht="15.75" customHeight="1">
      <c r="A81" s="34">
        <v>21</v>
      </c>
      <c r="B81" s="76" t="s">
        <v>133</v>
      </c>
      <c r="C81" s="77" t="s">
        <v>120</v>
      </c>
      <c r="D81" s="63"/>
      <c r="E81" s="14"/>
      <c r="F81" s="14">
        <v>432</v>
      </c>
      <c r="G81" s="14">
        <v>50.68</v>
      </c>
      <c r="H81" s="14">
        <f>G81*F81/1000</f>
        <v>21.893759999999997</v>
      </c>
      <c r="I81" s="14">
        <f>G81*36</f>
        <v>1824.48</v>
      </c>
    </row>
    <row r="82" spans="1:9" ht="31.5" customHeight="1">
      <c r="A82" s="34">
        <v>22</v>
      </c>
      <c r="B82" s="76" t="s">
        <v>79</v>
      </c>
      <c r="C82" s="18" t="s">
        <v>29</v>
      </c>
      <c r="D82" s="63"/>
      <c r="E82" s="14"/>
      <c r="F82" s="14">
        <v>4</v>
      </c>
      <c r="G82" s="14">
        <v>79.09</v>
      </c>
      <c r="H82" s="14">
        <f t="shared" ref="H82" si="7">G82*F82/1000</f>
        <v>0.31636000000000003</v>
      </c>
      <c r="I82" s="14">
        <f>G82</f>
        <v>79.09</v>
      </c>
    </row>
    <row r="83" spans="1:9" ht="15.75" customHeight="1">
      <c r="A83" s="34">
        <v>23</v>
      </c>
      <c r="B83" s="76" t="s">
        <v>174</v>
      </c>
      <c r="C83" s="77" t="s">
        <v>175</v>
      </c>
      <c r="D83" s="63"/>
      <c r="E83" s="14"/>
      <c r="F83" s="14">
        <v>4</v>
      </c>
      <c r="G83" s="14">
        <v>1501</v>
      </c>
      <c r="H83" s="134">
        <f t="shared" ref="H83:H86" si="8">G83*F83/1000</f>
        <v>6.0039999999999996</v>
      </c>
      <c r="I83" s="14">
        <f>G83*2</f>
        <v>3002</v>
      </c>
    </row>
    <row r="84" spans="1:9" ht="15.75" customHeight="1">
      <c r="A84" s="34">
        <v>24</v>
      </c>
      <c r="B84" s="76" t="s">
        <v>82</v>
      </c>
      <c r="C84" s="77" t="s">
        <v>120</v>
      </c>
      <c r="D84" s="63"/>
      <c r="E84" s="14"/>
      <c r="F84" s="14">
        <v>2</v>
      </c>
      <c r="G84" s="14">
        <v>180.15</v>
      </c>
      <c r="H84" s="134">
        <f t="shared" si="8"/>
        <v>0.36030000000000001</v>
      </c>
      <c r="I84" s="14">
        <f>G84</f>
        <v>180.15</v>
      </c>
    </row>
    <row r="85" spans="1:9" ht="31.5" customHeight="1">
      <c r="A85" s="34">
        <v>25</v>
      </c>
      <c r="B85" s="76" t="s">
        <v>176</v>
      </c>
      <c r="C85" s="77" t="s">
        <v>177</v>
      </c>
      <c r="D85" s="63"/>
      <c r="E85" s="14"/>
      <c r="F85" s="14">
        <f>11.868/10</f>
        <v>1.1868000000000001</v>
      </c>
      <c r="G85" s="14">
        <v>5641.28</v>
      </c>
      <c r="H85" s="134">
        <f t="shared" si="8"/>
        <v>6.6950711040000002</v>
      </c>
      <c r="I85" s="14">
        <f>G85*(11.868/10)</f>
        <v>6695.0711040000006</v>
      </c>
    </row>
    <row r="86" spans="1:9" ht="31.5" customHeight="1">
      <c r="A86" s="103">
        <v>26</v>
      </c>
      <c r="B86" s="76" t="s">
        <v>178</v>
      </c>
      <c r="C86" s="77" t="s">
        <v>81</v>
      </c>
      <c r="D86" s="63"/>
      <c r="E86" s="14"/>
      <c r="F86" s="14">
        <v>4</v>
      </c>
      <c r="G86" s="14">
        <v>2057</v>
      </c>
      <c r="H86" s="134">
        <f t="shared" si="8"/>
        <v>8.2279999999999998</v>
      </c>
      <c r="I86" s="14">
        <f>G86*4</f>
        <v>8228</v>
      </c>
    </row>
    <row r="87" spans="1:9" ht="15.75" customHeight="1">
      <c r="A87" s="34"/>
      <c r="B87" s="57" t="s">
        <v>49</v>
      </c>
      <c r="C87" s="53"/>
      <c r="D87" s="66"/>
      <c r="E87" s="53">
        <v>1</v>
      </c>
      <c r="F87" s="53"/>
      <c r="G87" s="53"/>
      <c r="H87" s="53"/>
      <c r="I87" s="37">
        <f>SUM(I81:I86)</f>
        <v>20008.791104</v>
      </c>
    </row>
    <row r="88" spans="1:9" ht="15.75" customHeight="1">
      <c r="A88" s="34"/>
      <c r="B88" s="63" t="s">
        <v>77</v>
      </c>
      <c r="C88" s="17"/>
      <c r="D88" s="17"/>
      <c r="E88" s="54"/>
      <c r="F88" s="54"/>
      <c r="G88" s="55"/>
      <c r="H88" s="55"/>
      <c r="I88" s="20">
        <v>0</v>
      </c>
    </row>
    <row r="89" spans="1:9" ht="15.75" customHeight="1">
      <c r="A89" s="67"/>
      <c r="B89" s="58" t="s">
        <v>50</v>
      </c>
      <c r="C89" s="43"/>
      <c r="D89" s="43"/>
      <c r="E89" s="43"/>
      <c r="F89" s="43"/>
      <c r="G89" s="43"/>
      <c r="H89" s="43"/>
      <c r="I89" s="56">
        <f>I79+I87</f>
        <v>63537.162279250013</v>
      </c>
    </row>
    <row r="90" spans="1:9" ht="15.75">
      <c r="A90" s="160" t="s">
        <v>202</v>
      </c>
      <c r="B90" s="160"/>
      <c r="C90" s="160"/>
      <c r="D90" s="160"/>
      <c r="E90" s="160"/>
      <c r="F90" s="160"/>
      <c r="G90" s="160"/>
      <c r="H90" s="160"/>
      <c r="I90" s="160"/>
    </row>
    <row r="91" spans="1:9" ht="15.75">
      <c r="A91" s="102"/>
      <c r="B91" s="155" t="s">
        <v>203</v>
      </c>
      <c r="C91" s="155"/>
      <c r="D91" s="155"/>
      <c r="E91" s="155"/>
      <c r="F91" s="155"/>
      <c r="G91" s="155"/>
      <c r="H91" s="119"/>
      <c r="I91" s="3"/>
    </row>
    <row r="92" spans="1:9">
      <c r="A92" s="106"/>
      <c r="B92" s="151" t="s">
        <v>6</v>
      </c>
      <c r="C92" s="151"/>
      <c r="D92" s="151"/>
      <c r="E92" s="151"/>
      <c r="F92" s="151"/>
      <c r="G92" s="151"/>
      <c r="H92" s="29"/>
      <c r="I92" s="5"/>
    </row>
    <row r="93" spans="1:9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>
      <c r="A94" s="156" t="s">
        <v>7</v>
      </c>
      <c r="B94" s="156"/>
      <c r="C94" s="156"/>
      <c r="D94" s="156"/>
      <c r="E94" s="156"/>
      <c r="F94" s="156"/>
      <c r="G94" s="156"/>
      <c r="H94" s="156"/>
      <c r="I94" s="156"/>
    </row>
    <row r="95" spans="1:9" ht="15.75">
      <c r="A95" s="156" t="s">
        <v>8</v>
      </c>
      <c r="B95" s="156"/>
      <c r="C95" s="156"/>
      <c r="D95" s="156"/>
      <c r="E95" s="156"/>
      <c r="F95" s="156"/>
      <c r="G95" s="156"/>
      <c r="H95" s="156"/>
      <c r="I95" s="156"/>
    </row>
    <row r="96" spans="1:9" ht="15.75">
      <c r="A96" s="157" t="s">
        <v>59</v>
      </c>
      <c r="B96" s="157"/>
      <c r="C96" s="157"/>
      <c r="D96" s="157"/>
      <c r="E96" s="157"/>
      <c r="F96" s="157"/>
      <c r="G96" s="157"/>
      <c r="H96" s="157"/>
      <c r="I96" s="157"/>
    </row>
    <row r="97" spans="1:9" ht="15.75">
      <c r="A97" s="11"/>
    </row>
    <row r="98" spans="1:9" ht="15.75">
      <c r="A98" s="158" t="s">
        <v>9</v>
      </c>
      <c r="B98" s="158"/>
      <c r="C98" s="158"/>
      <c r="D98" s="158"/>
      <c r="E98" s="158"/>
      <c r="F98" s="158"/>
      <c r="G98" s="158"/>
      <c r="H98" s="158"/>
      <c r="I98" s="158"/>
    </row>
    <row r="99" spans="1:9" ht="15.75">
      <c r="A99" s="4"/>
    </row>
    <row r="100" spans="1:9" ht="15.75">
      <c r="B100" s="107" t="s">
        <v>10</v>
      </c>
      <c r="C100" s="150" t="s">
        <v>162</v>
      </c>
      <c r="D100" s="150"/>
      <c r="E100" s="150"/>
      <c r="F100" s="117"/>
      <c r="I100" s="105"/>
    </row>
    <row r="101" spans="1:9">
      <c r="A101" s="106"/>
      <c r="C101" s="151" t="s">
        <v>11</v>
      </c>
      <c r="D101" s="151"/>
      <c r="E101" s="151"/>
      <c r="F101" s="29"/>
      <c r="I101" s="104" t="s">
        <v>12</v>
      </c>
    </row>
    <row r="102" spans="1:9" ht="15.75">
      <c r="A102" s="30"/>
      <c r="C102" s="12"/>
      <c r="D102" s="12"/>
      <c r="G102" s="12"/>
      <c r="H102" s="12"/>
    </row>
    <row r="103" spans="1:9" ht="15.75">
      <c r="B103" s="107" t="s">
        <v>13</v>
      </c>
      <c r="C103" s="152"/>
      <c r="D103" s="152"/>
      <c r="E103" s="152"/>
      <c r="F103" s="118"/>
      <c r="I103" s="105"/>
    </row>
    <row r="104" spans="1:9">
      <c r="A104" s="106"/>
      <c r="C104" s="153" t="s">
        <v>11</v>
      </c>
      <c r="D104" s="153"/>
      <c r="E104" s="153"/>
      <c r="F104" s="106"/>
      <c r="I104" s="104" t="s">
        <v>12</v>
      </c>
    </row>
    <row r="105" spans="1:9" ht="15.75">
      <c r="A105" s="4" t="s">
        <v>14</v>
      </c>
    </row>
    <row r="106" spans="1:9">
      <c r="A106" s="154" t="s">
        <v>15</v>
      </c>
      <c r="B106" s="154"/>
      <c r="C106" s="154"/>
      <c r="D106" s="154"/>
      <c r="E106" s="154"/>
      <c r="F106" s="154"/>
      <c r="G106" s="154"/>
      <c r="H106" s="154"/>
      <c r="I106" s="154"/>
    </row>
    <row r="107" spans="1:9" ht="45" customHeight="1">
      <c r="A107" s="146" t="s">
        <v>16</v>
      </c>
      <c r="B107" s="146"/>
      <c r="C107" s="146"/>
      <c r="D107" s="146"/>
      <c r="E107" s="146"/>
      <c r="F107" s="146"/>
      <c r="G107" s="146"/>
      <c r="H107" s="146"/>
      <c r="I107" s="146"/>
    </row>
    <row r="108" spans="1:9" ht="30" customHeight="1">
      <c r="A108" s="146" t="s">
        <v>17</v>
      </c>
      <c r="B108" s="146"/>
      <c r="C108" s="146"/>
      <c r="D108" s="146"/>
      <c r="E108" s="146"/>
      <c r="F108" s="146"/>
      <c r="G108" s="146"/>
      <c r="H108" s="146"/>
      <c r="I108" s="146"/>
    </row>
    <row r="109" spans="1:9" ht="30" customHeight="1">
      <c r="A109" s="146" t="s">
        <v>21</v>
      </c>
      <c r="B109" s="146"/>
      <c r="C109" s="146"/>
      <c r="D109" s="146"/>
      <c r="E109" s="146"/>
      <c r="F109" s="146"/>
      <c r="G109" s="146"/>
      <c r="H109" s="146"/>
      <c r="I109" s="146"/>
    </row>
    <row r="110" spans="1:9" ht="15" customHeight="1">
      <c r="A110" s="146" t="s">
        <v>20</v>
      </c>
      <c r="B110" s="146"/>
      <c r="C110" s="146"/>
      <c r="D110" s="146"/>
      <c r="E110" s="146"/>
      <c r="F110" s="146"/>
      <c r="G110" s="146"/>
      <c r="H110" s="146"/>
      <c r="I110" s="146"/>
    </row>
  </sheetData>
  <mergeCells count="27">
    <mergeCell ref="A108:I108"/>
    <mergeCell ref="A109:I109"/>
    <mergeCell ref="A110:I110"/>
    <mergeCell ref="C100:E100"/>
    <mergeCell ref="C101:E101"/>
    <mergeCell ref="C103:E103"/>
    <mergeCell ref="C104:E104"/>
    <mergeCell ref="A106:I106"/>
    <mergeCell ref="A107:I107"/>
    <mergeCell ref="B91:G91"/>
    <mergeCell ref="B92:G92"/>
    <mergeCell ref="A94:I94"/>
    <mergeCell ref="A95:I95"/>
    <mergeCell ref="A96:I96"/>
    <mergeCell ref="A98:I98"/>
    <mergeCell ref="A15:I15"/>
    <mergeCell ref="A29:I29"/>
    <mergeCell ref="A45:I45"/>
    <mergeCell ref="A56:I56"/>
    <mergeCell ref="A76:I76"/>
    <mergeCell ref="A90:I90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7.874015748031496E-2" header="0.31496062992125984" footer="0.31496062992125984"/>
  <pageSetup paperSize="9" scale="6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0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2" t="s">
        <v>90</v>
      </c>
      <c r="I1" s="31"/>
    </row>
    <row r="2" spans="1:9" ht="15.75">
      <c r="A2" s="33" t="s">
        <v>60</v>
      </c>
    </row>
    <row r="3" spans="1:9" ht="15.75">
      <c r="A3" s="161" t="s">
        <v>204</v>
      </c>
      <c r="B3" s="161"/>
      <c r="C3" s="161"/>
      <c r="D3" s="161"/>
      <c r="E3" s="161"/>
      <c r="F3" s="161"/>
      <c r="G3" s="161"/>
      <c r="H3" s="161"/>
      <c r="I3" s="161"/>
    </row>
    <row r="4" spans="1:9" ht="31.5" customHeight="1">
      <c r="A4" s="162" t="s">
        <v>152</v>
      </c>
      <c r="B4" s="162"/>
      <c r="C4" s="162"/>
      <c r="D4" s="162"/>
      <c r="E4" s="162"/>
      <c r="F4" s="162"/>
      <c r="G4" s="162"/>
      <c r="H4" s="162"/>
      <c r="I4" s="162"/>
    </row>
    <row r="5" spans="1:9" ht="15.75">
      <c r="A5" s="161" t="s">
        <v>205</v>
      </c>
      <c r="B5" s="163"/>
      <c r="C5" s="163"/>
      <c r="D5" s="163"/>
      <c r="E5" s="163"/>
      <c r="F5" s="163"/>
      <c r="G5" s="163"/>
      <c r="H5" s="163"/>
      <c r="I5" s="163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5">
        <v>42521</v>
      </c>
    </row>
    <row r="7" spans="1:9" ht="15.75">
      <c r="B7" s="107"/>
      <c r="C7" s="107"/>
      <c r="D7" s="107"/>
      <c r="E7" s="3"/>
      <c r="F7" s="3"/>
      <c r="G7" s="3"/>
      <c r="H7" s="3"/>
    </row>
    <row r="8" spans="1:9" ht="78.75" customHeight="1">
      <c r="A8" s="164" t="s">
        <v>157</v>
      </c>
      <c r="B8" s="164"/>
      <c r="C8" s="164"/>
      <c r="D8" s="164"/>
      <c r="E8" s="164"/>
      <c r="F8" s="164"/>
      <c r="G8" s="164"/>
      <c r="H8" s="164"/>
      <c r="I8" s="164"/>
    </row>
    <row r="9" spans="1:9" ht="15.75">
      <c r="A9" s="4"/>
    </row>
    <row r="10" spans="1:9" ht="47.25" customHeight="1">
      <c r="A10" s="165" t="s">
        <v>158</v>
      </c>
      <c r="B10" s="165"/>
      <c r="C10" s="165"/>
      <c r="D10" s="165"/>
      <c r="E10" s="165"/>
      <c r="F10" s="165"/>
      <c r="G10" s="165"/>
      <c r="H10" s="165"/>
      <c r="I10" s="165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6" t="s">
        <v>57</v>
      </c>
      <c r="B14" s="166"/>
      <c r="C14" s="166"/>
      <c r="D14" s="166"/>
      <c r="E14" s="166"/>
      <c r="F14" s="166"/>
      <c r="G14" s="166"/>
      <c r="H14" s="166"/>
      <c r="I14" s="166"/>
    </row>
    <row r="15" spans="1:9">
      <c r="A15" s="159" t="s">
        <v>4</v>
      </c>
      <c r="B15" s="159"/>
      <c r="C15" s="159"/>
      <c r="D15" s="159"/>
      <c r="E15" s="159"/>
      <c r="F15" s="159"/>
      <c r="G15" s="159"/>
      <c r="H15" s="159"/>
      <c r="I15" s="159"/>
    </row>
    <row r="16" spans="1:9" ht="31.5" customHeight="1">
      <c r="A16" s="34">
        <v>1</v>
      </c>
      <c r="B16" s="120" t="s">
        <v>93</v>
      </c>
      <c r="C16" s="121" t="s">
        <v>94</v>
      </c>
      <c r="D16" s="120" t="s">
        <v>95</v>
      </c>
      <c r="E16" s="122">
        <v>55</v>
      </c>
      <c r="F16" s="123">
        <f>SUM(E16*156/100)</f>
        <v>85.8</v>
      </c>
      <c r="G16" s="123">
        <v>187.48</v>
      </c>
      <c r="H16" s="124">
        <f t="shared" ref="H16:H26" si="0">SUM(F16*G16/1000)</f>
        <v>16.085783999999997</v>
      </c>
      <c r="I16" s="14">
        <f>F16/12*G16</f>
        <v>1340.4819999999997</v>
      </c>
    </row>
    <row r="17" spans="1:9" ht="31.5" customHeight="1">
      <c r="A17" s="34">
        <v>2</v>
      </c>
      <c r="B17" s="120" t="s">
        <v>134</v>
      </c>
      <c r="C17" s="121" t="s">
        <v>94</v>
      </c>
      <c r="D17" s="120" t="s">
        <v>96</v>
      </c>
      <c r="E17" s="122">
        <v>165</v>
      </c>
      <c r="F17" s="123">
        <f>SUM(E17*104/100)</f>
        <v>171.6</v>
      </c>
      <c r="G17" s="123">
        <v>187.48</v>
      </c>
      <c r="H17" s="124">
        <f t="shared" si="0"/>
        <v>32.171567999999994</v>
      </c>
      <c r="I17" s="14">
        <f>F17/12*G17</f>
        <v>2680.9639999999995</v>
      </c>
    </row>
    <row r="18" spans="1:9" ht="31.5" customHeight="1">
      <c r="A18" s="34">
        <v>3</v>
      </c>
      <c r="B18" s="120" t="s">
        <v>135</v>
      </c>
      <c r="C18" s="121" t="s">
        <v>94</v>
      </c>
      <c r="D18" s="120" t="s">
        <v>136</v>
      </c>
      <c r="E18" s="122">
        <f>SUM(E16+E17)</f>
        <v>220</v>
      </c>
      <c r="F18" s="123">
        <f>SUM(E18*24/100)</f>
        <v>52.8</v>
      </c>
      <c r="G18" s="123">
        <v>539.30999999999995</v>
      </c>
      <c r="H18" s="124">
        <f t="shared" si="0"/>
        <v>28.475567999999996</v>
      </c>
      <c r="I18" s="14">
        <f>F18/12*G18</f>
        <v>2372.9639999999995</v>
      </c>
    </row>
    <row r="19" spans="1:9" ht="15.75" customHeight="1">
      <c r="A19" s="34">
        <v>4</v>
      </c>
      <c r="B19" s="120" t="s">
        <v>103</v>
      </c>
      <c r="C19" s="121" t="s">
        <v>104</v>
      </c>
      <c r="D19" s="120" t="s">
        <v>105</v>
      </c>
      <c r="E19" s="122">
        <v>32.4</v>
      </c>
      <c r="F19" s="123">
        <f>SUM(E19/10)</f>
        <v>3.2399999999999998</v>
      </c>
      <c r="G19" s="123">
        <v>181.91</v>
      </c>
      <c r="H19" s="124">
        <f t="shared" si="0"/>
        <v>0.58938839999999992</v>
      </c>
      <c r="I19" s="14">
        <f>F19/2*G19</f>
        <v>294.69419999999997</v>
      </c>
    </row>
    <row r="20" spans="1:9" ht="15.75" customHeight="1">
      <c r="A20" s="34">
        <v>5</v>
      </c>
      <c r="B20" s="120" t="s">
        <v>106</v>
      </c>
      <c r="C20" s="121" t="s">
        <v>94</v>
      </c>
      <c r="D20" s="120" t="s">
        <v>137</v>
      </c>
      <c r="E20" s="122">
        <v>12.24</v>
      </c>
      <c r="F20" s="123">
        <f>SUM(E20*12/100)</f>
        <v>1.4687999999999999</v>
      </c>
      <c r="G20" s="123">
        <v>232.92</v>
      </c>
      <c r="H20" s="124">
        <f t="shared" si="0"/>
        <v>0.342112896</v>
      </c>
      <c r="I20" s="14">
        <f>F20/12*G20</f>
        <v>28.509407999999997</v>
      </c>
    </row>
    <row r="21" spans="1:9" ht="15.75" customHeight="1">
      <c r="A21" s="34">
        <v>6</v>
      </c>
      <c r="B21" s="120" t="s">
        <v>107</v>
      </c>
      <c r="C21" s="121" t="s">
        <v>94</v>
      </c>
      <c r="D21" s="120" t="s">
        <v>138</v>
      </c>
      <c r="E21" s="122">
        <v>10.08</v>
      </c>
      <c r="F21" s="123">
        <f>SUM(E21*6/100)</f>
        <v>0.6048</v>
      </c>
      <c r="G21" s="123">
        <v>231.03</v>
      </c>
      <c r="H21" s="124">
        <f t="shared" si="0"/>
        <v>0.13972694399999999</v>
      </c>
      <c r="I21" s="14">
        <f>F21/6*G21</f>
        <v>23.287824000000001</v>
      </c>
    </row>
    <row r="22" spans="1:9" ht="15.75" customHeight="1">
      <c r="A22" s="34">
        <v>7</v>
      </c>
      <c r="B22" s="120" t="s">
        <v>108</v>
      </c>
      <c r="C22" s="121" t="s">
        <v>51</v>
      </c>
      <c r="D22" s="120" t="s">
        <v>105</v>
      </c>
      <c r="E22" s="122">
        <v>293.76</v>
      </c>
      <c r="F22" s="123">
        <f>SUM(E22/100)</f>
        <v>2.9375999999999998</v>
      </c>
      <c r="G22" s="123">
        <v>287.83999999999997</v>
      </c>
      <c r="H22" s="124">
        <f t="shared" si="0"/>
        <v>0.84555878399999984</v>
      </c>
      <c r="I22" s="14">
        <f>F22*G22</f>
        <v>845.55878399999983</v>
      </c>
    </row>
    <row r="23" spans="1:9" ht="15.75" customHeight="1">
      <c r="A23" s="34">
        <v>8</v>
      </c>
      <c r="B23" s="120" t="s">
        <v>109</v>
      </c>
      <c r="C23" s="121" t="s">
        <v>51</v>
      </c>
      <c r="D23" s="120" t="s">
        <v>105</v>
      </c>
      <c r="E23" s="125">
        <v>17.64</v>
      </c>
      <c r="F23" s="123">
        <f>SUM(E23/100)</f>
        <v>0.1764</v>
      </c>
      <c r="G23" s="123">
        <v>47.34</v>
      </c>
      <c r="H23" s="124">
        <f t="shared" si="0"/>
        <v>8.3507760000000007E-3</v>
      </c>
      <c r="I23" s="14">
        <f t="shared" ref="I23:I26" si="1">F23*G23</f>
        <v>8.3507760000000015</v>
      </c>
    </row>
    <row r="24" spans="1:9" ht="15.75" customHeight="1">
      <c r="A24" s="34">
        <v>9</v>
      </c>
      <c r="B24" s="120" t="s">
        <v>110</v>
      </c>
      <c r="C24" s="121" t="s">
        <v>51</v>
      </c>
      <c r="D24" s="120" t="s">
        <v>111</v>
      </c>
      <c r="E24" s="122">
        <v>10.8</v>
      </c>
      <c r="F24" s="123">
        <f>E24/100</f>
        <v>0.10800000000000001</v>
      </c>
      <c r="G24" s="123">
        <v>416.62</v>
      </c>
      <c r="H24" s="124">
        <f t="shared" si="0"/>
        <v>4.4994960000000007E-2</v>
      </c>
      <c r="I24" s="14">
        <f t="shared" si="1"/>
        <v>44.994960000000006</v>
      </c>
    </row>
    <row r="25" spans="1:9" ht="15.75" customHeight="1">
      <c r="A25" s="34">
        <v>10</v>
      </c>
      <c r="B25" s="120" t="s">
        <v>112</v>
      </c>
      <c r="C25" s="121" t="s">
        <v>51</v>
      </c>
      <c r="D25" s="120" t="s">
        <v>52</v>
      </c>
      <c r="E25" s="122">
        <v>12.6</v>
      </c>
      <c r="F25" s="123">
        <f>E25/100</f>
        <v>0.126</v>
      </c>
      <c r="G25" s="123">
        <v>231.03</v>
      </c>
      <c r="H25" s="124">
        <f>G25*F25/1000</f>
        <v>2.9109780000000002E-2</v>
      </c>
      <c r="I25" s="14">
        <f t="shared" si="1"/>
        <v>29.109780000000001</v>
      </c>
    </row>
    <row r="26" spans="1:9" ht="15.75" customHeight="1">
      <c r="A26" s="34">
        <v>11</v>
      </c>
      <c r="B26" s="120" t="s">
        <v>113</v>
      </c>
      <c r="C26" s="121" t="s">
        <v>51</v>
      </c>
      <c r="D26" s="120" t="s">
        <v>105</v>
      </c>
      <c r="E26" s="122">
        <v>14.4</v>
      </c>
      <c r="F26" s="123">
        <f>SUM(E26/100)</f>
        <v>0.14400000000000002</v>
      </c>
      <c r="G26" s="123">
        <v>556.74</v>
      </c>
      <c r="H26" s="124">
        <f t="shared" si="0"/>
        <v>8.0170560000000016E-2</v>
      </c>
      <c r="I26" s="14">
        <f t="shared" si="1"/>
        <v>80.170560000000009</v>
      </c>
    </row>
    <row r="27" spans="1:9" ht="15.75" customHeight="1">
      <c r="A27" s="34">
        <v>12</v>
      </c>
      <c r="B27" s="120" t="s">
        <v>62</v>
      </c>
      <c r="C27" s="121" t="s">
        <v>31</v>
      </c>
      <c r="D27" s="120" t="s">
        <v>130</v>
      </c>
      <c r="E27" s="122">
        <v>0.1</v>
      </c>
      <c r="F27" s="123">
        <f>SUM(E27*365)</f>
        <v>36.5</v>
      </c>
      <c r="G27" s="123">
        <v>157.18</v>
      </c>
      <c r="H27" s="124">
        <f>SUM(F27*G27/1000)</f>
        <v>5.737070000000001</v>
      </c>
      <c r="I27" s="14">
        <f>F27/12*G27</f>
        <v>478.08916666666664</v>
      </c>
    </row>
    <row r="28" spans="1:9" ht="15.75" customHeight="1">
      <c r="A28" s="34">
        <v>13</v>
      </c>
      <c r="B28" s="128" t="s">
        <v>23</v>
      </c>
      <c r="C28" s="121" t="s">
        <v>24</v>
      </c>
      <c r="D28" s="128" t="s">
        <v>131</v>
      </c>
      <c r="E28" s="122">
        <v>2054.6</v>
      </c>
      <c r="F28" s="123">
        <f>SUM(E28*12)</f>
        <v>24655.199999999997</v>
      </c>
      <c r="G28" s="123">
        <v>6.15</v>
      </c>
      <c r="H28" s="124">
        <f>SUM(F28*G28/1000)</f>
        <v>151.62947999999997</v>
      </c>
      <c r="I28" s="14">
        <f>F28/12*G28</f>
        <v>12635.79</v>
      </c>
    </row>
    <row r="29" spans="1:9" ht="15.75" customHeight="1">
      <c r="A29" s="147" t="s">
        <v>88</v>
      </c>
      <c r="B29" s="148"/>
      <c r="C29" s="148"/>
      <c r="D29" s="148"/>
      <c r="E29" s="148"/>
      <c r="F29" s="148"/>
      <c r="G29" s="148"/>
      <c r="H29" s="148"/>
      <c r="I29" s="149"/>
    </row>
    <row r="30" spans="1:9" ht="15.75" customHeight="1">
      <c r="A30" s="34"/>
      <c r="B30" s="144" t="s">
        <v>27</v>
      </c>
      <c r="C30" s="121"/>
      <c r="D30" s="120"/>
      <c r="E30" s="122"/>
      <c r="F30" s="123"/>
      <c r="G30" s="123"/>
      <c r="H30" s="124"/>
      <c r="I30" s="14"/>
    </row>
    <row r="31" spans="1:9" ht="31.5" customHeight="1">
      <c r="A31" s="34">
        <v>14</v>
      </c>
      <c r="B31" s="120" t="s">
        <v>118</v>
      </c>
      <c r="C31" s="121" t="s">
        <v>99</v>
      </c>
      <c r="D31" s="120" t="s">
        <v>114</v>
      </c>
      <c r="E31" s="123">
        <v>600.63</v>
      </c>
      <c r="F31" s="123">
        <f>SUM(E31*52/1000)</f>
        <v>31.232759999999999</v>
      </c>
      <c r="G31" s="123">
        <v>166.65</v>
      </c>
      <c r="H31" s="124">
        <f t="shared" ref="H31:H36" si="2">SUM(F31*G31/1000)</f>
        <v>5.2049394540000007</v>
      </c>
      <c r="I31" s="14">
        <f>F31/6*G31</f>
        <v>867.4899089999999</v>
      </c>
    </row>
    <row r="32" spans="1:9" ht="31.5" customHeight="1">
      <c r="A32" s="34">
        <v>15</v>
      </c>
      <c r="B32" s="120" t="s">
        <v>117</v>
      </c>
      <c r="C32" s="121" t="s">
        <v>99</v>
      </c>
      <c r="D32" s="120" t="s">
        <v>115</v>
      </c>
      <c r="E32" s="123">
        <v>186.39</v>
      </c>
      <c r="F32" s="123">
        <f>SUM(E32*78/1000)</f>
        <v>14.538419999999999</v>
      </c>
      <c r="G32" s="123">
        <v>276.48</v>
      </c>
      <c r="H32" s="124">
        <f t="shared" si="2"/>
        <v>4.0195823615999995</v>
      </c>
      <c r="I32" s="14">
        <f t="shared" ref="I32:I34" si="3">F32/6*G32</f>
        <v>669.93039359999989</v>
      </c>
    </row>
    <row r="33" spans="1:9" ht="15.75" customHeight="1">
      <c r="A33" s="34">
        <v>16</v>
      </c>
      <c r="B33" s="120" t="s">
        <v>26</v>
      </c>
      <c r="C33" s="121" t="s">
        <v>99</v>
      </c>
      <c r="D33" s="120" t="s">
        <v>52</v>
      </c>
      <c r="E33" s="123">
        <v>600.63</v>
      </c>
      <c r="F33" s="123">
        <f>SUM(E33/1000)</f>
        <v>0.60063</v>
      </c>
      <c r="G33" s="123">
        <v>3228.73</v>
      </c>
      <c r="H33" s="124">
        <f t="shared" si="2"/>
        <v>1.9392720999000002</v>
      </c>
      <c r="I33" s="14">
        <f>F33*G33</f>
        <v>1939.2720999000001</v>
      </c>
    </row>
    <row r="34" spans="1:9" ht="15.75" customHeight="1">
      <c r="A34" s="34">
        <v>17</v>
      </c>
      <c r="B34" s="120" t="s">
        <v>116</v>
      </c>
      <c r="C34" s="121" t="s">
        <v>29</v>
      </c>
      <c r="D34" s="120" t="s">
        <v>61</v>
      </c>
      <c r="E34" s="127">
        <v>0.33333333333333331</v>
      </c>
      <c r="F34" s="123">
        <f>155/3</f>
        <v>51.666666666666664</v>
      </c>
      <c r="G34" s="123">
        <v>60.6</v>
      </c>
      <c r="H34" s="124">
        <f>SUM(G34*155/3/1000)</f>
        <v>3.1309999999999998</v>
      </c>
      <c r="I34" s="14">
        <f t="shared" si="3"/>
        <v>521.83333333333337</v>
      </c>
    </row>
    <row r="35" spans="1:9" ht="15.75" hidden="1" customHeight="1">
      <c r="A35" s="34"/>
      <c r="B35" s="120" t="s">
        <v>63</v>
      </c>
      <c r="C35" s="121" t="s">
        <v>31</v>
      </c>
      <c r="D35" s="120" t="s">
        <v>65</v>
      </c>
      <c r="E35" s="122"/>
      <c r="F35" s="123">
        <v>2</v>
      </c>
      <c r="G35" s="123">
        <v>204.52</v>
      </c>
      <c r="H35" s="124">
        <f t="shared" si="2"/>
        <v>0.40904000000000001</v>
      </c>
      <c r="I35" s="14">
        <v>0</v>
      </c>
    </row>
    <row r="36" spans="1:9" ht="15.75" hidden="1" customHeight="1">
      <c r="A36" s="34"/>
      <c r="B36" s="120" t="s">
        <v>64</v>
      </c>
      <c r="C36" s="121" t="s">
        <v>30</v>
      </c>
      <c r="D36" s="120" t="s">
        <v>65</v>
      </c>
      <c r="E36" s="122"/>
      <c r="F36" s="123">
        <v>1</v>
      </c>
      <c r="G36" s="123">
        <v>1214.74</v>
      </c>
      <c r="H36" s="124">
        <f t="shared" si="2"/>
        <v>1.2147399999999999</v>
      </c>
      <c r="I36" s="14">
        <v>0</v>
      </c>
    </row>
    <row r="37" spans="1:9" ht="15.75" hidden="1" customHeight="1">
      <c r="A37" s="34"/>
      <c r="B37" s="144" t="s">
        <v>5</v>
      </c>
      <c r="C37" s="121"/>
      <c r="D37" s="120"/>
      <c r="E37" s="122"/>
      <c r="F37" s="123"/>
      <c r="G37" s="123"/>
      <c r="H37" s="124" t="s">
        <v>131</v>
      </c>
      <c r="I37" s="14"/>
    </row>
    <row r="38" spans="1:9" ht="15.75" hidden="1" customHeight="1">
      <c r="A38" s="34">
        <v>8</v>
      </c>
      <c r="B38" s="120" t="s">
        <v>25</v>
      </c>
      <c r="C38" s="121" t="s">
        <v>30</v>
      </c>
      <c r="D38" s="120"/>
      <c r="E38" s="122"/>
      <c r="F38" s="123">
        <v>5</v>
      </c>
      <c r="G38" s="123">
        <v>1632.6</v>
      </c>
      <c r="H38" s="124">
        <f t="shared" ref="H38:H44" si="4">SUM(F38*G38/1000)</f>
        <v>8.1630000000000003</v>
      </c>
      <c r="I38" s="14">
        <f>F38/6*G38</f>
        <v>1360.5</v>
      </c>
    </row>
    <row r="39" spans="1:9" ht="15.75" hidden="1" customHeight="1">
      <c r="A39" s="34">
        <v>9</v>
      </c>
      <c r="B39" s="120" t="s">
        <v>139</v>
      </c>
      <c r="C39" s="121" t="s">
        <v>28</v>
      </c>
      <c r="D39" s="120" t="s">
        <v>97</v>
      </c>
      <c r="E39" s="122">
        <v>186.39</v>
      </c>
      <c r="F39" s="123">
        <f>E39*30/1000</f>
        <v>5.5916999999999994</v>
      </c>
      <c r="G39" s="123">
        <v>2247.8000000000002</v>
      </c>
      <c r="H39" s="124">
        <f>G39*F39/1000</f>
        <v>12.56902326</v>
      </c>
      <c r="I39" s="14">
        <f>F39/6*G39</f>
        <v>2094.8372100000001</v>
      </c>
    </row>
    <row r="40" spans="1:9" ht="15.75" hidden="1" customHeight="1">
      <c r="A40" s="34"/>
      <c r="B40" s="120" t="s">
        <v>164</v>
      </c>
      <c r="C40" s="121" t="s">
        <v>165</v>
      </c>
      <c r="D40" s="120" t="s">
        <v>65</v>
      </c>
      <c r="E40" s="122"/>
      <c r="F40" s="123">
        <v>72.3</v>
      </c>
      <c r="G40" s="123">
        <v>199.44</v>
      </c>
      <c r="H40" s="124">
        <f>G40*F40/1000</f>
        <v>14.419511999999999</v>
      </c>
      <c r="I40" s="14">
        <v>0</v>
      </c>
    </row>
    <row r="41" spans="1:9" ht="15.75" hidden="1" customHeight="1">
      <c r="A41" s="34">
        <v>10</v>
      </c>
      <c r="B41" s="120" t="s">
        <v>66</v>
      </c>
      <c r="C41" s="121" t="s">
        <v>28</v>
      </c>
      <c r="D41" s="120" t="s">
        <v>98</v>
      </c>
      <c r="E41" s="123">
        <v>186.39</v>
      </c>
      <c r="F41" s="123">
        <f>SUM(E41*155/1000)</f>
        <v>28.890449999999998</v>
      </c>
      <c r="G41" s="123">
        <v>374.95</v>
      </c>
      <c r="H41" s="124">
        <f t="shared" si="4"/>
        <v>10.832474227499999</v>
      </c>
      <c r="I41" s="14">
        <f>F41/6*G41</f>
        <v>1805.4123712499998</v>
      </c>
    </row>
    <row r="42" spans="1:9" ht="47.25" hidden="1" customHeight="1">
      <c r="A42" s="34">
        <v>11</v>
      </c>
      <c r="B42" s="120" t="s">
        <v>84</v>
      </c>
      <c r="C42" s="121" t="s">
        <v>99</v>
      </c>
      <c r="D42" s="120" t="s">
        <v>140</v>
      </c>
      <c r="E42" s="123">
        <v>52.2</v>
      </c>
      <c r="F42" s="123">
        <f>SUM(E42*35/1000)</f>
        <v>1.827</v>
      </c>
      <c r="G42" s="123">
        <v>6203.7</v>
      </c>
      <c r="H42" s="124">
        <f t="shared" si="4"/>
        <v>11.3341599</v>
      </c>
      <c r="I42" s="14">
        <f>F42/6*G42</f>
        <v>1889.0266499999998</v>
      </c>
    </row>
    <row r="43" spans="1:9" ht="15.75" hidden="1" customHeight="1">
      <c r="A43" s="34">
        <v>12</v>
      </c>
      <c r="B43" s="120" t="s">
        <v>141</v>
      </c>
      <c r="C43" s="121" t="s">
        <v>99</v>
      </c>
      <c r="D43" s="120" t="s">
        <v>67</v>
      </c>
      <c r="E43" s="123">
        <v>52.2</v>
      </c>
      <c r="F43" s="123">
        <f>SUM(E43*45/1000)</f>
        <v>2.3490000000000002</v>
      </c>
      <c r="G43" s="123">
        <v>458.28</v>
      </c>
      <c r="H43" s="124">
        <f t="shared" si="4"/>
        <v>1.0764997199999999</v>
      </c>
      <c r="I43" s="14">
        <f>F43/6*G43</f>
        <v>179.41661999999999</v>
      </c>
    </row>
    <row r="44" spans="1:9" ht="15.75" hidden="1" customHeight="1">
      <c r="A44" s="34">
        <v>13</v>
      </c>
      <c r="B44" s="120" t="s">
        <v>68</v>
      </c>
      <c r="C44" s="121" t="s">
        <v>31</v>
      </c>
      <c r="D44" s="120"/>
      <c r="E44" s="122"/>
      <c r="F44" s="123">
        <v>0.5</v>
      </c>
      <c r="G44" s="123">
        <v>853.06</v>
      </c>
      <c r="H44" s="124">
        <f t="shared" si="4"/>
        <v>0.42652999999999996</v>
      </c>
      <c r="I44" s="14">
        <f>F44/6*G44</f>
        <v>71.088333333333324</v>
      </c>
    </row>
    <row r="45" spans="1:9" ht="15.75" customHeight="1">
      <c r="A45" s="147" t="s">
        <v>159</v>
      </c>
      <c r="B45" s="148"/>
      <c r="C45" s="148"/>
      <c r="D45" s="148"/>
      <c r="E45" s="148"/>
      <c r="F45" s="148"/>
      <c r="G45" s="148"/>
      <c r="H45" s="148"/>
      <c r="I45" s="149"/>
    </row>
    <row r="46" spans="1:9" ht="15.75" customHeight="1">
      <c r="A46" s="34">
        <v>18</v>
      </c>
      <c r="B46" s="120" t="s">
        <v>119</v>
      </c>
      <c r="C46" s="121" t="s">
        <v>99</v>
      </c>
      <c r="D46" s="120" t="s">
        <v>41</v>
      </c>
      <c r="E46" s="122">
        <v>917.75</v>
      </c>
      <c r="F46" s="123">
        <f>SUM(E46*2/1000)</f>
        <v>1.8354999999999999</v>
      </c>
      <c r="G46" s="14">
        <v>865.61</v>
      </c>
      <c r="H46" s="124">
        <f t="shared" ref="H46:H55" si="5">SUM(F46*G46/1000)</f>
        <v>1.5888271549999999</v>
      </c>
      <c r="I46" s="14">
        <f t="shared" ref="I46:I49" si="6">F46/2*G46</f>
        <v>794.41357749999997</v>
      </c>
    </row>
    <row r="47" spans="1:9" ht="15.75" customHeight="1">
      <c r="A47" s="34">
        <v>19</v>
      </c>
      <c r="B47" s="120" t="s">
        <v>34</v>
      </c>
      <c r="C47" s="121" t="s">
        <v>99</v>
      </c>
      <c r="D47" s="120" t="s">
        <v>41</v>
      </c>
      <c r="E47" s="122">
        <v>48</v>
      </c>
      <c r="F47" s="123">
        <f>E47*2/1000</f>
        <v>9.6000000000000002E-2</v>
      </c>
      <c r="G47" s="14">
        <v>619.46</v>
      </c>
      <c r="H47" s="124">
        <f t="shared" si="5"/>
        <v>5.9468160000000006E-2</v>
      </c>
      <c r="I47" s="14">
        <f t="shared" si="6"/>
        <v>29.734080000000002</v>
      </c>
    </row>
    <row r="48" spans="1:9" ht="15.75" customHeight="1">
      <c r="A48" s="34">
        <v>20</v>
      </c>
      <c r="B48" s="120" t="s">
        <v>35</v>
      </c>
      <c r="C48" s="121" t="s">
        <v>99</v>
      </c>
      <c r="D48" s="120" t="s">
        <v>41</v>
      </c>
      <c r="E48" s="122">
        <v>937.4</v>
      </c>
      <c r="F48" s="123">
        <f>SUM(E48*2/1000)</f>
        <v>1.8748</v>
      </c>
      <c r="G48" s="14">
        <v>619.46</v>
      </c>
      <c r="H48" s="124">
        <f t="shared" si="5"/>
        <v>1.161363608</v>
      </c>
      <c r="I48" s="14">
        <f t="shared" si="6"/>
        <v>580.68180400000006</v>
      </c>
    </row>
    <row r="49" spans="1:9" ht="15.75" customHeight="1">
      <c r="A49" s="34">
        <v>21</v>
      </c>
      <c r="B49" s="120" t="s">
        <v>36</v>
      </c>
      <c r="C49" s="121" t="s">
        <v>99</v>
      </c>
      <c r="D49" s="120" t="s">
        <v>41</v>
      </c>
      <c r="E49" s="122">
        <v>1243.28</v>
      </c>
      <c r="F49" s="123">
        <f>SUM(E49*2/1000)</f>
        <v>2.4865599999999999</v>
      </c>
      <c r="G49" s="14">
        <v>648.64</v>
      </c>
      <c r="H49" s="124">
        <f t="shared" si="5"/>
        <v>1.6128822783999999</v>
      </c>
      <c r="I49" s="14">
        <f t="shared" si="6"/>
        <v>806.44113919999995</v>
      </c>
    </row>
    <row r="50" spans="1:9" ht="15.75" customHeight="1">
      <c r="A50" s="34">
        <v>22</v>
      </c>
      <c r="B50" s="120" t="s">
        <v>32</v>
      </c>
      <c r="C50" s="121" t="s">
        <v>33</v>
      </c>
      <c r="D50" s="120" t="s">
        <v>41</v>
      </c>
      <c r="E50" s="122">
        <v>64.5</v>
      </c>
      <c r="F50" s="123">
        <f>SUM(E50*2/100)</f>
        <v>1.29</v>
      </c>
      <c r="G50" s="14">
        <v>77.84</v>
      </c>
      <c r="H50" s="124">
        <f t="shared" si="5"/>
        <v>0.10041360000000001</v>
      </c>
      <c r="I50" s="14">
        <f>F50/2*G50</f>
        <v>50.206800000000001</v>
      </c>
    </row>
    <row r="51" spans="1:9" ht="15.75" customHeight="1">
      <c r="A51" s="34">
        <v>23</v>
      </c>
      <c r="B51" s="120" t="s">
        <v>54</v>
      </c>
      <c r="C51" s="121" t="s">
        <v>99</v>
      </c>
      <c r="D51" s="120" t="s">
        <v>186</v>
      </c>
      <c r="E51" s="122">
        <v>678.4</v>
      </c>
      <c r="F51" s="123">
        <f>SUM(E51*5/1000)</f>
        <v>3.3919999999999999</v>
      </c>
      <c r="G51" s="14">
        <v>1297.28</v>
      </c>
      <c r="H51" s="124">
        <f t="shared" si="5"/>
        <v>4.4003737599999999</v>
      </c>
      <c r="I51" s="14">
        <f>F51/5*G51</f>
        <v>880.07475199999999</v>
      </c>
    </row>
    <row r="52" spans="1:9" ht="31.5" hidden="1" customHeight="1">
      <c r="A52" s="34"/>
      <c r="B52" s="120" t="s">
        <v>100</v>
      </c>
      <c r="C52" s="121" t="s">
        <v>99</v>
      </c>
      <c r="D52" s="120" t="s">
        <v>41</v>
      </c>
      <c r="E52" s="122">
        <v>678.4</v>
      </c>
      <c r="F52" s="123">
        <f>SUM(E52*2/1000)</f>
        <v>1.3568</v>
      </c>
      <c r="G52" s="14">
        <v>1297.28</v>
      </c>
      <c r="H52" s="124">
        <f t="shared" si="5"/>
        <v>1.7601495039999999</v>
      </c>
      <c r="I52" s="14">
        <v>0</v>
      </c>
    </row>
    <row r="53" spans="1:9" ht="31.5" hidden="1" customHeight="1">
      <c r="A53" s="34"/>
      <c r="B53" s="120" t="s">
        <v>101</v>
      </c>
      <c r="C53" s="121" t="s">
        <v>37</v>
      </c>
      <c r="D53" s="120" t="s">
        <v>41</v>
      </c>
      <c r="E53" s="122">
        <v>12</v>
      </c>
      <c r="F53" s="123">
        <f>SUM(E53*2/100)</f>
        <v>0.24</v>
      </c>
      <c r="G53" s="14">
        <v>2918.89</v>
      </c>
      <c r="H53" s="124">
        <f t="shared" si="5"/>
        <v>0.70053359999999998</v>
      </c>
      <c r="I53" s="14">
        <v>0</v>
      </c>
    </row>
    <row r="54" spans="1:9" ht="15.75" hidden="1" customHeight="1">
      <c r="A54" s="34"/>
      <c r="B54" s="120" t="s">
        <v>38</v>
      </c>
      <c r="C54" s="121" t="s">
        <v>39</v>
      </c>
      <c r="D54" s="120" t="s">
        <v>41</v>
      </c>
      <c r="E54" s="122">
        <v>1</v>
      </c>
      <c r="F54" s="123">
        <v>0.02</v>
      </c>
      <c r="G54" s="14">
        <v>6042.12</v>
      </c>
      <c r="H54" s="124">
        <f t="shared" si="5"/>
        <v>0.1208424</v>
      </c>
      <c r="I54" s="14">
        <v>0</v>
      </c>
    </row>
    <row r="55" spans="1:9" ht="15.75" hidden="1" customHeight="1">
      <c r="A55" s="34">
        <v>15</v>
      </c>
      <c r="B55" s="120" t="s">
        <v>40</v>
      </c>
      <c r="C55" s="121" t="s">
        <v>120</v>
      </c>
      <c r="D55" s="120" t="s">
        <v>69</v>
      </c>
      <c r="E55" s="122">
        <v>72</v>
      </c>
      <c r="F55" s="123">
        <f>SUM(E55)*3</f>
        <v>216</v>
      </c>
      <c r="G55" s="14">
        <v>70.209999999999994</v>
      </c>
      <c r="H55" s="124">
        <f t="shared" si="5"/>
        <v>15.165359999999998</v>
      </c>
      <c r="I55" s="14">
        <f>E55*G55</f>
        <v>5055.12</v>
      </c>
    </row>
    <row r="56" spans="1:9" ht="15.75" customHeight="1">
      <c r="A56" s="147" t="s">
        <v>160</v>
      </c>
      <c r="B56" s="148"/>
      <c r="C56" s="148"/>
      <c r="D56" s="148"/>
      <c r="E56" s="148"/>
      <c r="F56" s="148"/>
      <c r="G56" s="148"/>
      <c r="H56" s="148"/>
      <c r="I56" s="149"/>
    </row>
    <row r="57" spans="1:9" ht="15.75" hidden="1" customHeight="1">
      <c r="A57" s="34"/>
      <c r="B57" s="144" t="s">
        <v>42</v>
      </c>
      <c r="C57" s="121"/>
      <c r="D57" s="120"/>
      <c r="E57" s="122"/>
      <c r="F57" s="123"/>
      <c r="G57" s="123"/>
      <c r="H57" s="124"/>
      <c r="I57" s="14"/>
    </row>
    <row r="58" spans="1:9" ht="31.5" hidden="1" customHeight="1">
      <c r="A58" s="34">
        <v>16</v>
      </c>
      <c r="B58" s="120" t="s">
        <v>121</v>
      </c>
      <c r="C58" s="121" t="s">
        <v>94</v>
      </c>
      <c r="D58" s="120" t="s">
        <v>122</v>
      </c>
      <c r="E58" s="122">
        <v>110.66</v>
      </c>
      <c r="F58" s="123">
        <f>SUM(E58*6/100)</f>
        <v>6.6396000000000006</v>
      </c>
      <c r="G58" s="14">
        <v>1654.04</v>
      </c>
      <c r="H58" s="124">
        <f>SUM(F58*G58/1000)</f>
        <v>10.982163984000001</v>
      </c>
      <c r="I58" s="14">
        <f>F58/6*G58</f>
        <v>1830.360664</v>
      </c>
    </row>
    <row r="59" spans="1:9" ht="15.75" customHeight="1">
      <c r="A59" s="34"/>
      <c r="B59" s="145" t="s">
        <v>43</v>
      </c>
      <c r="C59" s="129"/>
      <c r="D59" s="130"/>
      <c r="E59" s="131"/>
      <c r="F59" s="132"/>
      <c r="G59" s="132"/>
      <c r="H59" s="133" t="s">
        <v>131</v>
      </c>
      <c r="I59" s="14"/>
    </row>
    <row r="60" spans="1:9" ht="15.75" hidden="1" customHeight="1">
      <c r="A60" s="34">
        <v>17</v>
      </c>
      <c r="B60" s="16" t="s">
        <v>44</v>
      </c>
      <c r="C60" s="18" t="s">
        <v>120</v>
      </c>
      <c r="D60" s="16" t="s">
        <v>65</v>
      </c>
      <c r="E60" s="21">
        <v>8</v>
      </c>
      <c r="F60" s="123">
        <v>8</v>
      </c>
      <c r="G60" s="14">
        <v>237.74</v>
      </c>
      <c r="H60" s="134">
        <f t="shared" ref="H60:H73" si="7">SUM(F60*G60/1000)</f>
        <v>1.9019200000000001</v>
      </c>
      <c r="I60" s="14">
        <f>G60</f>
        <v>237.74</v>
      </c>
    </row>
    <row r="61" spans="1:9" ht="15.75" hidden="1" customHeight="1">
      <c r="A61" s="34"/>
      <c r="B61" s="16" t="s">
        <v>45</v>
      </c>
      <c r="C61" s="18" t="s">
        <v>120</v>
      </c>
      <c r="D61" s="16" t="s">
        <v>65</v>
      </c>
      <c r="E61" s="21">
        <v>3</v>
      </c>
      <c r="F61" s="123">
        <v>3</v>
      </c>
      <c r="G61" s="14">
        <v>81.510000000000005</v>
      </c>
      <c r="H61" s="134">
        <f t="shared" si="7"/>
        <v>0.24453000000000003</v>
      </c>
      <c r="I61" s="14">
        <v>0</v>
      </c>
    </row>
    <row r="62" spans="1:9" ht="15.75" customHeight="1">
      <c r="A62" s="34">
        <v>24</v>
      </c>
      <c r="B62" s="16" t="s">
        <v>46</v>
      </c>
      <c r="C62" s="18" t="s">
        <v>123</v>
      </c>
      <c r="D62" s="16" t="s">
        <v>52</v>
      </c>
      <c r="E62" s="122">
        <v>8539</v>
      </c>
      <c r="F62" s="14">
        <f>SUM(E62/100)</f>
        <v>85.39</v>
      </c>
      <c r="G62" s="14">
        <v>226.79</v>
      </c>
      <c r="H62" s="134">
        <f t="shared" si="7"/>
        <v>19.3655981</v>
      </c>
      <c r="I62" s="14">
        <f>F62*G62</f>
        <v>19365.598099999999</v>
      </c>
    </row>
    <row r="63" spans="1:9" ht="15.75" customHeight="1">
      <c r="A63" s="34">
        <v>25</v>
      </c>
      <c r="B63" s="16" t="s">
        <v>47</v>
      </c>
      <c r="C63" s="18" t="s">
        <v>124</v>
      </c>
      <c r="D63" s="16"/>
      <c r="E63" s="122">
        <v>8539</v>
      </c>
      <c r="F63" s="14">
        <f>SUM(E63/1000)</f>
        <v>8.5389999999999997</v>
      </c>
      <c r="G63" s="14">
        <v>176.61</v>
      </c>
      <c r="H63" s="134">
        <f t="shared" si="7"/>
        <v>1.5080727900000002</v>
      </c>
      <c r="I63" s="14">
        <f t="shared" ref="I63:I66" si="8">F63*G63</f>
        <v>1508.0727900000002</v>
      </c>
    </row>
    <row r="64" spans="1:9" ht="15.75" customHeight="1">
      <c r="A64" s="34">
        <v>26</v>
      </c>
      <c r="B64" s="16" t="s">
        <v>48</v>
      </c>
      <c r="C64" s="18" t="s">
        <v>75</v>
      </c>
      <c r="D64" s="16" t="s">
        <v>52</v>
      </c>
      <c r="E64" s="122">
        <v>1370</v>
      </c>
      <c r="F64" s="14">
        <f>SUM(E64/100)</f>
        <v>13.7</v>
      </c>
      <c r="G64" s="14">
        <v>2217.7800000000002</v>
      </c>
      <c r="H64" s="134">
        <f t="shared" si="7"/>
        <v>30.383586000000005</v>
      </c>
      <c r="I64" s="14">
        <f t="shared" si="8"/>
        <v>30383.586000000003</v>
      </c>
    </row>
    <row r="65" spans="1:9" ht="15.75" customHeight="1">
      <c r="A65" s="34">
        <v>27</v>
      </c>
      <c r="B65" s="135" t="s">
        <v>125</v>
      </c>
      <c r="C65" s="18" t="s">
        <v>31</v>
      </c>
      <c r="D65" s="16"/>
      <c r="E65" s="122">
        <v>9</v>
      </c>
      <c r="F65" s="14">
        <f>SUM(E65)</f>
        <v>9</v>
      </c>
      <c r="G65" s="14">
        <v>42.67</v>
      </c>
      <c r="H65" s="134">
        <f t="shared" si="7"/>
        <v>0.38403000000000004</v>
      </c>
      <c r="I65" s="14">
        <f t="shared" si="8"/>
        <v>384.03000000000003</v>
      </c>
    </row>
    <row r="66" spans="1:9" ht="15.75" customHeight="1">
      <c r="A66" s="34">
        <v>28</v>
      </c>
      <c r="B66" s="135" t="s">
        <v>126</v>
      </c>
      <c r="C66" s="18" t="s">
        <v>31</v>
      </c>
      <c r="D66" s="16"/>
      <c r="E66" s="122">
        <v>9</v>
      </c>
      <c r="F66" s="14">
        <f>SUM(E66)</f>
        <v>9</v>
      </c>
      <c r="G66" s="14">
        <v>39.81</v>
      </c>
      <c r="H66" s="134">
        <f t="shared" si="7"/>
        <v>0.35829</v>
      </c>
      <c r="I66" s="14">
        <f t="shared" si="8"/>
        <v>358.29</v>
      </c>
    </row>
    <row r="67" spans="1:9" ht="15.75" hidden="1" customHeight="1">
      <c r="A67" s="34"/>
      <c r="B67" s="16" t="s">
        <v>55</v>
      </c>
      <c r="C67" s="18" t="s">
        <v>56</v>
      </c>
      <c r="D67" s="16" t="s">
        <v>52</v>
      </c>
      <c r="E67" s="21">
        <v>3</v>
      </c>
      <c r="F67" s="123">
        <v>3</v>
      </c>
      <c r="G67" s="14">
        <v>53.62</v>
      </c>
      <c r="H67" s="134">
        <f t="shared" si="7"/>
        <v>0.16085999999999998</v>
      </c>
      <c r="I67" s="14">
        <v>0</v>
      </c>
    </row>
    <row r="68" spans="1:9" ht="15.75" hidden="1" customHeight="1">
      <c r="A68" s="34"/>
      <c r="B68" s="36" t="s">
        <v>70</v>
      </c>
      <c r="C68" s="18"/>
      <c r="D68" s="16"/>
      <c r="E68" s="21"/>
      <c r="F68" s="14"/>
      <c r="G68" s="14"/>
      <c r="H68" s="134" t="s">
        <v>131</v>
      </c>
      <c r="I68" s="14"/>
    </row>
    <row r="69" spans="1:9" ht="15.75" hidden="1" customHeight="1">
      <c r="A69" s="34"/>
      <c r="B69" s="16" t="s">
        <v>71</v>
      </c>
      <c r="C69" s="18" t="s">
        <v>73</v>
      </c>
      <c r="D69" s="16"/>
      <c r="E69" s="21">
        <v>2</v>
      </c>
      <c r="F69" s="14">
        <v>0.2</v>
      </c>
      <c r="G69" s="14">
        <v>536.23</v>
      </c>
      <c r="H69" s="134">
        <f t="shared" si="7"/>
        <v>0.10724600000000001</v>
      </c>
      <c r="I69" s="14">
        <v>0</v>
      </c>
    </row>
    <row r="70" spans="1:9" ht="15.75" hidden="1" customHeight="1">
      <c r="A70" s="34"/>
      <c r="B70" s="16" t="s">
        <v>72</v>
      </c>
      <c r="C70" s="18" t="s">
        <v>29</v>
      </c>
      <c r="D70" s="16"/>
      <c r="E70" s="21">
        <v>1</v>
      </c>
      <c r="F70" s="116">
        <v>1</v>
      </c>
      <c r="G70" s="14">
        <v>911.85</v>
      </c>
      <c r="H70" s="134">
        <f>F70*G70/1000</f>
        <v>0.91185000000000005</v>
      </c>
      <c r="I70" s="14">
        <v>0</v>
      </c>
    </row>
    <row r="71" spans="1:9" ht="15.75" hidden="1" customHeight="1">
      <c r="A71" s="34"/>
      <c r="B71" s="16" t="s">
        <v>143</v>
      </c>
      <c r="C71" s="18" t="s">
        <v>29</v>
      </c>
      <c r="D71" s="16"/>
      <c r="E71" s="21">
        <v>1</v>
      </c>
      <c r="F71" s="14">
        <v>1</v>
      </c>
      <c r="G71" s="14">
        <v>383.25</v>
      </c>
      <c r="H71" s="134">
        <f>G71*F71/1000</f>
        <v>0.38324999999999998</v>
      </c>
      <c r="I71" s="14">
        <v>0</v>
      </c>
    </row>
    <row r="72" spans="1:9" ht="15.75" hidden="1" customHeight="1">
      <c r="A72" s="34"/>
      <c r="B72" s="136" t="s">
        <v>74</v>
      </c>
      <c r="C72" s="18"/>
      <c r="D72" s="16"/>
      <c r="E72" s="21"/>
      <c r="F72" s="14"/>
      <c r="G72" s="14" t="s">
        <v>131</v>
      </c>
      <c r="H72" s="134" t="s">
        <v>131</v>
      </c>
      <c r="I72" s="14"/>
    </row>
    <row r="73" spans="1:9" ht="15.75" hidden="1" customHeight="1">
      <c r="A73" s="34"/>
      <c r="B73" s="63" t="s">
        <v>132</v>
      </c>
      <c r="C73" s="18" t="s">
        <v>75</v>
      </c>
      <c r="D73" s="16"/>
      <c r="E73" s="21"/>
      <c r="F73" s="14">
        <v>1.35</v>
      </c>
      <c r="G73" s="14">
        <v>2949.85</v>
      </c>
      <c r="H73" s="134">
        <f t="shared" si="7"/>
        <v>3.9822975</v>
      </c>
      <c r="I73" s="14">
        <v>0</v>
      </c>
    </row>
    <row r="74" spans="1:9" ht="15.75" hidden="1" customHeight="1">
      <c r="A74" s="34"/>
      <c r="B74" s="115" t="s">
        <v>102</v>
      </c>
      <c r="C74" s="137"/>
      <c r="D74" s="36"/>
      <c r="E74" s="37"/>
      <c r="F74" s="126"/>
      <c r="G74" s="126"/>
      <c r="H74" s="138">
        <f>SUM(H58:H73)</f>
        <v>70.673694374000007</v>
      </c>
      <c r="I74" s="126"/>
    </row>
    <row r="75" spans="1:9" ht="15.75" hidden="1" customHeight="1">
      <c r="A75" s="34"/>
      <c r="B75" s="120" t="s">
        <v>127</v>
      </c>
      <c r="C75" s="18"/>
      <c r="D75" s="16"/>
      <c r="E75" s="139"/>
      <c r="F75" s="14">
        <v>1</v>
      </c>
      <c r="G75" s="14">
        <v>7101.4</v>
      </c>
      <c r="H75" s="134">
        <f>G75*F75/1000</f>
        <v>7.1013999999999999</v>
      </c>
      <c r="I75" s="14">
        <v>0</v>
      </c>
    </row>
    <row r="76" spans="1:9" ht="15.75" customHeight="1">
      <c r="A76" s="147" t="s">
        <v>161</v>
      </c>
      <c r="B76" s="148"/>
      <c r="C76" s="148"/>
      <c r="D76" s="148"/>
      <c r="E76" s="148"/>
      <c r="F76" s="148"/>
      <c r="G76" s="148"/>
      <c r="H76" s="148"/>
      <c r="I76" s="149"/>
    </row>
    <row r="77" spans="1:9" ht="15.75" customHeight="1">
      <c r="A77" s="34">
        <v>29</v>
      </c>
      <c r="B77" s="120" t="s">
        <v>128</v>
      </c>
      <c r="C77" s="18" t="s">
        <v>53</v>
      </c>
      <c r="D77" s="140" t="s">
        <v>188</v>
      </c>
      <c r="E77" s="14">
        <v>2054.6</v>
      </c>
      <c r="F77" s="14">
        <f>SUM(E77*12)</f>
        <v>24655.199999999997</v>
      </c>
      <c r="G77" s="14">
        <v>2.2400000000000002</v>
      </c>
      <c r="H77" s="134">
        <f>SUM(F77*G77/1000)</f>
        <v>55.227648000000002</v>
      </c>
      <c r="I77" s="14">
        <f>F77/12*G77</f>
        <v>4602.3040000000001</v>
      </c>
    </row>
    <row r="78" spans="1:9" ht="31.5" customHeight="1">
      <c r="A78" s="34">
        <v>30</v>
      </c>
      <c r="B78" s="16" t="s">
        <v>76</v>
      </c>
      <c r="C78" s="18"/>
      <c r="D78" s="140" t="s">
        <v>188</v>
      </c>
      <c r="E78" s="122">
        <f>E77</f>
        <v>2054.6</v>
      </c>
      <c r="F78" s="14">
        <f>E78*12</f>
        <v>24655.199999999997</v>
      </c>
      <c r="G78" s="14">
        <v>1.74</v>
      </c>
      <c r="H78" s="134">
        <f>F78*G78/1000</f>
        <v>42.900047999999998</v>
      </c>
      <c r="I78" s="14">
        <f>F78/12*G78</f>
        <v>3575.0039999999999</v>
      </c>
    </row>
    <row r="79" spans="1:9" ht="15.75" customHeight="1">
      <c r="A79" s="34"/>
      <c r="B79" s="50" t="s">
        <v>80</v>
      </c>
      <c r="C79" s="137"/>
      <c r="D79" s="136"/>
      <c r="E79" s="126"/>
      <c r="F79" s="126"/>
      <c r="G79" s="126"/>
      <c r="H79" s="138">
        <f>H78</f>
        <v>42.900047999999998</v>
      </c>
      <c r="I79" s="126">
        <f>I16+I17+I18+I19+I20+I21+I22+I23+I24+I25+I26+I27+I28+I31+I32+I33+I34+I46+I47+I48+I49+I50+I51+I62+I63+I64+I65+I66+I77+I78</f>
        <v>88179.928237199987</v>
      </c>
    </row>
    <row r="80" spans="1:9" ht="15.75" customHeight="1">
      <c r="A80" s="34"/>
      <c r="B80" s="75" t="s">
        <v>58</v>
      </c>
      <c r="C80" s="18"/>
      <c r="D80" s="63"/>
      <c r="E80" s="14"/>
      <c r="F80" s="14"/>
      <c r="G80" s="14"/>
      <c r="H80" s="14"/>
      <c r="I80" s="14"/>
    </row>
    <row r="81" spans="1:9" ht="15.75" customHeight="1">
      <c r="A81" s="34">
        <v>31</v>
      </c>
      <c r="B81" s="76" t="s">
        <v>133</v>
      </c>
      <c r="C81" s="77" t="s">
        <v>120</v>
      </c>
      <c r="D81" s="63"/>
      <c r="E81" s="14"/>
      <c r="F81" s="14">
        <v>432</v>
      </c>
      <c r="G81" s="14">
        <v>50.68</v>
      </c>
      <c r="H81" s="14">
        <f>G81*F81/1000</f>
        <v>21.893759999999997</v>
      </c>
      <c r="I81" s="14">
        <f>G81*36</f>
        <v>1824.48</v>
      </c>
    </row>
    <row r="82" spans="1:9" ht="15.75" customHeight="1">
      <c r="A82" s="34">
        <v>32</v>
      </c>
      <c r="B82" s="76" t="s">
        <v>179</v>
      </c>
      <c r="C82" s="77" t="s">
        <v>180</v>
      </c>
      <c r="D82" s="63"/>
      <c r="E82" s="14"/>
      <c r="F82" s="14">
        <v>1</v>
      </c>
      <c r="G82" s="14">
        <v>3244</v>
      </c>
      <c r="H82" s="134">
        <f t="shared" ref="H82" si="9">G82*F82/1000</f>
        <v>3.2440000000000002</v>
      </c>
      <c r="I82" s="14">
        <f>G82</f>
        <v>3244</v>
      </c>
    </row>
    <row r="83" spans="1:9" ht="15.75" customHeight="1">
      <c r="A83" s="34"/>
      <c r="B83" s="57" t="s">
        <v>49</v>
      </c>
      <c r="C83" s="53"/>
      <c r="D83" s="66"/>
      <c r="E83" s="53">
        <v>1</v>
      </c>
      <c r="F83" s="53"/>
      <c r="G83" s="53"/>
      <c r="H83" s="53"/>
      <c r="I83" s="37">
        <f>SUM(I81:I82)</f>
        <v>5068.4799999999996</v>
      </c>
    </row>
    <row r="84" spans="1:9" ht="15.75" customHeight="1">
      <c r="A84" s="34"/>
      <c r="B84" s="63" t="s">
        <v>77</v>
      </c>
      <c r="C84" s="17"/>
      <c r="D84" s="17"/>
      <c r="E84" s="54"/>
      <c r="F84" s="54"/>
      <c r="G84" s="55"/>
      <c r="H84" s="55"/>
      <c r="I84" s="20">
        <v>0</v>
      </c>
    </row>
    <row r="85" spans="1:9" ht="15.75" customHeight="1">
      <c r="A85" s="67"/>
      <c r="B85" s="58" t="s">
        <v>50</v>
      </c>
      <c r="C85" s="43"/>
      <c r="D85" s="43"/>
      <c r="E85" s="43"/>
      <c r="F85" s="43"/>
      <c r="G85" s="43"/>
      <c r="H85" s="43"/>
      <c r="I85" s="56">
        <f>I79+I83</f>
        <v>93248.408237199983</v>
      </c>
    </row>
    <row r="86" spans="1:9" ht="15.75">
      <c r="A86" s="160" t="s">
        <v>206</v>
      </c>
      <c r="B86" s="160"/>
      <c r="C86" s="160"/>
      <c r="D86" s="160"/>
      <c r="E86" s="160"/>
      <c r="F86" s="160"/>
      <c r="G86" s="160"/>
      <c r="H86" s="160"/>
      <c r="I86" s="160"/>
    </row>
    <row r="87" spans="1:9" ht="15.75">
      <c r="A87" s="102"/>
      <c r="B87" s="155" t="s">
        <v>207</v>
      </c>
      <c r="C87" s="155"/>
      <c r="D87" s="155"/>
      <c r="E87" s="155"/>
      <c r="F87" s="155"/>
      <c r="G87" s="155"/>
      <c r="H87" s="119"/>
      <c r="I87" s="3"/>
    </row>
    <row r="88" spans="1:9">
      <c r="A88" s="106"/>
      <c r="B88" s="151" t="s">
        <v>6</v>
      </c>
      <c r="C88" s="151"/>
      <c r="D88" s="151"/>
      <c r="E88" s="151"/>
      <c r="F88" s="151"/>
      <c r="G88" s="151"/>
      <c r="H88" s="29"/>
      <c r="I88" s="5"/>
    </row>
    <row r="89" spans="1:9">
      <c r="A89" s="10"/>
      <c r="B89" s="10"/>
      <c r="C89" s="10"/>
      <c r="D89" s="10"/>
      <c r="E89" s="10"/>
      <c r="F89" s="10"/>
      <c r="G89" s="10"/>
      <c r="H89" s="10"/>
      <c r="I89" s="10"/>
    </row>
    <row r="90" spans="1:9" ht="15.75">
      <c r="A90" s="156" t="s">
        <v>7</v>
      </c>
      <c r="B90" s="156"/>
      <c r="C90" s="156"/>
      <c r="D90" s="156"/>
      <c r="E90" s="156"/>
      <c r="F90" s="156"/>
      <c r="G90" s="156"/>
      <c r="H90" s="156"/>
      <c r="I90" s="156"/>
    </row>
    <row r="91" spans="1:9" ht="15.75">
      <c r="A91" s="156" t="s">
        <v>8</v>
      </c>
      <c r="B91" s="156"/>
      <c r="C91" s="156"/>
      <c r="D91" s="156"/>
      <c r="E91" s="156"/>
      <c r="F91" s="156"/>
      <c r="G91" s="156"/>
      <c r="H91" s="156"/>
      <c r="I91" s="156"/>
    </row>
    <row r="92" spans="1:9" ht="15.75">
      <c r="A92" s="157" t="s">
        <v>59</v>
      </c>
      <c r="B92" s="157"/>
      <c r="C92" s="157"/>
      <c r="D92" s="157"/>
      <c r="E92" s="157"/>
      <c r="F92" s="157"/>
      <c r="G92" s="157"/>
      <c r="H92" s="157"/>
      <c r="I92" s="157"/>
    </row>
    <row r="93" spans="1:9" ht="15.75">
      <c r="A93" s="11"/>
    </row>
    <row r="94" spans="1:9" ht="15.75">
      <c r="A94" s="158" t="s">
        <v>9</v>
      </c>
      <c r="B94" s="158"/>
      <c r="C94" s="158"/>
      <c r="D94" s="158"/>
      <c r="E94" s="158"/>
      <c r="F94" s="158"/>
      <c r="G94" s="158"/>
      <c r="H94" s="158"/>
      <c r="I94" s="158"/>
    </row>
    <row r="95" spans="1:9" ht="15.75">
      <c r="A95" s="4"/>
    </row>
    <row r="96" spans="1:9" ht="15.75">
      <c r="B96" s="107" t="s">
        <v>10</v>
      </c>
      <c r="C96" s="150" t="s">
        <v>162</v>
      </c>
      <c r="D96" s="150"/>
      <c r="E96" s="150"/>
      <c r="F96" s="117"/>
      <c r="I96" s="105"/>
    </row>
    <row r="97" spans="1:9">
      <c r="A97" s="106"/>
      <c r="C97" s="151" t="s">
        <v>11</v>
      </c>
      <c r="D97" s="151"/>
      <c r="E97" s="151"/>
      <c r="F97" s="29"/>
      <c r="I97" s="104" t="s">
        <v>12</v>
      </c>
    </row>
    <row r="98" spans="1:9" ht="15.75">
      <c r="A98" s="30"/>
      <c r="C98" s="12"/>
      <c r="D98" s="12"/>
      <c r="G98" s="12"/>
      <c r="H98" s="12"/>
    </row>
    <row r="99" spans="1:9" ht="15.75">
      <c r="B99" s="107" t="s">
        <v>13</v>
      </c>
      <c r="C99" s="152"/>
      <c r="D99" s="152"/>
      <c r="E99" s="152"/>
      <c r="F99" s="118"/>
      <c r="I99" s="105"/>
    </row>
    <row r="100" spans="1:9">
      <c r="A100" s="106"/>
      <c r="C100" s="153" t="s">
        <v>11</v>
      </c>
      <c r="D100" s="153"/>
      <c r="E100" s="153"/>
      <c r="F100" s="106"/>
      <c r="I100" s="104" t="s">
        <v>12</v>
      </c>
    </row>
    <row r="101" spans="1:9" ht="15.75">
      <c r="A101" s="4" t="s">
        <v>14</v>
      </c>
    </row>
    <row r="102" spans="1:9">
      <c r="A102" s="154" t="s">
        <v>15</v>
      </c>
      <c r="B102" s="154"/>
      <c r="C102" s="154"/>
      <c r="D102" s="154"/>
      <c r="E102" s="154"/>
      <c r="F102" s="154"/>
      <c r="G102" s="154"/>
      <c r="H102" s="154"/>
      <c r="I102" s="154"/>
    </row>
    <row r="103" spans="1:9" ht="45" customHeight="1">
      <c r="A103" s="146" t="s">
        <v>16</v>
      </c>
      <c r="B103" s="146"/>
      <c r="C103" s="146"/>
      <c r="D103" s="146"/>
      <c r="E103" s="146"/>
      <c r="F103" s="146"/>
      <c r="G103" s="146"/>
      <c r="H103" s="146"/>
      <c r="I103" s="146"/>
    </row>
    <row r="104" spans="1:9" ht="30" customHeight="1">
      <c r="A104" s="146" t="s">
        <v>17</v>
      </c>
      <c r="B104" s="146"/>
      <c r="C104" s="146"/>
      <c r="D104" s="146"/>
      <c r="E104" s="146"/>
      <c r="F104" s="146"/>
      <c r="G104" s="146"/>
      <c r="H104" s="146"/>
      <c r="I104" s="146"/>
    </row>
    <row r="105" spans="1:9" ht="30" customHeight="1">
      <c r="A105" s="146" t="s">
        <v>21</v>
      </c>
      <c r="B105" s="146"/>
      <c r="C105" s="146"/>
      <c r="D105" s="146"/>
      <c r="E105" s="146"/>
      <c r="F105" s="146"/>
      <c r="G105" s="146"/>
      <c r="H105" s="146"/>
      <c r="I105" s="146"/>
    </row>
    <row r="106" spans="1:9" ht="15" customHeight="1">
      <c r="A106" s="146" t="s">
        <v>20</v>
      </c>
      <c r="B106" s="146"/>
      <c r="C106" s="146"/>
      <c r="D106" s="146"/>
      <c r="E106" s="146"/>
      <c r="F106" s="146"/>
      <c r="G106" s="146"/>
      <c r="H106" s="146"/>
      <c r="I106" s="146"/>
    </row>
  </sheetData>
  <mergeCells count="27">
    <mergeCell ref="A104:I104"/>
    <mergeCell ref="A105:I105"/>
    <mergeCell ref="A106:I106"/>
    <mergeCell ref="C96:E96"/>
    <mergeCell ref="C97:E97"/>
    <mergeCell ref="C99:E99"/>
    <mergeCell ref="C100:E100"/>
    <mergeCell ref="A102:I102"/>
    <mergeCell ref="A103:I103"/>
    <mergeCell ref="B87:G87"/>
    <mergeCell ref="B88:G88"/>
    <mergeCell ref="A90:I90"/>
    <mergeCell ref="A91:I91"/>
    <mergeCell ref="A92:I92"/>
    <mergeCell ref="A94:I94"/>
    <mergeCell ref="A15:I15"/>
    <mergeCell ref="A29:I29"/>
    <mergeCell ref="A45:I45"/>
    <mergeCell ref="A56:I56"/>
    <mergeCell ref="A76:I76"/>
    <mergeCell ref="A86:I86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2" t="s">
        <v>90</v>
      </c>
      <c r="I1" s="31"/>
    </row>
    <row r="2" spans="1:9" ht="15.75">
      <c r="A2" s="33" t="s">
        <v>60</v>
      </c>
    </row>
    <row r="3" spans="1:9" ht="15.75">
      <c r="A3" s="161" t="s">
        <v>208</v>
      </c>
      <c r="B3" s="161"/>
      <c r="C3" s="161"/>
      <c r="D3" s="161"/>
      <c r="E3" s="161"/>
      <c r="F3" s="161"/>
      <c r="G3" s="161"/>
      <c r="H3" s="161"/>
      <c r="I3" s="161"/>
    </row>
    <row r="4" spans="1:9" ht="31.5" customHeight="1">
      <c r="A4" s="162" t="s">
        <v>152</v>
      </c>
      <c r="B4" s="162"/>
      <c r="C4" s="162"/>
      <c r="D4" s="162"/>
      <c r="E4" s="162"/>
      <c r="F4" s="162"/>
      <c r="G4" s="162"/>
      <c r="H4" s="162"/>
      <c r="I4" s="162"/>
    </row>
    <row r="5" spans="1:9" ht="15.75">
      <c r="A5" s="161" t="s">
        <v>209</v>
      </c>
      <c r="B5" s="163"/>
      <c r="C5" s="163"/>
      <c r="D5" s="163"/>
      <c r="E5" s="163"/>
      <c r="F5" s="163"/>
      <c r="G5" s="163"/>
      <c r="H5" s="163"/>
      <c r="I5" s="163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5">
        <v>42551</v>
      </c>
    </row>
    <row r="7" spans="1:9" ht="15.75">
      <c r="B7" s="107"/>
      <c r="C7" s="107"/>
      <c r="D7" s="107"/>
      <c r="E7" s="3"/>
      <c r="F7" s="3"/>
      <c r="G7" s="3"/>
      <c r="H7" s="3"/>
    </row>
    <row r="8" spans="1:9" ht="78.75" customHeight="1">
      <c r="A8" s="164" t="s">
        <v>157</v>
      </c>
      <c r="B8" s="164"/>
      <c r="C8" s="164"/>
      <c r="D8" s="164"/>
      <c r="E8" s="164"/>
      <c r="F8" s="164"/>
      <c r="G8" s="164"/>
      <c r="H8" s="164"/>
      <c r="I8" s="164"/>
    </row>
    <row r="9" spans="1:9" ht="15.75">
      <c r="A9" s="4"/>
    </row>
    <row r="10" spans="1:9" ht="47.25" customHeight="1">
      <c r="A10" s="165" t="s">
        <v>158</v>
      </c>
      <c r="B10" s="165"/>
      <c r="C10" s="165"/>
      <c r="D10" s="165"/>
      <c r="E10" s="165"/>
      <c r="F10" s="165"/>
      <c r="G10" s="165"/>
      <c r="H10" s="165"/>
      <c r="I10" s="165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6" t="s">
        <v>57</v>
      </c>
      <c r="B14" s="166"/>
      <c r="C14" s="166"/>
      <c r="D14" s="166"/>
      <c r="E14" s="166"/>
      <c r="F14" s="166"/>
      <c r="G14" s="166"/>
      <c r="H14" s="166"/>
      <c r="I14" s="166"/>
    </row>
    <row r="15" spans="1:9">
      <c r="A15" s="159" t="s">
        <v>4</v>
      </c>
      <c r="B15" s="159"/>
      <c r="C15" s="159"/>
      <c r="D15" s="159"/>
      <c r="E15" s="159"/>
      <c r="F15" s="159"/>
      <c r="G15" s="159"/>
      <c r="H15" s="159"/>
      <c r="I15" s="159"/>
    </row>
    <row r="16" spans="1:9" ht="31.5" customHeight="1">
      <c r="A16" s="34">
        <v>1</v>
      </c>
      <c r="B16" s="120" t="s">
        <v>93</v>
      </c>
      <c r="C16" s="121" t="s">
        <v>94</v>
      </c>
      <c r="D16" s="120" t="s">
        <v>95</v>
      </c>
      <c r="E16" s="122">
        <v>55</v>
      </c>
      <c r="F16" s="123">
        <f>SUM(E16*156/100)</f>
        <v>85.8</v>
      </c>
      <c r="G16" s="123">
        <v>187.48</v>
      </c>
      <c r="H16" s="124">
        <f t="shared" ref="H16:H26" si="0">SUM(F16*G16/1000)</f>
        <v>16.085783999999997</v>
      </c>
      <c r="I16" s="14">
        <f>F16/12*G16</f>
        <v>1340.4819999999997</v>
      </c>
    </row>
    <row r="17" spans="1:9" ht="31.5" customHeight="1">
      <c r="A17" s="34">
        <v>2</v>
      </c>
      <c r="B17" s="120" t="s">
        <v>134</v>
      </c>
      <c r="C17" s="121" t="s">
        <v>94</v>
      </c>
      <c r="D17" s="120" t="s">
        <v>96</v>
      </c>
      <c r="E17" s="122">
        <v>165</v>
      </c>
      <c r="F17" s="123">
        <f>SUM(E17*104/100)</f>
        <v>171.6</v>
      </c>
      <c r="G17" s="123">
        <v>187.48</v>
      </c>
      <c r="H17" s="124">
        <f t="shared" si="0"/>
        <v>32.171567999999994</v>
      </c>
      <c r="I17" s="14">
        <f>F17/12*G17</f>
        <v>2680.9639999999995</v>
      </c>
    </row>
    <row r="18" spans="1:9" ht="31.5" customHeight="1">
      <c r="A18" s="34">
        <v>3</v>
      </c>
      <c r="B18" s="120" t="s">
        <v>135</v>
      </c>
      <c r="C18" s="121" t="s">
        <v>94</v>
      </c>
      <c r="D18" s="120" t="s">
        <v>136</v>
      </c>
      <c r="E18" s="122">
        <f>SUM(E16+E17)</f>
        <v>220</v>
      </c>
      <c r="F18" s="123">
        <f>SUM(E18*24/100)</f>
        <v>52.8</v>
      </c>
      <c r="G18" s="123">
        <v>539.30999999999995</v>
      </c>
      <c r="H18" s="124">
        <f t="shared" si="0"/>
        <v>28.475567999999996</v>
      </c>
      <c r="I18" s="14">
        <f>F18/12*G18</f>
        <v>2372.9639999999995</v>
      </c>
    </row>
    <row r="19" spans="1:9" ht="15.75" hidden="1" customHeight="1">
      <c r="A19" s="34">
        <v>4</v>
      </c>
      <c r="B19" s="120" t="s">
        <v>103</v>
      </c>
      <c r="C19" s="121" t="s">
        <v>104</v>
      </c>
      <c r="D19" s="120" t="s">
        <v>105</v>
      </c>
      <c r="E19" s="122">
        <v>32.4</v>
      </c>
      <c r="F19" s="123">
        <f>SUM(E19/10)</f>
        <v>3.2399999999999998</v>
      </c>
      <c r="G19" s="123">
        <v>181.91</v>
      </c>
      <c r="H19" s="124">
        <f t="shared" si="0"/>
        <v>0.58938839999999992</v>
      </c>
      <c r="I19" s="14">
        <v>0</v>
      </c>
    </row>
    <row r="20" spans="1:9" ht="15.75" customHeight="1">
      <c r="A20" s="34">
        <v>4</v>
      </c>
      <c r="B20" s="120" t="s">
        <v>106</v>
      </c>
      <c r="C20" s="121" t="s">
        <v>94</v>
      </c>
      <c r="D20" s="120" t="s">
        <v>137</v>
      </c>
      <c r="E20" s="122">
        <v>12.24</v>
      </c>
      <c r="F20" s="123">
        <f>SUM(E20*12/100)</f>
        <v>1.4687999999999999</v>
      </c>
      <c r="G20" s="123">
        <v>232.92</v>
      </c>
      <c r="H20" s="124">
        <f t="shared" si="0"/>
        <v>0.342112896</v>
      </c>
      <c r="I20" s="14">
        <f>F20/12*G20</f>
        <v>28.509407999999997</v>
      </c>
    </row>
    <row r="21" spans="1:9" ht="15.75" hidden="1" customHeight="1">
      <c r="A21" s="34">
        <v>5</v>
      </c>
      <c r="B21" s="120" t="s">
        <v>107</v>
      </c>
      <c r="C21" s="121" t="s">
        <v>94</v>
      </c>
      <c r="D21" s="120" t="s">
        <v>138</v>
      </c>
      <c r="E21" s="122">
        <v>10.08</v>
      </c>
      <c r="F21" s="123">
        <f>SUM(E21*6/100)</f>
        <v>0.6048</v>
      </c>
      <c r="G21" s="123">
        <v>231.03</v>
      </c>
      <c r="H21" s="124">
        <f t="shared" si="0"/>
        <v>0.13972694399999999</v>
      </c>
      <c r="I21" s="14">
        <f>F21/6*G21</f>
        <v>23.287824000000001</v>
      </c>
    </row>
    <row r="22" spans="1:9" ht="15.75" hidden="1" customHeight="1">
      <c r="A22" s="34">
        <v>7</v>
      </c>
      <c r="B22" s="120" t="s">
        <v>108</v>
      </c>
      <c r="C22" s="121" t="s">
        <v>51</v>
      </c>
      <c r="D22" s="120" t="s">
        <v>105</v>
      </c>
      <c r="E22" s="122">
        <v>293.76</v>
      </c>
      <c r="F22" s="123">
        <f>SUM(E22/100)</f>
        <v>2.9375999999999998</v>
      </c>
      <c r="G22" s="123">
        <v>287.83999999999997</v>
      </c>
      <c r="H22" s="124">
        <f t="shared" si="0"/>
        <v>0.84555878399999984</v>
      </c>
      <c r="I22" s="14">
        <v>0</v>
      </c>
    </row>
    <row r="23" spans="1:9" ht="15.75" hidden="1" customHeight="1">
      <c r="A23" s="34">
        <v>8</v>
      </c>
      <c r="B23" s="120" t="s">
        <v>109</v>
      </c>
      <c r="C23" s="121" t="s">
        <v>51</v>
      </c>
      <c r="D23" s="120" t="s">
        <v>105</v>
      </c>
      <c r="E23" s="125">
        <v>17.64</v>
      </c>
      <c r="F23" s="123">
        <f>SUM(E23/100)</f>
        <v>0.1764</v>
      </c>
      <c r="G23" s="123">
        <v>47.34</v>
      </c>
      <c r="H23" s="124">
        <f t="shared" si="0"/>
        <v>8.3507760000000007E-3</v>
      </c>
      <c r="I23" s="14">
        <v>0</v>
      </c>
    </row>
    <row r="24" spans="1:9" ht="15.75" hidden="1" customHeight="1">
      <c r="A24" s="34">
        <v>9</v>
      </c>
      <c r="B24" s="120" t="s">
        <v>110</v>
      </c>
      <c r="C24" s="121" t="s">
        <v>51</v>
      </c>
      <c r="D24" s="120" t="s">
        <v>111</v>
      </c>
      <c r="E24" s="122">
        <v>10.8</v>
      </c>
      <c r="F24" s="123">
        <f>E24/100</f>
        <v>0.10800000000000001</v>
      </c>
      <c r="G24" s="123">
        <v>416.62</v>
      </c>
      <c r="H24" s="124">
        <f t="shared" si="0"/>
        <v>4.4994960000000007E-2</v>
      </c>
      <c r="I24" s="14">
        <v>0</v>
      </c>
    </row>
    <row r="25" spans="1:9" ht="15.75" hidden="1" customHeight="1">
      <c r="A25" s="34">
        <v>10</v>
      </c>
      <c r="B25" s="120" t="s">
        <v>112</v>
      </c>
      <c r="C25" s="121" t="s">
        <v>51</v>
      </c>
      <c r="D25" s="120" t="s">
        <v>52</v>
      </c>
      <c r="E25" s="122">
        <v>12.6</v>
      </c>
      <c r="F25" s="123">
        <f>E25/100</f>
        <v>0.126</v>
      </c>
      <c r="G25" s="123">
        <v>231.03</v>
      </c>
      <c r="H25" s="124">
        <f>G25*F25/1000</f>
        <v>2.9109780000000002E-2</v>
      </c>
      <c r="I25" s="14">
        <v>0</v>
      </c>
    </row>
    <row r="26" spans="1:9" ht="15.75" hidden="1" customHeight="1">
      <c r="A26" s="34">
        <v>11</v>
      </c>
      <c r="B26" s="120" t="s">
        <v>113</v>
      </c>
      <c r="C26" s="121" t="s">
        <v>51</v>
      </c>
      <c r="D26" s="120" t="s">
        <v>105</v>
      </c>
      <c r="E26" s="122">
        <v>14.4</v>
      </c>
      <c r="F26" s="123">
        <f>SUM(E26/100)</f>
        <v>0.14400000000000002</v>
      </c>
      <c r="G26" s="123">
        <v>556.74</v>
      </c>
      <c r="H26" s="124">
        <f t="shared" si="0"/>
        <v>8.0170560000000016E-2</v>
      </c>
      <c r="I26" s="14">
        <v>0</v>
      </c>
    </row>
    <row r="27" spans="1:9" ht="15.75" customHeight="1">
      <c r="A27" s="34">
        <v>5</v>
      </c>
      <c r="B27" s="120" t="s">
        <v>62</v>
      </c>
      <c r="C27" s="121" t="s">
        <v>31</v>
      </c>
      <c r="D27" s="120" t="s">
        <v>130</v>
      </c>
      <c r="E27" s="122">
        <v>0.1</v>
      </c>
      <c r="F27" s="123">
        <f>SUM(E27*365)</f>
        <v>36.5</v>
      </c>
      <c r="G27" s="123">
        <v>157.18</v>
      </c>
      <c r="H27" s="124">
        <f>SUM(F27*G27/1000)</f>
        <v>5.737070000000001</v>
      </c>
      <c r="I27" s="14">
        <f>F27/12*G27</f>
        <v>478.08916666666664</v>
      </c>
    </row>
    <row r="28" spans="1:9" ht="15.75" customHeight="1">
      <c r="A28" s="34">
        <v>6</v>
      </c>
      <c r="B28" s="128" t="s">
        <v>23</v>
      </c>
      <c r="C28" s="121" t="s">
        <v>24</v>
      </c>
      <c r="D28" s="128" t="s">
        <v>131</v>
      </c>
      <c r="E28" s="122">
        <v>2054.6</v>
      </c>
      <c r="F28" s="123">
        <f>SUM(E28*12)</f>
        <v>24655.199999999997</v>
      </c>
      <c r="G28" s="123">
        <v>6.15</v>
      </c>
      <c r="H28" s="124">
        <f>SUM(F28*G28/1000)</f>
        <v>151.62947999999997</v>
      </c>
      <c r="I28" s="14">
        <f>F28/12*G28</f>
        <v>12635.79</v>
      </c>
    </row>
    <row r="29" spans="1:9" ht="15.75" customHeight="1">
      <c r="A29" s="147" t="s">
        <v>88</v>
      </c>
      <c r="B29" s="148"/>
      <c r="C29" s="148"/>
      <c r="D29" s="148"/>
      <c r="E29" s="148"/>
      <c r="F29" s="148"/>
      <c r="G29" s="148"/>
      <c r="H29" s="148"/>
      <c r="I29" s="149"/>
    </row>
    <row r="30" spans="1:9" ht="15.75" customHeight="1">
      <c r="A30" s="34"/>
      <c r="B30" s="144" t="s">
        <v>27</v>
      </c>
      <c r="C30" s="121"/>
      <c r="D30" s="120"/>
      <c r="E30" s="122"/>
      <c r="F30" s="123"/>
      <c r="G30" s="123"/>
      <c r="H30" s="124"/>
      <c r="I30" s="14"/>
    </row>
    <row r="31" spans="1:9" ht="31.5" customHeight="1">
      <c r="A31" s="34">
        <v>7</v>
      </c>
      <c r="B31" s="120" t="s">
        <v>118</v>
      </c>
      <c r="C31" s="121" t="s">
        <v>99</v>
      </c>
      <c r="D31" s="120" t="s">
        <v>114</v>
      </c>
      <c r="E31" s="123">
        <v>600.63</v>
      </c>
      <c r="F31" s="123">
        <f>SUM(E31*52/1000)</f>
        <v>31.232759999999999</v>
      </c>
      <c r="G31" s="123">
        <v>166.65</v>
      </c>
      <c r="H31" s="124">
        <f t="shared" ref="H31:H36" si="1">SUM(F31*G31/1000)</f>
        <v>5.2049394540000007</v>
      </c>
      <c r="I31" s="14">
        <f>F31/6*G31</f>
        <v>867.4899089999999</v>
      </c>
    </row>
    <row r="32" spans="1:9" ht="31.5" customHeight="1">
      <c r="A32" s="34">
        <v>8</v>
      </c>
      <c r="B32" s="120" t="s">
        <v>117</v>
      </c>
      <c r="C32" s="121" t="s">
        <v>99</v>
      </c>
      <c r="D32" s="120" t="s">
        <v>115</v>
      </c>
      <c r="E32" s="123">
        <v>186.39</v>
      </c>
      <c r="F32" s="123">
        <f>SUM(E32*78/1000)</f>
        <v>14.538419999999999</v>
      </c>
      <c r="G32" s="123">
        <v>276.48</v>
      </c>
      <c r="H32" s="124">
        <f t="shared" si="1"/>
        <v>4.0195823615999995</v>
      </c>
      <c r="I32" s="14">
        <f t="shared" ref="I32:I34" si="2">F32/6*G32</f>
        <v>669.93039359999989</v>
      </c>
    </row>
    <row r="33" spans="1:9" ht="15.75" hidden="1" customHeight="1">
      <c r="A33" s="34">
        <v>16</v>
      </c>
      <c r="B33" s="120" t="s">
        <v>26</v>
      </c>
      <c r="C33" s="121" t="s">
        <v>99</v>
      </c>
      <c r="D33" s="120" t="s">
        <v>52</v>
      </c>
      <c r="E33" s="123">
        <v>600.63</v>
      </c>
      <c r="F33" s="123">
        <f>SUM(E33/1000)</f>
        <v>0.60063</v>
      </c>
      <c r="G33" s="123">
        <v>3228.73</v>
      </c>
      <c r="H33" s="124">
        <f t="shared" si="1"/>
        <v>1.9392720999000002</v>
      </c>
      <c r="I33" s="14">
        <f>F33*G33</f>
        <v>1939.2720999000001</v>
      </c>
    </row>
    <row r="34" spans="1:9" ht="15.75" customHeight="1">
      <c r="A34" s="34">
        <v>9</v>
      </c>
      <c r="B34" s="120" t="s">
        <v>116</v>
      </c>
      <c r="C34" s="121" t="s">
        <v>29</v>
      </c>
      <c r="D34" s="120" t="s">
        <v>61</v>
      </c>
      <c r="E34" s="127">
        <v>0.33333333333333331</v>
      </c>
      <c r="F34" s="123">
        <f>155/3</f>
        <v>51.666666666666664</v>
      </c>
      <c r="G34" s="123">
        <v>60.6</v>
      </c>
      <c r="H34" s="124">
        <f>SUM(G34*155/3/1000)</f>
        <v>3.1309999999999998</v>
      </c>
      <c r="I34" s="14">
        <f t="shared" si="2"/>
        <v>521.83333333333337</v>
      </c>
    </row>
    <row r="35" spans="1:9" ht="15.75" hidden="1" customHeight="1">
      <c r="A35" s="34"/>
      <c r="B35" s="120" t="s">
        <v>63</v>
      </c>
      <c r="C35" s="121" t="s">
        <v>31</v>
      </c>
      <c r="D35" s="120" t="s">
        <v>65</v>
      </c>
      <c r="E35" s="122"/>
      <c r="F35" s="123">
        <v>2</v>
      </c>
      <c r="G35" s="123">
        <v>204.52</v>
      </c>
      <c r="H35" s="124">
        <f t="shared" si="1"/>
        <v>0.40904000000000001</v>
      </c>
      <c r="I35" s="14">
        <v>0</v>
      </c>
    </row>
    <row r="36" spans="1:9" ht="15.75" hidden="1" customHeight="1">
      <c r="A36" s="34"/>
      <c r="B36" s="120" t="s">
        <v>64</v>
      </c>
      <c r="C36" s="121" t="s">
        <v>30</v>
      </c>
      <c r="D36" s="120" t="s">
        <v>65</v>
      </c>
      <c r="E36" s="122"/>
      <c r="F36" s="123">
        <v>1</v>
      </c>
      <c r="G36" s="123">
        <v>1214.74</v>
      </c>
      <c r="H36" s="124">
        <f t="shared" si="1"/>
        <v>1.2147399999999999</v>
      </c>
      <c r="I36" s="14">
        <v>0</v>
      </c>
    </row>
    <row r="37" spans="1:9" ht="15.75" hidden="1" customHeight="1">
      <c r="A37" s="34"/>
      <c r="B37" s="144" t="s">
        <v>5</v>
      </c>
      <c r="C37" s="121"/>
      <c r="D37" s="120"/>
      <c r="E37" s="122"/>
      <c r="F37" s="123"/>
      <c r="G37" s="123"/>
      <c r="H37" s="124" t="s">
        <v>131</v>
      </c>
      <c r="I37" s="14"/>
    </row>
    <row r="38" spans="1:9" ht="15.75" hidden="1" customHeight="1">
      <c r="A38" s="34">
        <v>8</v>
      </c>
      <c r="B38" s="120" t="s">
        <v>25</v>
      </c>
      <c r="C38" s="121" t="s">
        <v>30</v>
      </c>
      <c r="D38" s="120"/>
      <c r="E38" s="122"/>
      <c r="F38" s="123">
        <v>5</v>
      </c>
      <c r="G38" s="123">
        <v>1632.6</v>
      </c>
      <c r="H38" s="124">
        <f t="shared" ref="H38:H44" si="3">SUM(F38*G38/1000)</f>
        <v>8.1630000000000003</v>
      </c>
      <c r="I38" s="14">
        <f>F38/6*G38</f>
        <v>1360.5</v>
      </c>
    </row>
    <row r="39" spans="1:9" ht="15.75" hidden="1" customHeight="1">
      <c r="A39" s="34">
        <v>9</v>
      </c>
      <c r="B39" s="120" t="s">
        <v>139</v>
      </c>
      <c r="C39" s="121" t="s">
        <v>28</v>
      </c>
      <c r="D39" s="120" t="s">
        <v>97</v>
      </c>
      <c r="E39" s="122">
        <v>186.39</v>
      </c>
      <c r="F39" s="123">
        <f>E39*30/1000</f>
        <v>5.5916999999999994</v>
      </c>
      <c r="G39" s="123">
        <v>2247.8000000000002</v>
      </c>
      <c r="H39" s="124">
        <f>G39*F39/1000</f>
        <v>12.56902326</v>
      </c>
      <c r="I39" s="14">
        <f>F39/6*G39</f>
        <v>2094.8372100000001</v>
      </c>
    </row>
    <row r="40" spans="1:9" ht="15.75" hidden="1" customHeight="1">
      <c r="A40" s="34"/>
      <c r="B40" s="120" t="s">
        <v>164</v>
      </c>
      <c r="C40" s="121" t="s">
        <v>165</v>
      </c>
      <c r="D40" s="120" t="s">
        <v>65</v>
      </c>
      <c r="E40" s="122"/>
      <c r="F40" s="123">
        <v>72.3</v>
      </c>
      <c r="G40" s="123">
        <v>199.44</v>
      </c>
      <c r="H40" s="124">
        <f>G40*F40/1000</f>
        <v>14.419511999999999</v>
      </c>
      <c r="I40" s="14">
        <v>0</v>
      </c>
    </row>
    <row r="41" spans="1:9" ht="15.75" hidden="1" customHeight="1">
      <c r="A41" s="34">
        <v>10</v>
      </c>
      <c r="B41" s="120" t="s">
        <v>66</v>
      </c>
      <c r="C41" s="121" t="s">
        <v>28</v>
      </c>
      <c r="D41" s="120" t="s">
        <v>98</v>
      </c>
      <c r="E41" s="123">
        <v>186.39</v>
      </c>
      <c r="F41" s="123">
        <f>SUM(E41*155/1000)</f>
        <v>28.890449999999998</v>
      </c>
      <c r="G41" s="123">
        <v>374.95</v>
      </c>
      <c r="H41" s="124">
        <f t="shared" si="3"/>
        <v>10.832474227499999</v>
      </c>
      <c r="I41" s="14">
        <f>F41/6*G41</f>
        <v>1805.4123712499998</v>
      </c>
    </row>
    <row r="42" spans="1:9" ht="47.25" hidden="1" customHeight="1">
      <c r="A42" s="34">
        <v>11</v>
      </c>
      <c r="B42" s="120" t="s">
        <v>84</v>
      </c>
      <c r="C42" s="121" t="s">
        <v>99</v>
      </c>
      <c r="D42" s="120" t="s">
        <v>140</v>
      </c>
      <c r="E42" s="123">
        <v>52.2</v>
      </c>
      <c r="F42" s="123">
        <f>SUM(E42*35/1000)</f>
        <v>1.827</v>
      </c>
      <c r="G42" s="123">
        <v>6203.7</v>
      </c>
      <c r="H42" s="124">
        <f t="shared" si="3"/>
        <v>11.3341599</v>
      </c>
      <c r="I42" s="14">
        <f>F42/6*G42</f>
        <v>1889.0266499999998</v>
      </c>
    </row>
    <row r="43" spans="1:9" ht="15.75" hidden="1" customHeight="1">
      <c r="A43" s="34">
        <v>12</v>
      </c>
      <c r="B43" s="120" t="s">
        <v>141</v>
      </c>
      <c r="C43" s="121" t="s">
        <v>99</v>
      </c>
      <c r="D43" s="120" t="s">
        <v>67</v>
      </c>
      <c r="E43" s="123">
        <v>52.2</v>
      </c>
      <c r="F43" s="123">
        <f>SUM(E43*45/1000)</f>
        <v>2.3490000000000002</v>
      </c>
      <c r="G43" s="123">
        <v>458.28</v>
      </c>
      <c r="H43" s="124">
        <f t="shared" si="3"/>
        <v>1.0764997199999999</v>
      </c>
      <c r="I43" s="14">
        <f>F43/6*G43</f>
        <v>179.41661999999999</v>
      </c>
    </row>
    <row r="44" spans="1:9" ht="15.75" hidden="1" customHeight="1">
      <c r="A44" s="34">
        <v>13</v>
      </c>
      <c r="B44" s="120" t="s">
        <v>68</v>
      </c>
      <c r="C44" s="121" t="s">
        <v>31</v>
      </c>
      <c r="D44" s="120"/>
      <c r="E44" s="122"/>
      <c r="F44" s="123">
        <v>0.5</v>
      </c>
      <c r="G44" s="123">
        <v>853.06</v>
      </c>
      <c r="H44" s="124">
        <f t="shared" si="3"/>
        <v>0.42652999999999996</v>
      </c>
      <c r="I44" s="14">
        <f>F44/6*G44</f>
        <v>71.088333333333324</v>
      </c>
    </row>
    <row r="45" spans="1:9" ht="15.75" hidden="1" customHeight="1">
      <c r="A45" s="147" t="s">
        <v>159</v>
      </c>
      <c r="B45" s="148"/>
      <c r="C45" s="148"/>
      <c r="D45" s="148"/>
      <c r="E45" s="148"/>
      <c r="F45" s="148"/>
      <c r="G45" s="148"/>
      <c r="H45" s="148"/>
      <c r="I45" s="149"/>
    </row>
    <row r="46" spans="1:9" ht="15.75" hidden="1" customHeight="1">
      <c r="A46" s="34"/>
      <c r="B46" s="120" t="s">
        <v>119</v>
      </c>
      <c r="C46" s="121" t="s">
        <v>99</v>
      </c>
      <c r="D46" s="120" t="s">
        <v>41</v>
      </c>
      <c r="E46" s="122">
        <v>917.75</v>
      </c>
      <c r="F46" s="123">
        <f>SUM(E46*2/1000)</f>
        <v>1.8354999999999999</v>
      </c>
      <c r="G46" s="14">
        <v>865.61</v>
      </c>
      <c r="H46" s="124">
        <f t="shared" ref="H46:H55" si="4">SUM(F46*G46/1000)</f>
        <v>1.5888271549999999</v>
      </c>
      <c r="I46" s="14">
        <v>0</v>
      </c>
    </row>
    <row r="47" spans="1:9" ht="15.75" hidden="1" customHeight="1">
      <c r="A47" s="34"/>
      <c r="B47" s="120" t="s">
        <v>34</v>
      </c>
      <c r="C47" s="121" t="s">
        <v>99</v>
      </c>
      <c r="D47" s="120" t="s">
        <v>41</v>
      </c>
      <c r="E47" s="122">
        <v>48</v>
      </c>
      <c r="F47" s="123">
        <f>E47*2/1000</f>
        <v>9.6000000000000002E-2</v>
      </c>
      <c r="G47" s="14">
        <v>619.46</v>
      </c>
      <c r="H47" s="124">
        <f t="shared" si="4"/>
        <v>5.9468160000000006E-2</v>
      </c>
      <c r="I47" s="14">
        <v>0</v>
      </c>
    </row>
    <row r="48" spans="1:9" ht="15.75" hidden="1" customHeight="1">
      <c r="A48" s="34"/>
      <c r="B48" s="120" t="s">
        <v>35</v>
      </c>
      <c r="C48" s="121" t="s">
        <v>99</v>
      </c>
      <c r="D48" s="120" t="s">
        <v>41</v>
      </c>
      <c r="E48" s="122">
        <v>937.4</v>
      </c>
      <c r="F48" s="123">
        <f>SUM(E48*2/1000)</f>
        <v>1.8748</v>
      </c>
      <c r="G48" s="14">
        <v>619.46</v>
      </c>
      <c r="H48" s="124">
        <f t="shared" si="4"/>
        <v>1.161363608</v>
      </c>
      <c r="I48" s="14">
        <v>0</v>
      </c>
    </row>
    <row r="49" spans="1:9" ht="15.75" hidden="1" customHeight="1">
      <c r="A49" s="34"/>
      <c r="B49" s="120" t="s">
        <v>36</v>
      </c>
      <c r="C49" s="121" t="s">
        <v>99</v>
      </c>
      <c r="D49" s="120" t="s">
        <v>41</v>
      </c>
      <c r="E49" s="122">
        <v>1243.28</v>
      </c>
      <c r="F49" s="123">
        <f>SUM(E49*2/1000)</f>
        <v>2.4865599999999999</v>
      </c>
      <c r="G49" s="14">
        <v>648.64</v>
      </c>
      <c r="H49" s="124">
        <f t="shared" si="4"/>
        <v>1.6128822783999999</v>
      </c>
      <c r="I49" s="14">
        <v>0</v>
      </c>
    </row>
    <row r="50" spans="1:9" ht="15.75" hidden="1" customHeight="1">
      <c r="A50" s="34"/>
      <c r="B50" s="120" t="s">
        <v>32</v>
      </c>
      <c r="C50" s="121" t="s">
        <v>33</v>
      </c>
      <c r="D50" s="120" t="s">
        <v>41</v>
      </c>
      <c r="E50" s="122">
        <v>64.5</v>
      </c>
      <c r="F50" s="123">
        <f>SUM(E50*2/100)</f>
        <v>1.29</v>
      </c>
      <c r="G50" s="14">
        <v>77.84</v>
      </c>
      <c r="H50" s="124">
        <f t="shared" si="4"/>
        <v>0.10041360000000001</v>
      </c>
      <c r="I50" s="14">
        <v>0</v>
      </c>
    </row>
    <row r="51" spans="1:9" ht="15.75" hidden="1" customHeight="1">
      <c r="A51" s="34">
        <v>14</v>
      </c>
      <c r="B51" s="120" t="s">
        <v>54</v>
      </c>
      <c r="C51" s="121" t="s">
        <v>99</v>
      </c>
      <c r="D51" s="120" t="s">
        <v>186</v>
      </c>
      <c r="E51" s="122">
        <v>678.4</v>
      </c>
      <c r="F51" s="123">
        <f>SUM(E51*5/1000)</f>
        <v>3.3919999999999999</v>
      </c>
      <c r="G51" s="14">
        <v>1297.28</v>
      </c>
      <c r="H51" s="124">
        <f t="shared" si="4"/>
        <v>4.4003737599999999</v>
      </c>
      <c r="I51" s="14">
        <f>F51/5*G51</f>
        <v>880.07475199999999</v>
      </c>
    </row>
    <row r="52" spans="1:9" ht="31.5" hidden="1" customHeight="1">
      <c r="A52" s="34"/>
      <c r="B52" s="120" t="s">
        <v>100</v>
      </c>
      <c r="C52" s="121" t="s">
        <v>99</v>
      </c>
      <c r="D52" s="120" t="s">
        <v>41</v>
      </c>
      <c r="E52" s="122">
        <v>678.4</v>
      </c>
      <c r="F52" s="123">
        <f>SUM(E52*2/1000)</f>
        <v>1.3568</v>
      </c>
      <c r="G52" s="14">
        <v>1297.28</v>
      </c>
      <c r="H52" s="124">
        <f t="shared" si="4"/>
        <v>1.7601495039999999</v>
      </c>
      <c r="I52" s="14">
        <v>0</v>
      </c>
    </row>
    <row r="53" spans="1:9" ht="31.5" hidden="1" customHeight="1">
      <c r="A53" s="34"/>
      <c r="B53" s="120" t="s">
        <v>101</v>
      </c>
      <c r="C53" s="121" t="s">
        <v>37</v>
      </c>
      <c r="D53" s="120" t="s">
        <v>41</v>
      </c>
      <c r="E53" s="122">
        <v>12</v>
      </c>
      <c r="F53" s="123">
        <f>SUM(E53*2/100)</f>
        <v>0.24</v>
      </c>
      <c r="G53" s="14">
        <v>2918.89</v>
      </c>
      <c r="H53" s="124">
        <f t="shared" si="4"/>
        <v>0.70053359999999998</v>
      </c>
      <c r="I53" s="14">
        <v>0</v>
      </c>
    </row>
    <row r="54" spans="1:9" ht="15.75" hidden="1" customHeight="1">
      <c r="A54" s="34"/>
      <c r="B54" s="120" t="s">
        <v>38</v>
      </c>
      <c r="C54" s="121" t="s">
        <v>39</v>
      </c>
      <c r="D54" s="120" t="s">
        <v>41</v>
      </c>
      <c r="E54" s="122">
        <v>1</v>
      </c>
      <c r="F54" s="123">
        <v>0.02</v>
      </c>
      <c r="G54" s="14">
        <v>6042.12</v>
      </c>
      <c r="H54" s="124">
        <f t="shared" si="4"/>
        <v>0.1208424</v>
      </c>
      <c r="I54" s="14">
        <v>0</v>
      </c>
    </row>
    <row r="55" spans="1:9" ht="15.75" hidden="1" customHeight="1">
      <c r="A55" s="34">
        <v>15</v>
      </c>
      <c r="B55" s="120" t="s">
        <v>40</v>
      </c>
      <c r="C55" s="121" t="s">
        <v>120</v>
      </c>
      <c r="D55" s="120" t="s">
        <v>69</v>
      </c>
      <c r="E55" s="122">
        <v>72</v>
      </c>
      <c r="F55" s="123">
        <f>SUM(E55)*3</f>
        <v>216</v>
      </c>
      <c r="G55" s="14">
        <v>70.209999999999994</v>
      </c>
      <c r="H55" s="124">
        <f t="shared" si="4"/>
        <v>15.165359999999998</v>
      </c>
      <c r="I55" s="14">
        <f>E55*G55</f>
        <v>5055.12</v>
      </c>
    </row>
    <row r="56" spans="1:9" ht="15.75" hidden="1" customHeight="1">
      <c r="A56" s="147" t="s">
        <v>160</v>
      </c>
      <c r="B56" s="148"/>
      <c r="C56" s="148"/>
      <c r="D56" s="148"/>
      <c r="E56" s="148"/>
      <c r="F56" s="148"/>
      <c r="G56" s="148"/>
      <c r="H56" s="148"/>
      <c r="I56" s="149"/>
    </row>
    <row r="57" spans="1:9" ht="15.75" hidden="1" customHeight="1">
      <c r="A57" s="34"/>
      <c r="B57" s="144" t="s">
        <v>42</v>
      </c>
      <c r="C57" s="121"/>
      <c r="D57" s="120"/>
      <c r="E57" s="122"/>
      <c r="F57" s="123"/>
      <c r="G57" s="123"/>
      <c r="H57" s="124"/>
      <c r="I57" s="14"/>
    </row>
    <row r="58" spans="1:9" ht="31.5" hidden="1" customHeight="1">
      <c r="A58" s="34">
        <v>16</v>
      </c>
      <c r="B58" s="120" t="s">
        <v>121</v>
      </c>
      <c r="C58" s="121" t="s">
        <v>94</v>
      </c>
      <c r="D58" s="120" t="s">
        <v>122</v>
      </c>
      <c r="E58" s="122">
        <v>110.66</v>
      </c>
      <c r="F58" s="123">
        <f>SUM(E58*6/100)</f>
        <v>6.6396000000000006</v>
      </c>
      <c r="G58" s="14">
        <v>1654.04</v>
      </c>
      <c r="H58" s="124">
        <f>SUM(F58*G58/1000)</f>
        <v>10.982163984000001</v>
      </c>
      <c r="I58" s="14">
        <f>F58/6*G58</f>
        <v>1830.360664</v>
      </c>
    </row>
    <row r="59" spans="1:9" ht="15.75" hidden="1" customHeight="1">
      <c r="A59" s="34"/>
      <c r="B59" s="145" t="s">
        <v>43</v>
      </c>
      <c r="C59" s="129"/>
      <c r="D59" s="130"/>
      <c r="E59" s="131"/>
      <c r="F59" s="132"/>
      <c r="G59" s="132"/>
      <c r="H59" s="133" t="s">
        <v>131</v>
      </c>
      <c r="I59" s="14"/>
    </row>
    <row r="60" spans="1:9" ht="15.75" hidden="1" customHeight="1">
      <c r="A60" s="34">
        <v>17</v>
      </c>
      <c r="B60" s="16" t="s">
        <v>44</v>
      </c>
      <c r="C60" s="18" t="s">
        <v>120</v>
      </c>
      <c r="D60" s="16" t="s">
        <v>65</v>
      </c>
      <c r="E60" s="21">
        <v>8</v>
      </c>
      <c r="F60" s="123">
        <v>8</v>
      </c>
      <c r="G60" s="14">
        <v>237.74</v>
      </c>
      <c r="H60" s="134">
        <f t="shared" ref="H60:H73" si="5">SUM(F60*G60/1000)</f>
        <v>1.9019200000000001</v>
      </c>
      <c r="I60" s="14">
        <f>G60</f>
        <v>237.74</v>
      </c>
    </row>
    <row r="61" spans="1:9" ht="15.75" hidden="1" customHeight="1">
      <c r="A61" s="34"/>
      <c r="B61" s="16" t="s">
        <v>45</v>
      </c>
      <c r="C61" s="18" t="s">
        <v>120</v>
      </c>
      <c r="D61" s="16" t="s">
        <v>65</v>
      </c>
      <c r="E61" s="21">
        <v>3</v>
      </c>
      <c r="F61" s="123">
        <v>3</v>
      </c>
      <c r="G61" s="14">
        <v>81.510000000000005</v>
      </c>
      <c r="H61" s="134">
        <f t="shared" si="5"/>
        <v>0.24453000000000003</v>
      </c>
      <c r="I61" s="14">
        <v>0</v>
      </c>
    </row>
    <row r="62" spans="1:9" ht="15.75" hidden="1" customHeight="1">
      <c r="A62" s="34"/>
      <c r="B62" s="16" t="s">
        <v>46</v>
      </c>
      <c r="C62" s="18" t="s">
        <v>123</v>
      </c>
      <c r="D62" s="16" t="s">
        <v>52</v>
      </c>
      <c r="E62" s="122">
        <v>8539</v>
      </c>
      <c r="F62" s="14">
        <f>SUM(E62/100)</f>
        <v>85.39</v>
      </c>
      <c r="G62" s="14">
        <v>226.79</v>
      </c>
      <c r="H62" s="134">
        <f t="shared" si="5"/>
        <v>19.3655981</v>
      </c>
      <c r="I62" s="14">
        <v>0</v>
      </c>
    </row>
    <row r="63" spans="1:9" ht="15.75" hidden="1" customHeight="1">
      <c r="A63" s="34"/>
      <c r="B63" s="16" t="s">
        <v>47</v>
      </c>
      <c r="C63" s="18" t="s">
        <v>124</v>
      </c>
      <c r="D63" s="16"/>
      <c r="E63" s="122">
        <v>8539</v>
      </c>
      <c r="F63" s="14">
        <f>SUM(E63/1000)</f>
        <v>8.5389999999999997</v>
      </c>
      <c r="G63" s="14">
        <v>176.61</v>
      </c>
      <c r="H63" s="134">
        <f t="shared" si="5"/>
        <v>1.5080727900000002</v>
      </c>
      <c r="I63" s="14">
        <v>0</v>
      </c>
    </row>
    <row r="64" spans="1:9" ht="15.75" hidden="1" customHeight="1">
      <c r="A64" s="34"/>
      <c r="B64" s="16" t="s">
        <v>48</v>
      </c>
      <c r="C64" s="18" t="s">
        <v>75</v>
      </c>
      <c r="D64" s="16" t="s">
        <v>52</v>
      </c>
      <c r="E64" s="122">
        <v>1370</v>
      </c>
      <c r="F64" s="14">
        <f>SUM(E64/100)</f>
        <v>13.7</v>
      </c>
      <c r="G64" s="14">
        <v>2217.7800000000002</v>
      </c>
      <c r="H64" s="134">
        <f t="shared" si="5"/>
        <v>30.383586000000005</v>
      </c>
      <c r="I64" s="14">
        <v>0</v>
      </c>
    </row>
    <row r="65" spans="1:9" ht="15.75" hidden="1" customHeight="1">
      <c r="A65" s="34"/>
      <c r="B65" s="135" t="s">
        <v>125</v>
      </c>
      <c r="C65" s="18" t="s">
        <v>31</v>
      </c>
      <c r="D65" s="16"/>
      <c r="E65" s="122">
        <v>9</v>
      </c>
      <c r="F65" s="14">
        <f>SUM(E65)</f>
        <v>9</v>
      </c>
      <c r="G65" s="14">
        <v>42.67</v>
      </c>
      <c r="H65" s="134">
        <f t="shared" si="5"/>
        <v>0.38403000000000004</v>
      </c>
      <c r="I65" s="14">
        <v>0</v>
      </c>
    </row>
    <row r="66" spans="1:9" ht="15.75" hidden="1" customHeight="1">
      <c r="A66" s="34"/>
      <c r="B66" s="135" t="s">
        <v>126</v>
      </c>
      <c r="C66" s="18" t="s">
        <v>31</v>
      </c>
      <c r="D66" s="16"/>
      <c r="E66" s="122">
        <v>9</v>
      </c>
      <c r="F66" s="14">
        <f>SUM(E66)</f>
        <v>9</v>
      </c>
      <c r="G66" s="14">
        <v>39.81</v>
      </c>
      <c r="H66" s="134">
        <f t="shared" si="5"/>
        <v>0.35829</v>
      </c>
      <c r="I66" s="14">
        <v>0</v>
      </c>
    </row>
    <row r="67" spans="1:9" ht="15.75" hidden="1" customHeight="1">
      <c r="A67" s="34"/>
      <c r="B67" s="16" t="s">
        <v>55</v>
      </c>
      <c r="C67" s="18" t="s">
        <v>56</v>
      </c>
      <c r="D67" s="16" t="s">
        <v>52</v>
      </c>
      <c r="E67" s="21">
        <v>3</v>
      </c>
      <c r="F67" s="123">
        <v>3</v>
      </c>
      <c r="G67" s="14">
        <v>53.62</v>
      </c>
      <c r="H67" s="134">
        <f t="shared" si="5"/>
        <v>0.16085999999999998</v>
      </c>
      <c r="I67" s="14">
        <v>0</v>
      </c>
    </row>
    <row r="68" spans="1:9" ht="15.75" hidden="1" customHeight="1">
      <c r="A68" s="34"/>
      <c r="B68" s="36" t="s">
        <v>70</v>
      </c>
      <c r="C68" s="18"/>
      <c r="D68" s="16"/>
      <c r="E68" s="21"/>
      <c r="F68" s="14"/>
      <c r="G68" s="14"/>
      <c r="H68" s="134" t="s">
        <v>131</v>
      </c>
      <c r="I68" s="14"/>
    </row>
    <row r="69" spans="1:9" ht="15.75" hidden="1" customHeight="1">
      <c r="A69" s="34"/>
      <c r="B69" s="16" t="s">
        <v>71</v>
      </c>
      <c r="C69" s="18" t="s">
        <v>73</v>
      </c>
      <c r="D69" s="16"/>
      <c r="E69" s="21">
        <v>2</v>
      </c>
      <c r="F69" s="14">
        <v>0.2</v>
      </c>
      <c r="G69" s="14">
        <v>536.23</v>
      </c>
      <c r="H69" s="134">
        <f t="shared" si="5"/>
        <v>0.10724600000000001</v>
      </c>
      <c r="I69" s="14">
        <v>0</v>
      </c>
    </row>
    <row r="70" spans="1:9" ht="15.75" hidden="1" customHeight="1">
      <c r="A70" s="34"/>
      <c r="B70" s="16" t="s">
        <v>72</v>
      </c>
      <c r="C70" s="18" t="s">
        <v>29</v>
      </c>
      <c r="D70" s="16"/>
      <c r="E70" s="21">
        <v>1</v>
      </c>
      <c r="F70" s="116">
        <v>1</v>
      </c>
      <c r="G70" s="14">
        <v>911.85</v>
      </c>
      <c r="H70" s="134">
        <f>F70*G70/1000</f>
        <v>0.91185000000000005</v>
      </c>
      <c r="I70" s="14">
        <v>0</v>
      </c>
    </row>
    <row r="71" spans="1:9" ht="15.75" hidden="1" customHeight="1">
      <c r="A71" s="34"/>
      <c r="B71" s="16" t="s">
        <v>143</v>
      </c>
      <c r="C71" s="18" t="s">
        <v>29</v>
      </c>
      <c r="D71" s="16"/>
      <c r="E71" s="21">
        <v>1</v>
      </c>
      <c r="F71" s="14">
        <v>1</v>
      </c>
      <c r="G71" s="14">
        <v>383.25</v>
      </c>
      <c r="H71" s="134">
        <f>G71*F71/1000</f>
        <v>0.38324999999999998</v>
      </c>
      <c r="I71" s="14">
        <v>0</v>
      </c>
    </row>
    <row r="72" spans="1:9" ht="15.75" hidden="1" customHeight="1">
      <c r="A72" s="34"/>
      <c r="B72" s="136" t="s">
        <v>74</v>
      </c>
      <c r="C72" s="18"/>
      <c r="D72" s="16"/>
      <c r="E72" s="21"/>
      <c r="F72" s="14"/>
      <c r="G72" s="14" t="s">
        <v>131</v>
      </c>
      <c r="H72" s="134" t="s">
        <v>131</v>
      </c>
      <c r="I72" s="14"/>
    </row>
    <row r="73" spans="1:9" ht="15.75" hidden="1" customHeight="1">
      <c r="A73" s="34"/>
      <c r="B73" s="63" t="s">
        <v>132</v>
      </c>
      <c r="C73" s="18" t="s">
        <v>75</v>
      </c>
      <c r="D73" s="16"/>
      <c r="E73" s="21"/>
      <c r="F73" s="14">
        <v>1.35</v>
      </c>
      <c r="G73" s="14">
        <v>2949.85</v>
      </c>
      <c r="H73" s="134">
        <f t="shared" si="5"/>
        <v>3.9822975</v>
      </c>
      <c r="I73" s="14">
        <v>0</v>
      </c>
    </row>
    <row r="74" spans="1:9" ht="15.75" hidden="1" customHeight="1">
      <c r="A74" s="34"/>
      <c r="B74" s="115" t="s">
        <v>102</v>
      </c>
      <c r="C74" s="137"/>
      <c r="D74" s="36"/>
      <c r="E74" s="37"/>
      <c r="F74" s="126"/>
      <c r="G74" s="126"/>
      <c r="H74" s="138">
        <f>SUM(H58:H73)</f>
        <v>70.673694374000007</v>
      </c>
      <c r="I74" s="126"/>
    </row>
    <row r="75" spans="1:9" ht="15.75" hidden="1" customHeight="1">
      <c r="A75" s="34"/>
      <c r="B75" s="120" t="s">
        <v>127</v>
      </c>
      <c r="C75" s="18"/>
      <c r="D75" s="16"/>
      <c r="E75" s="139"/>
      <c r="F75" s="14">
        <v>1</v>
      </c>
      <c r="G75" s="14">
        <v>7101.4</v>
      </c>
      <c r="H75" s="134">
        <f>G75*F75/1000</f>
        <v>7.1013999999999999</v>
      </c>
      <c r="I75" s="14">
        <v>0</v>
      </c>
    </row>
    <row r="76" spans="1:9" ht="15.75" customHeight="1">
      <c r="A76" s="147" t="s">
        <v>210</v>
      </c>
      <c r="B76" s="148"/>
      <c r="C76" s="148"/>
      <c r="D76" s="148"/>
      <c r="E76" s="148"/>
      <c r="F76" s="148"/>
      <c r="G76" s="148"/>
      <c r="H76" s="148"/>
      <c r="I76" s="149"/>
    </row>
    <row r="77" spans="1:9" ht="15.75" customHeight="1">
      <c r="A77" s="34">
        <v>10</v>
      </c>
      <c r="B77" s="120" t="s">
        <v>128</v>
      </c>
      <c r="C77" s="18" t="s">
        <v>53</v>
      </c>
      <c r="D77" s="140" t="s">
        <v>188</v>
      </c>
      <c r="E77" s="14">
        <v>2054.6</v>
      </c>
      <c r="F77" s="14">
        <f>SUM(E77*12)</f>
        <v>24655.199999999997</v>
      </c>
      <c r="G77" s="14">
        <v>2.2400000000000002</v>
      </c>
      <c r="H77" s="134">
        <f>SUM(F77*G77/1000)</f>
        <v>55.227648000000002</v>
      </c>
      <c r="I77" s="14">
        <f>F77/12*G77</f>
        <v>4602.3040000000001</v>
      </c>
    </row>
    <row r="78" spans="1:9" ht="31.5" customHeight="1">
      <c r="A78" s="34">
        <v>11</v>
      </c>
      <c r="B78" s="16" t="s">
        <v>76</v>
      </c>
      <c r="C78" s="18"/>
      <c r="D78" s="140" t="s">
        <v>188</v>
      </c>
      <c r="E78" s="122">
        <f>E77</f>
        <v>2054.6</v>
      </c>
      <c r="F78" s="14">
        <f>E78*12</f>
        <v>24655.199999999997</v>
      </c>
      <c r="G78" s="14">
        <v>1.74</v>
      </c>
      <c r="H78" s="134">
        <f>F78*G78/1000</f>
        <v>42.900047999999998</v>
      </c>
      <c r="I78" s="14">
        <f>F78/12*G78</f>
        <v>3575.0039999999999</v>
      </c>
    </row>
    <row r="79" spans="1:9" ht="15.75" customHeight="1">
      <c r="A79" s="34"/>
      <c r="B79" s="50" t="s">
        <v>80</v>
      </c>
      <c r="C79" s="137"/>
      <c r="D79" s="136"/>
      <c r="E79" s="126"/>
      <c r="F79" s="126"/>
      <c r="G79" s="126"/>
      <c r="H79" s="138">
        <f>H78</f>
        <v>42.900047999999998</v>
      </c>
      <c r="I79" s="126">
        <f>I16+I17+I18+I20+I27+I28+I31+I32+I34+I77+I78</f>
        <v>29773.3602106</v>
      </c>
    </row>
    <row r="80" spans="1:9" ht="15.75" customHeight="1">
      <c r="A80" s="34"/>
      <c r="B80" s="75" t="s">
        <v>58</v>
      </c>
      <c r="C80" s="18"/>
      <c r="D80" s="63"/>
      <c r="E80" s="14"/>
      <c r="F80" s="14"/>
      <c r="G80" s="14"/>
      <c r="H80" s="14"/>
      <c r="I80" s="14"/>
    </row>
    <row r="81" spans="1:9" ht="15.75" customHeight="1">
      <c r="A81" s="34">
        <v>12</v>
      </c>
      <c r="B81" s="76" t="s">
        <v>133</v>
      </c>
      <c r="C81" s="77" t="s">
        <v>120</v>
      </c>
      <c r="D81" s="63"/>
      <c r="E81" s="14"/>
      <c r="F81" s="14">
        <v>432</v>
      </c>
      <c r="G81" s="14">
        <v>50.68</v>
      </c>
      <c r="H81" s="14">
        <f>G81*F81/1000</f>
        <v>21.893759999999997</v>
      </c>
      <c r="I81" s="14">
        <f>G81*36</f>
        <v>1824.48</v>
      </c>
    </row>
    <row r="82" spans="1:9" ht="31.5" hidden="1" customHeight="1">
      <c r="A82" s="34"/>
      <c r="B82" s="76" t="s">
        <v>168</v>
      </c>
      <c r="C82" s="18" t="s">
        <v>29</v>
      </c>
      <c r="D82" s="63"/>
      <c r="E82" s="14"/>
      <c r="F82" s="14">
        <v>3</v>
      </c>
      <c r="G82" s="14">
        <v>559.62</v>
      </c>
      <c r="H82" s="134">
        <f t="shared" ref="H82:H97" si="6">G82*F82/1000</f>
        <v>1.67886</v>
      </c>
      <c r="I82" s="14">
        <v>0</v>
      </c>
    </row>
    <row r="83" spans="1:9" ht="15.75" hidden="1" customHeight="1">
      <c r="A83" s="34"/>
      <c r="B83" s="76" t="s">
        <v>169</v>
      </c>
      <c r="C83" s="18" t="s">
        <v>29</v>
      </c>
      <c r="D83" s="63"/>
      <c r="E83" s="14"/>
      <c r="F83" s="14">
        <v>2</v>
      </c>
      <c r="G83" s="14">
        <v>195.95</v>
      </c>
      <c r="H83" s="134">
        <f t="shared" si="6"/>
        <v>0.39189999999999997</v>
      </c>
      <c r="I83" s="14">
        <v>0</v>
      </c>
    </row>
    <row r="84" spans="1:9" ht="15.75" hidden="1" customHeight="1">
      <c r="A84" s="34"/>
      <c r="B84" s="76" t="s">
        <v>170</v>
      </c>
      <c r="C84" s="77" t="s">
        <v>171</v>
      </c>
      <c r="D84" s="63"/>
      <c r="E84" s="14"/>
      <c r="F84" s="14">
        <v>1</v>
      </c>
      <c r="G84" s="14">
        <v>195.95</v>
      </c>
      <c r="H84" s="134">
        <f t="shared" si="6"/>
        <v>0.19594999999999999</v>
      </c>
      <c r="I84" s="14">
        <v>0</v>
      </c>
    </row>
    <row r="85" spans="1:9" ht="15.75" hidden="1" customHeight="1">
      <c r="A85" s="34"/>
      <c r="B85" s="76" t="s">
        <v>172</v>
      </c>
      <c r="C85" s="18" t="s">
        <v>29</v>
      </c>
      <c r="D85" s="63"/>
      <c r="E85" s="14"/>
      <c r="F85" s="14">
        <v>1</v>
      </c>
      <c r="G85" s="14">
        <v>476.76</v>
      </c>
      <c r="H85" s="134">
        <f t="shared" si="6"/>
        <v>0.47676000000000002</v>
      </c>
      <c r="I85" s="14">
        <v>0</v>
      </c>
    </row>
    <row r="86" spans="1:9" ht="31.5" hidden="1" customHeight="1">
      <c r="A86" s="34"/>
      <c r="B86" s="76" t="s">
        <v>146</v>
      </c>
      <c r="C86" s="77" t="s">
        <v>147</v>
      </c>
      <c r="D86" s="63"/>
      <c r="E86" s="14"/>
      <c r="F86" s="14">
        <v>1</v>
      </c>
      <c r="G86" s="14">
        <v>51.39</v>
      </c>
      <c r="H86" s="134">
        <f t="shared" si="6"/>
        <v>5.1389999999999998E-2</v>
      </c>
      <c r="I86" s="14">
        <v>0</v>
      </c>
    </row>
    <row r="87" spans="1:9" ht="15.75" hidden="1" customHeight="1">
      <c r="A87" s="34"/>
      <c r="B87" s="76" t="s">
        <v>173</v>
      </c>
      <c r="C87" s="77" t="s">
        <v>120</v>
      </c>
      <c r="D87" s="63"/>
      <c r="E87" s="14"/>
      <c r="F87" s="14">
        <v>1</v>
      </c>
      <c r="G87" s="14">
        <v>484.76</v>
      </c>
      <c r="H87" s="134">
        <f t="shared" si="6"/>
        <v>0.48475999999999997</v>
      </c>
      <c r="I87" s="14">
        <v>0</v>
      </c>
    </row>
    <row r="88" spans="1:9" ht="15.75" hidden="1" customHeight="1">
      <c r="A88" s="34"/>
      <c r="B88" s="76" t="s">
        <v>174</v>
      </c>
      <c r="C88" s="77" t="s">
        <v>175</v>
      </c>
      <c r="D88" s="63"/>
      <c r="E88" s="14"/>
      <c r="F88" s="14">
        <v>4</v>
      </c>
      <c r="G88" s="14">
        <v>1501</v>
      </c>
      <c r="H88" s="134">
        <f t="shared" si="6"/>
        <v>6.0039999999999996</v>
      </c>
      <c r="I88" s="14">
        <v>0</v>
      </c>
    </row>
    <row r="89" spans="1:9" ht="15.75" hidden="1" customHeight="1">
      <c r="A89" s="34"/>
      <c r="B89" s="76" t="s">
        <v>82</v>
      </c>
      <c r="C89" s="77" t="s">
        <v>120</v>
      </c>
      <c r="D89" s="63"/>
      <c r="E89" s="14"/>
      <c r="F89" s="14">
        <v>2</v>
      </c>
      <c r="G89" s="14">
        <v>180.15</v>
      </c>
      <c r="H89" s="134">
        <f t="shared" si="6"/>
        <v>0.36030000000000001</v>
      </c>
      <c r="I89" s="14">
        <v>0</v>
      </c>
    </row>
    <row r="90" spans="1:9" ht="31.5" hidden="1" customHeight="1">
      <c r="A90" s="34"/>
      <c r="B90" s="76" t="s">
        <v>176</v>
      </c>
      <c r="C90" s="77" t="s">
        <v>177</v>
      </c>
      <c r="D90" s="63"/>
      <c r="E90" s="14"/>
      <c r="F90" s="14">
        <f>11.868/10</f>
        <v>1.1868000000000001</v>
      </c>
      <c r="G90" s="14">
        <v>5641.28</v>
      </c>
      <c r="H90" s="134">
        <f t="shared" si="6"/>
        <v>6.6950711040000002</v>
      </c>
      <c r="I90" s="14">
        <v>0</v>
      </c>
    </row>
    <row r="91" spans="1:9" ht="31.5" hidden="1" customHeight="1">
      <c r="A91" s="34"/>
      <c r="B91" s="76" t="s">
        <v>178</v>
      </c>
      <c r="C91" s="77" t="s">
        <v>81</v>
      </c>
      <c r="D91" s="63"/>
      <c r="E91" s="14"/>
      <c r="F91" s="14">
        <v>4</v>
      </c>
      <c r="G91" s="14">
        <v>2057</v>
      </c>
      <c r="H91" s="134">
        <f t="shared" si="6"/>
        <v>8.2279999999999998</v>
      </c>
      <c r="I91" s="14">
        <v>0</v>
      </c>
    </row>
    <row r="92" spans="1:9" ht="15.75" hidden="1" customHeight="1">
      <c r="A92" s="34"/>
      <c r="B92" s="76" t="s">
        <v>179</v>
      </c>
      <c r="C92" s="77" t="s">
        <v>180</v>
      </c>
      <c r="D92" s="63"/>
      <c r="E92" s="14"/>
      <c r="F92" s="14">
        <v>1</v>
      </c>
      <c r="G92" s="14">
        <v>3244</v>
      </c>
      <c r="H92" s="134">
        <f t="shared" si="6"/>
        <v>3.2440000000000002</v>
      </c>
      <c r="I92" s="14">
        <v>0</v>
      </c>
    </row>
    <row r="93" spans="1:9" ht="15.75" hidden="1" customHeight="1">
      <c r="A93" s="34"/>
      <c r="B93" s="76" t="s">
        <v>181</v>
      </c>
      <c r="C93" s="77" t="s">
        <v>85</v>
      </c>
      <c r="D93" s="63"/>
      <c r="E93" s="14"/>
      <c r="F93" s="14">
        <v>2</v>
      </c>
      <c r="G93" s="14">
        <v>185.81</v>
      </c>
      <c r="H93" s="134">
        <f t="shared" si="6"/>
        <v>0.37162000000000001</v>
      </c>
      <c r="I93" s="14">
        <v>0</v>
      </c>
    </row>
    <row r="94" spans="1:9" ht="31.5" hidden="1" customHeight="1">
      <c r="A94" s="34"/>
      <c r="B94" s="76" t="s">
        <v>83</v>
      </c>
      <c r="C94" s="77" t="s">
        <v>37</v>
      </c>
      <c r="D94" s="63"/>
      <c r="E94" s="14"/>
      <c r="F94" s="14">
        <v>0.02</v>
      </c>
      <c r="G94" s="14">
        <v>3397.65</v>
      </c>
      <c r="H94" s="134">
        <f t="shared" si="6"/>
        <v>6.7953E-2</v>
      </c>
      <c r="I94" s="14">
        <v>0</v>
      </c>
    </row>
    <row r="95" spans="1:9" ht="15.75" hidden="1" customHeight="1">
      <c r="A95" s="34"/>
      <c r="B95" s="94" t="s">
        <v>87</v>
      </c>
      <c r="C95" s="77" t="s">
        <v>120</v>
      </c>
      <c r="D95" s="63"/>
      <c r="E95" s="14"/>
      <c r="F95" s="14">
        <v>1</v>
      </c>
      <c r="G95" s="14">
        <v>179.96</v>
      </c>
      <c r="H95" s="134">
        <f t="shared" si="6"/>
        <v>0.17996000000000001</v>
      </c>
      <c r="I95" s="14">
        <v>0</v>
      </c>
    </row>
    <row r="96" spans="1:9" ht="15.75" hidden="1" customHeight="1">
      <c r="A96" s="34"/>
      <c r="B96" s="142" t="s">
        <v>144</v>
      </c>
      <c r="C96" s="143" t="s">
        <v>145</v>
      </c>
      <c r="D96" s="63"/>
      <c r="E96" s="14"/>
      <c r="F96" s="14">
        <f>12/3</f>
        <v>4</v>
      </c>
      <c r="G96" s="14">
        <v>1063.47</v>
      </c>
      <c r="H96" s="134">
        <f t="shared" si="6"/>
        <v>4.2538800000000005</v>
      </c>
      <c r="I96" s="14">
        <v>0</v>
      </c>
    </row>
    <row r="97" spans="1:9" ht="15.75" hidden="1" customHeight="1">
      <c r="A97" s="34"/>
      <c r="B97" s="94" t="s">
        <v>182</v>
      </c>
      <c r="C97" s="77" t="s">
        <v>180</v>
      </c>
      <c r="D97" s="63"/>
      <c r="E97" s="14"/>
      <c r="F97" s="14">
        <v>1</v>
      </c>
      <c r="G97" s="14">
        <v>13776</v>
      </c>
      <c r="H97" s="134">
        <f t="shared" si="6"/>
        <v>13.776</v>
      </c>
      <c r="I97" s="14">
        <v>0</v>
      </c>
    </row>
    <row r="98" spans="1:9" ht="31.5" hidden="1" customHeight="1">
      <c r="A98" s="34"/>
      <c r="B98" s="76" t="s">
        <v>183</v>
      </c>
      <c r="C98" s="77" t="s">
        <v>120</v>
      </c>
      <c r="D98" s="63"/>
      <c r="E98" s="14"/>
      <c r="F98" s="14">
        <v>1</v>
      </c>
      <c r="G98" s="14">
        <v>97.18</v>
      </c>
      <c r="H98" s="134">
        <f>G98*F98/1000</f>
        <v>9.7180000000000002E-2</v>
      </c>
      <c r="I98" s="14">
        <v>0</v>
      </c>
    </row>
    <row r="99" spans="1:9" ht="31.5" hidden="1" customHeight="1">
      <c r="A99" s="34"/>
      <c r="B99" s="76" t="s">
        <v>184</v>
      </c>
      <c r="C99" s="77" t="s">
        <v>81</v>
      </c>
      <c r="D99" s="63"/>
      <c r="E99" s="14"/>
      <c r="F99" s="14">
        <v>2</v>
      </c>
      <c r="G99" s="14">
        <v>1272</v>
      </c>
      <c r="H99" s="134">
        <f t="shared" ref="H99:H100" si="7">G99*F99/1000</f>
        <v>2.544</v>
      </c>
      <c r="I99" s="14">
        <v>0</v>
      </c>
    </row>
    <row r="100" spans="1:9" ht="15.75" hidden="1" customHeight="1">
      <c r="A100" s="34"/>
      <c r="B100" s="76" t="s">
        <v>185</v>
      </c>
      <c r="C100" s="95" t="s">
        <v>81</v>
      </c>
      <c r="D100" s="63"/>
      <c r="E100" s="14"/>
      <c r="F100" s="14">
        <v>1</v>
      </c>
      <c r="G100" s="14">
        <v>18</v>
      </c>
      <c r="H100" s="134">
        <f t="shared" si="7"/>
        <v>1.7999999999999999E-2</v>
      </c>
      <c r="I100" s="14">
        <v>0</v>
      </c>
    </row>
    <row r="101" spans="1:9" ht="15.75" customHeight="1">
      <c r="A101" s="34"/>
      <c r="B101" s="57" t="s">
        <v>49</v>
      </c>
      <c r="C101" s="53"/>
      <c r="D101" s="66"/>
      <c r="E101" s="53">
        <v>1</v>
      </c>
      <c r="F101" s="53"/>
      <c r="G101" s="53"/>
      <c r="H101" s="53"/>
      <c r="I101" s="37">
        <f>SUM(I81:I100)</f>
        <v>1824.48</v>
      </c>
    </row>
    <row r="102" spans="1:9" ht="15.75" customHeight="1">
      <c r="A102" s="34"/>
      <c r="B102" s="63" t="s">
        <v>77</v>
      </c>
      <c r="C102" s="17"/>
      <c r="D102" s="17"/>
      <c r="E102" s="54"/>
      <c r="F102" s="54"/>
      <c r="G102" s="55"/>
      <c r="H102" s="55"/>
      <c r="I102" s="20">
        <v>0</v>
      </c>
    </row>
    <row r="103" spans="1:9" ht="15.75" customHeight="1">
      <c r="A103" s="67"/>
      <c r="B103" s="58" t="s">
        <v>50</v>
      </c>
      <c r="C103" s="43"/>
      <c r="D103" s="43"/>
      <c r="E103" s="43"/>
      <c r="F103" s="43"/>
      <c r="G103" s="43"/>
      <c r="H103" s="43"/>
      <c r="I103" s="56">
        <f>I79+I101</f>
        <v>31597.840210599999</v>
      </c>
    </row>
    <row r="104" spans="1:9" ht="15.75">
      <c r="A104" s="160" t="s">
        <v>211</v>
      </c>
      <c r="B104" s="160"/>
      <c r="C104" s="160"/>
      <c r="D104" s="160"/>
      <c r="E104" s="160"/>
      <c r="F104" s="160"/>
      <c r="G104" s="160"/>
      <c r="H104" s="160"/>
      <c r="I104" s="160"/>
    </row>
    <row r="105" spans="1:9" ht="15.75">
      <c r="A105" s="102"/>
      <c r="B105" s="155" t="s">
        <v>212</v>
      </c>
      <c r="C105" s="155"/>
      <c r="D105" s="155"/>
      <c r="E105" s="155"/>
      <c r="F105" s="155"/>
      <c r="G105" s="155"/>
      <c r="H105" s="119"/>
      <c r="I105" s="3"/>
    </row>
    <row r="106" spans="1:9">
      <c r="A106" s="106"/>
      <c r="B106" s="151" t="s">
        <v>6</v>
      </c>
      <c r="C106" s="151"/>
      <c r="D106" s="151"/>
      <c r="E106" s="151"/>
      <c r="F106" s="151"/>
      <c r="G106" s="151"/>
      <c r="H106" s="29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156" t="s">
        <v>7</v>
      </c>
      <c r="B108" s="156"/>
      <c r="C108" s="156"/>
      <c r="D108" s="156"/>
      <c r="E108" s="156"/>
      <c r="F108" s="156"/>
      <c r="G108" s="156"/>
      <c r="H108" s="156"/>
      <c r="I108" s="156"/>
    </row>
    <row r="109" spans="1:9" ht="15.75">
      <c r="A109" s="156" t="s">
        <v>8</v>
      </c>
      <c r="B109" s="156"/>
      <c r="C109" s="156"/>
      <c r="D109" s="156"/>
      <c r="E109" s="156"/>
      <c r="F109" s="156"/>
      <c r="G109" s="156"/>
      <c r="H109" s="156"/>
      <c r="I109" s="156"/>
    </row>
    <row r="110" spans="1:9" ht="15.75">
      <c r="A110" s="157" t="s">
        <v>59</v>
      </c>
      <c r="B110" s="157"/>
      <c r="C110" s="157"/>
      <c r="D110" s="157"/>
      <c r="E110" s="157"/>
      <c r="F110" s="157"/>
      <c r="G110" s="157"/>
      <c r="H110" s="157"/>
      <c r="I110" s="157"/>
    </row>
    <row r="111" spans="1:9" ht="15.75">
      <c r="A111" s="11"/>
    </row>
    <row r="112" spans="1:9" ht="15.75">
      <c r="A112" s="158" t="s">
        <v>9</v>
      </c>
      <c r="B112" s="158"/>
      <c r="C112" s="158"/>
      <c r="D112" s="158"/>
      <c r="E112" s="158"/>
      <c r="F112" s="158"/>
      <c r="G112" s="158"/>
      <c r="H112" s="158"/>
      <c r="I112" s="158"/>
    </row>
    <row r="113" spans="1:9" ht="15.75">
      <c r="A113" s="4"/>
    </row>
    <row r="114" spans="1:9" ht="15.75">
      <c r="B114" s="107" t="s">
        <v>10</v>
      </c>
      <c r="C114" s="150" t="s">
        <v>162</v>
      </c>
      <c r="D114" s="150"/>
      <c r="E114" s="150"/>
      <c r="F114" s="117"/>
      <c r="I114" s="105"/>
    </row>
    <row r="115" spans="1:9">
      <c r="A115" s="106"/>
      <c r="C115" s="151" t="s">
        <v>11</v>
      </c>
      <c r="D115" s="151"/>
      <c r="E115" s="151"/>
      <c r="F115" s="29"/>
      <c r="I115" s="104" t="s">
        <v>12</v>
      </c>
    </row>
    <row r="116" spans="1:9" ht="15.75">
      <c r="A116" s="30"/>
      <c r="C116" s="12"/>
      <c r="D116" s="12"/>
      <c r="G116" s="12"/>
      <c r="H116" s="12"/>
    </row>
    <row r="117" spans="1:9" ht="15.75">
      <c r="B117" s="107" t="s">
        <v>13</v>
      </c>
      <c r="C117" s="152"/>
      <c r="D117" s="152"/>
      <c r="E117" s="152"/>
      <c r="F117" s="118"/>
      <c r="I117" s="105"/>
    </row>
    <row r="118" spans="1:9">
      <c r="A118" s="106"/>
      <c r="C118" s="153" t="s">
        <v>11</v>
      </c>
      <c r="D118" s="153"/>
      <c r="E118" s="153"/>
      <c r="F118" s="106"/>
      <c r="I118" s="104" t="s">
        <v>12</v>
      </c>
    </row>
    <row r="119" spans="1:9" ht="15.75">
      <c r="A119" s="4" t="s">
        <v>14</v>
      </c>
    </row>
    <row r="120" spans="1:9">
      <c r="A120" s="154" t="s">
        <v>15</v>
      </c>
      <c r="B120" s="154"/>
      <c r="C120" s="154"/>
      <c r="D120" s="154"/>
      <c r="E120" s="154"/>
      <c r="F120" s="154"/>
      <c r="G120" s="154"/>
      <c r="H120" s="154"/>
      <c r="I120" s="154"/>
    </row>
    <row r="121" spans="1:9" ht="45" customHeight="1">
      <c r="A121" s="146" t="s">
        <v>16</v>
      </c>
      <c r="B121" s="146"/>
      <c r="C121" s="146"/>
      <c r="D121" s="146"/>
      <c r="E121" s="146"/>
      <c r="F121" s="146"/>
      <c r="G121" s="146"/>
      <c r="H121" s="146"/>
      <c r="I121" s="146"/>
    </row>
    <row r="122" spans="1:9" ht="30" customHeight="1">
      <c r="A122" s="146" t="s">
        <v>17</v>
      </c>
      <c r="B122" s="146"/>
      <c r="C122" s="146"/>
      <c r="D122" s="146"/>
      <c r="E122" s="146"/>
      <c r="F122" s="146"/>
      <c r="G122" s="146"/>
      <c r="H122" s="146"/>
      <c r="I122" s="146"/>
    </row>
    <row r="123" spans="1:9" ht="30" customHeight="1">
      <c r="A123" s="146" t="s">
        <v>21</v>
      </c>
      <c r="B123" s="146"/>
      <c r="C123" s="146"/>
      <c r="D123" s="146"/>
      <c r="E123" s="146"/>
      <c r="F123" s="146"/>
      <c r="G123" s="146"/>
      <c r="H123" s="146"/>
      <c r="I123" s="146"/>
    </row>
    <row r="124" spans="1:9" ht="15" customHeight="1">
      <c r="A124" s="146" t="s">
        <v>20</v>
      </c>
      <c r="B124" s="146"/>
      <c r="C124" s="146"/>
      <c r="D124" s="146"/>
      <c r="E124" s="146"/>
      <c r="F124" s="146"/>
      <c r="G124" s="146"/>
      <c r="H124" s="146"/>
      <c r="I124" s="146"/>
    </row>
  </sheetData>
  <mergeCells count="27">
    <mergeCell ref="A122:I122"/>
    <mergeCell ref="A123:I123"/>
    <mergeCell ref="A124:I124"/>
    <mergeCell ref="C114:E114"/>
    <mergeCell ref="C115:E115"/>
    <mergeCell ref="C117:E117"/>
    <mergeCell ref="C118:E118"/>
    <mergeCell ref="A120:I120"/>
    <mergeCell ref="A121:I121"/>
    <mergeCell ref="B105:G105"/>
    <mergeCell ref="B106:G106"/>
    <mergeCell ref="A108:I108"/>
    <mergeCell ref="A109:I109"/>
    <mergeCell ref="A110:I110"/>
    <mergeCell ref="A112:I112"/>
    <mergeCell ref="A15:I15"/>
    <mergeCell ref="A29:I29"/>
    <mergeCell ref="A45:I45"/>
    <mergeCell ref="A56:I56"/>
    <mergeCell ref="A76:I76"/>
    <mergeCell ref="A104:I104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0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2" t="s">
        <v>90</v>
      </c>
      <c r="I1" s="31"/>
    </row>
    <row r="2" spans="1:9" ht="15.75">
      <c r="A2" s="33" t="s">
        <v>60</v>
      </c>
    </row>
    <row r="3" spans="1:9" ht="15.75">
      <c r="A3" s="161" t="s">
        <v>213</v>
      </c>
      <c r="B3" s="161"/>
      <c r="C3" s="161"/>
      <c r="D3" s="161"/>
      <c r="E3" s="161"/>
      <c r="F3" s="161"/>
      <c r="G3" s="161"/>
      <c r="H3" s="161"/>
      <c r="I3" s="161"/>
    </row>
    <row r="4" spans="1:9" ht="31.5" customHeight="1">
      <c r="A4" s="162" t="s">
        <v>152</v>
      </c>
      <c r="B4" s="162"/>
      <c r="C4" s="162"/>
      <c r="D4" s="162"/>
      <c r="E4" s="162"/>
      <c r="F4" s="162"/>
      <c r="G4" s="162"/>
      <c r="H4" s="162"/>
      <c r="I4" s="162"/>
    </row>
    <row r="5" spans="1:9" ht="15.75">
      <c r="A5" s="161" t="s">
        <v>214</v>
      </c>
      <c r="B5" s="163"/>
      <c r="C5" s="163"/>
      <c r="D5" s="163"/>
      <c r="E5" s="163"/>
      <c r="F5" s="163"/>
      <c r="G5" s="163"/>
      <c r="H5" s="163"/>
      <c r="I5" s="163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5">
        <v>42582</v>
      </c>
    </row>
    <row r="7" spans="1:9" ht="15.75">
      <c r="B7" s="107"/>
      <c r="C7" s="107"/>
      <c r="D7" s="107"/>
      <c r="E7" s="3"/>
      <c r="F7" s="3"/>
      <c r="G7" s="3"/>
      <c r="H7" s="3"/>
    </row>
    <row r="8" spans="1:9" ht="78.75" customHeight="1">
      <c r="A8" s="164" t="s">
        <v>157</v>
      </c>
      <c r="B8" s="164"/>
      <c r="C8" s="164"/>
      <c r="D8" s="164"/>
      <c r="E8" s="164"/>
      <c r="F8" s="164"/>
      <c r="G8" s="164"/>
      <c r="H8" s="164"/>
      <c r="I8" s="164"/>
    </row>
    <row r="9" spans="1:9" ht="15.75">
      <c r="A9" s="4"/>
    </row>
    <row r="10" spans="1:9" ht="47.25" customHeight="1">
      <c r="A10" s="165" t="s">
        <v>158</v>
      </c>
      <c r="B10" s="165"/>
      <c r="C10" s="165"/>
      <c r="D10" s="165"/>
      <c r="E10" s="165"/>
      <c r="F10" s="165"/>
      <c r="G10" s="165"/>
      <c r="H10" s="165"/>
      <c r="I10" s="165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6" t="s">
        <v>57</v>
      </c>
      <c r="B14" s="166"/>
      <c r="C14" s="166"/>
      <c r="D14" s="166"/>
      <c r="E14" s="166"/>
      <c r="F14" s="166"/>
      <c r="G14" s="166"/>
      <c r="H14" s="166"/>
      <c r="I14" s="166"/>
    </row>
    <row r="15" spans="1:9">
      <c r="A15" s="159" t="s">
        <v>4</v>
      </c>
      <c r="B15" s="159"/>
      <c r="C15" s="159"/>
      <c r="D15" s="159"/>
      <c r="E15" s="159"/>
      <c r="F15" s="159"/>
      <c r="G15" s="159"/>
      <c r="H15" s="159"/>
      <c r="I15" s="159"/>
    </row>
    <row r="16" spans="1:9" ht="31.5" customHeight="1">
      <c r="A16" s="34">
        <v>1</v>
      </c>
      <c r="B16" s="120" t="s">
        <v>93</v>
      </c>
      <c r="C16" s="121" t="s">
        <v>94</v>
      </c>
      <c r="D16" s="120" t="s">
        <v>95</v>
      </c>
      <c r="E16" s="122">
        <v>55</v>
      </c>
      <c r="F16" s="123">
        <f>SUM(E16*156/100)</f>
        <v>85.8</v>
      </c>
      <c r="G16" s="123">
        <v>187.48</v>
      </c>
      <c r="H16" s="124">
        <f t="shared" ref="H16:H26" si="0">SUM(F16*G16/1000)</f>
        <v>16.085783999999997</v>
      </c>
      <c r="I16" s="14">
        <f>F16/12*G16</f>
        <v>1340.4819999999997</v>
      </c>
    </row>
    <row r="17" spans="1:9" ht="31.5" customHeight="1">
      <c r="A17" s="34">
        <v>2</v>
      </c>
      <c r="B17" s="120" t="s">
        <v>134</v>
      </c>
      <c r="C17" s="121" t="s">
        <v>94</v>
      </c>
      <c r="D17" s="120" t="s">
        <v>96</v>
      </c>
      <c r="E17" s="122">
        <v>165</v>
      </c>
      <c r="F17" s="123">
        <f>SUM(E17*104/100)</f>
        <v>171.6</v>
      </c>
      <c r="G17" s="123">
        <v>187.48</v>
      </c>
      <c r="H17" s="124">
        <f t="shared" si="0"/>
        <v>32.171567999999994</v>
      </c>
      <c r="I17" s="14">
        <f>F17/12*G17</f>
        <v>2680.9639999999995</v>
      </c>
    </row>
    <row r="18" spans="1:9" ht="31.5" customHeight="1">
      <c r="A18" s="34">
        <v>3</v>
      </c>
      <c r="B18" s="120" t="s">
        <v>135</v>
      </c>
      <c r="C18" s="121" t="s">
        <v>94</v>
      </c>
      <c r="D18" s="120" t="s">
        <v>136</v>
      </c>
      <c r="E18" s="122">
        <f>SUM(E16+E17)</f>
        <v>220</v>
      </c>
      <c r="F18" s="123">
        <f>SUM(E18*24/100)</f>
        <v>52.8</v>
      </c>
      <c r="G18" s="123">
        <v>539.30999999999995</v>
      </c>
      <c r="H18" s="124">
        <f t="shared" si="0"/>
        <v>28.475567999999996</v>
      </c>
      <c r="I18" s="14">
        <f>F18/12*G18</f>
        <v>2372.9639999999995</v>
      </c>
    </row>
    <row r="19" spans="1:9" ht="15.75" hidden="1" customHeight="1">
      <c r="A19" s="34">
        <v>4</v>
      </c>
      <c r="B19" s="120" t="s">
        <v>103</v>
      </c>
      <c r="C19" s="121" t="s">
        <v>104</v>
      </c>
      <c r="D19" s="120" t="s">
        <v>105</v>
      </c>
      <c r="E19" s="122">
        <v>32.4</v>
      </c>
      <c r="F19" s="123">
        <f>SUM(E19/10)</f>
        <v>3.2399999999999998</v>
      </c>
      <c r="G19" s="123">
        <v>181.91</v>
      </c>
      <c r="H19" s="124">
        <f t="shared" si="0"/>
        <v>0.58938839999999992</v>
      </c>
      <c r="I19" s="14">
        <v>0</v>
      </c>
    </row>
    <row r="20" spans="1:9" ht="15.75" customHeight="1">
      <c r="A20" s="34">
        <v>4</v>
      </c>
      <c r="B20" s="120" t="s">
        <v>106</v>
      </c>
      <c r="C20" s="121" t="s">
        <v>94</v>
      </c>
      <c r="D20" s="120" t="s">
        <v>137</v>
      </c>
      <c r="E20" s="122">
        <v>12.24</v>
      </c>
      <c r="F20" s="123">
        <f>SUM(E20*12/100)</f>
        <v>1.4687999999999999</v>
      </c>
      <c r="G20" s="123">
        <v>232.92</v>
      </c>
      <c r="H20" s="124">
        <f t="shared" si="0"/>
        <v>0.342112896</v>
      </c>
      <c r="I20" s="14">
        <f>F20/12*G20</f>
        <v>28.509407999999997</v>
      </c>
    </row>
    <row r="21" spans="1:9" ht="15.75" customHeight="1">
      <c r="A21" s="34">
        <v>5</v>
      </c>
      <c r="B21" s="120" t="s">
        <v>107</v>
      </c>
      <c r="C21" s="121" t="s">
        <v>94</v>
      </c>
      <c r="D21" s="120" t="s">
        <v>138</v>
      </c>
      <c r="E21" s="122">
        <v>10.08</v>
      </c>
      <c r="F21" s="123">
        <f>SUM(E21*6/100)</f>
        <v>0.6048</v>
      </c>
      <c r="G21" s="123">
        <v>231.03</v>
      </c>
      <c r="H21" s="124">
        <f t="shared" si="0"/>
        <v>0.13972694399999999</v>
      </c>
      <c r="I21" s="14">
        <f>F21/6*G21</f>
        <v>23.287824000000001</v>
      </c>
    </row>
    <row r="22" spans="1:9" ht="15.75" hidden="1" customHeight="1">
      <c r="A22" s="34">
        <v>7</v>
      </c>
      <c r="B22" s="120" t="s">
        <v>108</v>
      </c>
      <c r="C22" s="121" t="s">
        <v>51</v>
      </c>
      <c r="D22" s="120" t="s">
        <v>105</v>
      </c>
      <c r="E22" s="122">
        <v>293.76</v>
      </c>
      <c r="F22" s="123">
        <f>SUM(E22/100)</f>
        <v>2.9375999999999998</v>
      </c>
      <c r="G22" s="123">
        <v>287.83999999999997</v>
      </c>
      <c r="H22" s="124">
        <f t="shared" si="0"/>
        <v>0.84555878399999984</v>
      </c>
      <c r="I22" s="14">
        <v>0</v>
      </c>
    </row>
    <row r="23" spans="1:9" ht="15.75" hidden="1" customHeight="1">
      <c r="A23" s="34">
        <v>8</v>
      </c>
      <c r="B23" s="120" t="s">
        <v>109</v>
      </c>
      <c r="C23" s="121" t="s">
        <v>51</v>
      </c>
      <c r="D23" s="120" t="s">
        <v>105</v>
      </c>
      <c r="E23" s="125">
        <v>17.64</v>
      </c>
      <c r="F23" s="123">
        <f>SUM(E23/100)</f>
        <v>0.1764</v>
      </c>
      <c r="G23" s="123">
        <v>47.34</v>
      </c>
      <c r="H23" s="124">
        <f t="shared" si="0"/>
        <v>8.3507760000000007E-3</v>
      </c>
      <c r="I23" s="14">
        <v>0</v>
      </c>
    </row>
    <row r="24" spans="1:9" ht="15.75" hidden="1" customHeight="1">
      <c r="A24" s="34">
        <v>9</v>
      </c>
      <c r="B24" s="120" t="s">
        <v>110</v>
      </c>
      <c r="C24" s="121" t="s">
        <v>51</v>
      </c>
      <c r="D24" s="120" t="s">
        <v>111</v>
      </c>
      <c r="E24" s="122">
        <v>10.8</v>
      </c>
      <c r="F24" s="123">
        <f>E24/100</f>
        <v>0.10800000000000001</v>
      </c>
      <c r="G24" s="123">
        <v>416.62</v>
      </c>
      <c r="H24" s="124">
        <f t="shared" si="0"/>
        <v>4.4994960000000007E-2</v>
      </c>
      <c r="I24" s="14">
        <v>0</v>
      </c>
    </row>
    <row r="25" spans="1:9" ht="15.75" hidden="1" customHeight="1">
      <c r="A25" s="34">
        <v>10</v>
      </c>
      <c r="B25" s="120" t="s">
        <v>112</v>
      </c>
      <c r="C25" s="121" t="s">
        <v>51</v>
      </c>
      <c r="D25" s="120" t="s">
        <v>52</v>
      </c>
      <c r="E25" s="122">
        <v>12.6</v>
      </c>
      <c r="F25" s="123">
        <f>E25/100</f>
        <v>0.126</v>
      </c>
      <c r="G25" s="123">
        <v>231.03</v>
      </c>
      <c r="H25" s="124">
        <f>G25*F25/1000</f>
        <v>2.9109780000000002E-2</v>
      </c>
      <c r="I25" s="14">
        <v>0</v>
      </c>
    </row>
    <row r="26" spans="1:9" ht="15.75" hidden="1" customHeight="1">
      <c r="A26" s="34">
        <v>11</v>
      </c>
      <c r="B26" s="120" t="s">
        <v>113</v>
      </c>
      <c r="C26" s="121" t="s">
        <v>51</v>
      </c>
      <c r="D26" s="120" t="s">
        <v>105</v>
      </c>
      <c r="E26" s="122">
        <v>14.4</v>
      </c>
      <c r="F26" s="123">
        <f>SUM(E26/100)</f>
        <v>0.14400000000000002</v>
      </c>
      <c r="G26" s="123">
        <v>556.74</v>
      </c>
      <c r="H26" s="124">
        <f t="shared" si="0"/>
        <v>8.0170560000000016E-2</v>
      </c>
      <c r="I26" s="14">
        <v>0</v>
      </c>
    </row>
    <row r="27" spans="1:9" ht="15.75" customHeight="1">
      <c r="A27" s="34">
        <v>6</v>
      </c>
      <c r="B27" s="120" t="s">
        <v>62</v>
      </c>
      <c r="C27" s="121" t="s">
        <v>31</v>
      </c>
      <c r="D27" s="120" t="s">
        <v>130</v>
      </c>
      <c r="E27" s="122">
        <v>0.1</v>
      </c>
      <c r="F27" s="123">
        <f>SUM(E27*365)</f>
        <v>36.5</v>
      </c>
      <c r="G27" s="123">
        <v>157.18</v>
      </c>
      <c r="H27" s="124">
        <f>SUM(F27*G27/1000)</f>
        <v>5.737070000000001</v>
      </c>
      <c r="I27" s="14">
        <f>F27/12*G27</f>
        <v>478.08916666666664</v>
      </c>
    </row>
    <row r="28" spans="1:9" ht="15.75" customHeight="1">
      <c r="A28" s="34">
        <v>7</v>
      </c>
      <c r="B28" s="128" t="s">
        <v>23</v>
      </c>
      <c r="C28" s="121" t="s">
        <v>24</v>
      </c>
      <c r="D28" s="128" t="s">
        <v>131</v>
      </c>
      <c r="E28" s="122">
        <v>2054.6</v>
      </c>
      <c r="F28" s="123">
        <f>SUM(E28*12)</f>
        <v>24655.199999999997</v>
      </c>
      <c r="G28" s="123">
        <v>6.15</v>
      </c>
      <c r="H28" s="124">
        <f>SUM(F28*G28/1000)</f>
        <v>151.62947999999997</v>
      </c>
      <c r="I28" s="14">
        <f>F28/12*G28</f>
        <v>12635.79</v>
      </c>
    </row>
    <row r="29" spans="1:9" ht="15.75" customHeight="1">
      <c r="A29" s="147" t="s">
        <v>88</v>
      </c>
      <c r="B29" s="148"/>
      <c r="C29" s="148"/>
      <c r="D29" s="148"/>
      <c r="E29" s="148"/>
      <c r="F29" s="148"/>
      <c r="G29" s="148"/>
      <c r="H29" s="148"/>
      <c r="I29" s="149"/>
    </row>
    <row r="30" spans="1:9" ht="15.75" customHeight="1">
      <c r="A30" s="34"/>
      <c r="B30" s="144" t="s">
        <v>27</v>
      </c>
      <c r="C30" s="121"/>
      <c r="D30" s="120"/>
      <c r="E30" s="122"/>
      <c r="F30" s="123"/>
      <c r="G30" s="123"/>
      <c r="H30" s="124"/>
      <c r="I30" s="14"/>
    </row>
    <row r="31" spans="1:9" ht="31.5" customHeight="1">
      <c r="A31" s="34">
        <v>8</v>
      </c>
      <c r="B31" s="120" t="s">
        <v>118</v>
      </c>
      <c r="C31" s="121" t="s">
        <v>99</v>
      </c>
      <c r="D31" s="120" t="s">
        <v>114</v>
      </c>
      <c r="E31" s="123">
        <v>600.63</v>
      </c>
      <c r="F31" s="123">
        <f>SUM(E31*52/1000)</f>
        <v>31.232759999999999</v>
      </c>
      <c r="G31" s="123">
        <v>166.65</v>
      </c>
      <c r="H31" s="124">
        <f t="shared" ref="H31:H36" si="1">SUM(F31*G31/1000)</f>
        <v>5.2049394540000007</v>
      </c>
      <c r="I31" s="14">
        <f>F31/6*G31</f>
        <v>867.4899089999999</v>
      </c>
    </row>
    <row r="32" spans="1:9" ht="31.5" customHeight="1">
      <c r="A32" s="34">
        <v>9</v>
      </c>
      <c r="B32" s="120" t="s">
        <v>117</v>
      </c>
      <c r="C32" s="121" t="s">
        <v>99</v>
      </c>
      <c r="D32" s="120" t="s">
        <v>115</v>
      </c>
      <c r="E32" s="123">
        <v>186.39</v>
      </c>
      <c r="F32" s="123">
        <f>SUM(E32*78/1000)</f>
        <v>14.538419999999999</v>
      </c>
      <c r="G32" s="123">
        <v>276.48</v>
      </c>
      <c r="H32" s="124">
        <f t="shared" si="1"/>
        <v>4.0195823615999995</v>
      </c>
      <c r="I32" s="14">
        <f t="shared" ref="I32:I34" si="2">F32/6*G32</f>
        <v>669.93039359999989</v>
      </c>
    </row>
    <row r="33" spans="1:9" ht="15.75" hidden="1" customHeight="1">
      <c r="A33" s="34">
        <v>16</v>
      </c>
      <c r="B33" s="120" t="s">
        <v>26</v>
      </c>
      <c r="C33" s="121" t="s">
        <v>99</v>
      </c>
      <c r="D33" s="120" t="s">
        <v>52</v>
      </c>
      <c r="E33" s="123">
        <v>600.63</v>
      </c>
      <c r="F33" s="123">
        <f>SUM(E33/1000)</f>
        <v>0.60063</v>
      </c>
      <c r="G33" s="123">
        <v>3228.73</v>
      </c>
      <c r="H33" s="124">
        <f t="shared" si="1"/>
        <v>1.9392720999000002</v>
      </c>
      <c r="I33" s="14">
        <f>F33*G33</f>
        <v>1939.2720999000001</v>
      </c>
    </row>
    <row r="34" spans="1:9" ht="15.75" customHeight="1">
      <c r="A34" s="34">
        <v>10</v>
      </c>
      <c r="B34" s="120" t="s">
        <v>116</v>
      </c>
      <c r="C34" s="121" t="s">
        <v>29</v>
      </c>
      <c r="D34" s="120" t="s">
        <v>61</v>
      </c>
      <c r="E34" s="127">
        <v>0.33333333333333331</v>
      </c>
      <c r="F34" s="123">
        <f>155/3</f>
        <v>51.666666666666664</v>
      </c>
      <c r="G34" s="123">
        <v>60.6</v>
      </c>
      <c r="H34" s="124">
        <f>SUM(G34*155/3/1000)</f>
        <v>3.1309999999999998</v>
      </c>
      <c r="I34" s="14">
        <f t="shared" si="2"/>
        <v>521.83333333333337</v>
      </c>
    </row>
    <row r="35" spans="1:9" ht="15.75" hidden="1" customHeight="1">
      <c r="A35" s="34"/>
      <c r="B35" s="120" t="s">
        <v>63</v>
      </c>
      <c r="C35" s="121" t="s">
        <v>31</v>
      </c>
      <c r="D35" s="120" t="s">
        <v>65</v>
      </c>
      <c r="E35" s="122"/>
      <c r="F35" s="123">
        <v>2</v>
      </c>
      <c r="G35" s="123">
        <v>204.52</v>
      </c>
      <c r="H35" s="124">
        <f t="shared" si="1"/>
        <v>0.40904000000000001</v>
      </c>
      <c r="I35" s="14">
        <v>0</v>
      </c>
    </row>
    <row r="36" spans="1:9" ht="15.75" hidden="1" customHeight="1">
      <c r="A36" s="34"/>
      <c r="B36" s="120" t="s">
        <v>64</v>
      </c>
      <c r="C36" s="121" t="s">
        <v>30</v>
      </c>
      <c r="D36" s="120" t="s">
        <v>65</v>
      </c>
      <c r="E36" s="122"/>
      <c r="F36" s="123">
        <v>1</v>
      </c>
      <c r="G36" s="123">
        <v>1214.74</v>
      </c>
      <c r="H36" s="124">
        <f t="shared" si="1"/>
        <v>1.2147399999999999</v>
      </c>
      <c r="I36" s="14">
        <v>0</v>
      </c>
    </row>
    <row r="37" spans="1:9" ht="15.75" hidden="1" customHeight="1">
      <c r="A37" s="34"/>
      <c r="B37" s="144" t="s">
        <v>5</v>
      </c>
      <c r="C37" s="121"/>
      <c r="D37" s="120"/>
      <c r="E37" s="122"/>
      <c r="F37" s="123"/>
      <c r="G37" s="123"/>
      <c r="H37" s="124" t="s">
        <v>131</v>
      </c>
      <c r="I37" s="14"/>
    </row>
    <row r="38" spans="1:9" ht="15.75" hidden="1" customHeight="1">
      <c r="A38" s="34">
        <v>8</v>
      </c>
      <c r="B38" s="120" t="s">
        <v>25</v>
      </c>
      <c r="C38" s="121" t="s">
        <v>30</v>
      </c>
      <c r="D38" s="120"/>
      <c r="E38" s="122"/>
      <c r="F38" s="123">
        <v>5</v>
      </c>
      <c r="G38" s="123">
        <v>1632.6</v>
      </c>
      <c r="H38" s="124">
        <f t="shared" ref="H38:H44" si="3">SUM(F38*G38/1000)</f>
        <v>8.1630000000000003</v>
      </c>
      <c r="I38" s="14">
        <f>F38/6*G38</f>
        <v>1360.5</v>
      </c>
    </row>
    <row r="39" spans="1:9" ht="15.75" hidden="1" customHeight="1">
      <c r="A39" s="34">
        <v>9</v>
      </c>
      <c r="B39" s="120" t="s">
        <v>139</v>
      </c>
      <c r="C39" s="121" t="s">
        <v>28</v>
      </c>
      <c r="D39" s="120" t="s">
        <v>97</v>
      </c>
      <c r="E39" s="122">
        <v>186.39</v>
      </c>
      <c r="F39" s="123">
        <f>E39*30/1000</f>
        <v>5.5916999999999994</v>
      </c>
      <c r="G39" s="123">
        <v>2247.8000000000002</v>
      </c>
      <c r="H39" s="124">
        <f>G39*F39/1000</f>
        <v>12.56902326</v>
      </c>
      <c r="I39" s="14">
        <f>F39/6*G39</f>
        <v>2094.8372100000001</v>
      </c>
    </row>
    <row r="40" spans="1:9" ht="15.75" hidden="1" customHeight="1">
      <c r="A40" s="34"/>
      <c r="B40" s="120" t="s">
        <v>164</v>
      </c>
      <c r="C40" s="121" t="s">
        <v>165</v>
      </c>
      <c r="D40" s="120" t="s">
        <v>65</v>
      </c>
      <c r="E40" s="122"/>
      <c r="F40" s="123">
        <v>72.3</v>
      </c>
      <c r="G40" s="123">
        <v>199.44</v>
      </c>
      <c r="H40" s="124">
        <f>G40*F40/1000</f>
        <v>14.419511999999999</v>
      </c>
      <c r="I40" s="14">
        <v>0</v>
      </c>
    </row>
    <row r="41" spans="1:9" ht="15.75" hidden="1" customHeight="1">
      <c r="A41" s="34">
        <v>10</v>
      </c>
      <c r="B41" s="120" t="s">
        <v>66</v>
      </c>
      <c r="C41" s="121" t="s">
        <v>28</v>
      </c>
      <c r="D41" s="120" t="s">
        <v>98</v>
      </c>
      <c r="E41" s="123">
        <v>186.39</v>
      </c>
      <c r="F41" s="123">
        <f>SUM(E41*155/1000)</f>
        <v>28.890449999999998</v>
      </c>
      <c r="G41" s="123">
        <v>374.95</v>
      </c>
      <c r="H41" s="124">
        <f t="shared" si="3"/>
        <v>10.832474227499999</v>
      </c>
      <c r="I41" s="14">
        <f>F41/6*G41</f>
        <v>1805.4123712499998</v>
      </c>
    </row>
    <row r="42" spans="1:9" ht="47.25" hidden="1" customHeight="1">
      <c r="A42" s="34">
        <v>11</v>
      </c>
      <c r="B42" s="120" t="s">
        <v>84</v>
      </c>
      <c r="C42" s="121" t="s">
        <v>99</v>
      </c>
      <c r="D42" s="120" t="s">
        <v>140</v>
      </c>
      <c r="E42" s="123">
        <v>52.2</v>
      </c>
      <c r="F42" s="123">
        <f>SUM(E42*35/1000)</f>
        <v>1.827</v>
      </c>
      <c r="G42" s="123">
        <v>6203.7</v>
      </c>
      <c r="H42" s="124">
        <f t="shared" si="3"/>
        <v>11.3341599</v>
      </c>
      <c r="I42" s="14">
        <f>F42/6*G42</f>
        <v>1889.0266499999998</v>
      </c>
    </row>
    <row r="43" spans="1:9" ht="15.75" hidden="1" customHeight="1">
      <c r="A43" s="34">
        <v>12</v>
      </c>
      <c r="B43" s="120" t="s">
        <v>141</v>
      </c>
      <c r="C43" s="121" t="s">
        <v>99</v>
      </c>
      <c r="D43" s="120" t="s">
        <v>67</v>
      </c>
      <c r="E43" s="123">
        <v>52.2</v>
      </c>
      <c r="F43" s="123">
        <f>SUM(E43*45/1000)</f>
        <v>2.3490000000000002</v>
      </c>
      <c r="G43" s="123">
        <v>458.28</v>
      </c>
      <c r="H43" s="124">
        <f t="shared" si="3"/>
        <v>1.0764997199999999</v>
      </c>
      <c r="I43" s="14">
        <f>F43/6*G43</f>
        <v>179.41661999999999</v>
      </c>
    </row>
    <row r="44" spans="1:9" ht="15.75" hidden="1" customHeight="1">
      <c r="A44" s="34">
        <v>13</v>
      </c>
      <c r="B44" s="120" t="s">
        <v>68</v>
      </c>
      <c r="C44" s="121" t="s">
        <v>31</v>
      </c>
      <c r="D44" s="120"/>
      <c r="E44" s="122"/>
      <c r="F44" s="123">
        <v>0.5</v>
      </c>
      <c r="G44" s="123">
        <v>853.06</v>
      </c>
      <c r="H44" s="124">
        <f t="shared" si="3"/>
        <v>0.42652999999999996</v>
      </c>
      <c r="I44" s="14">
        <f>F44/6*G44</f>
        <v>71.088333333333324</v>
      </c>
    </row>
    <row r="45" spans="1:9" ht="15.75" hidden="1" customHeight="1">
      <c r="A45" s="147" t="s">
        <v>159</v>
      </c>
      <c r="B45" s="148"/>
      <c r="C45" s="148"/>
      <c r="D45" s="148"/>
      <c r="E45" s="148"/>
      <c r="F45" s="148"/>
      <c r="G45" s="148"/>
      <c r="H45" s="148"/>
      <c r="I45" s="149"/>
    </row>
    <row r="46" spans="1:9" ht="15.75" hidden="1" customHeight="1">
      <c r="A46" s="34"/>
      <c r="B46" s="120" t="s">
        <v>119</v>
      </c>
      <c r="C46" s="121" t="s">
        <v>99</v>
      </c>
      <c r="D46" s="120" t="s">
        <v>41</v>
      </c>
      <c r="E46" s="122">
        <v>917.75</v>
      </c>
      <c r="F46" s="123">
        <f>SUM(E46*2/1000)</f>
        <v>1.8354999999999999</v>
      </c>
      <c r="G46" s="14">
        <v>865.61</v>
      </c>
      <c r="H46" s="124">
        <f t="shared" ref="H46:H55" si="4">SUM(F46*G46/1000)</f>
        <v>1.5888271549999999</v>
      </c>
      <c r="I46" s="14">
        <v>0</v>
      </c>
    </row>
    <row r="47" spans="1:9" ht="15.75" hidden="1" customHeight="1">
      <c r="A47" s="34"/>
      <c r="B47" s="120" t="s">
        <v>34</v>
      </c>
      <c r="C47" s="121" t="s">
        <v>99</v>
      </c>
      <c r="D47" s="120" t="s">
        <v>41</v>
      </c>
      <c r="E47" s="122">
        <v>48</v>
      </c>
      <c r="F47" s="123">
        <f>E47*2/1000</f>
        <v>9.6000000000000002E-2</v>
      </c>
      <c r="G47" s="14">
        <v>619.46</v>
      </c>
      <c r="H47" s="124">
        <f t="shared" si="4"/>
        <v>5.9468160000000006E-2</v>
      </c>
      <c r="I47" s="14">
        <v>0</v>
      </c>
    </row>
    <row r="48" spans="1:9" ht="15.75" hidden="1" customHeight="1">
      <c r="A48" s="34"/>
      <c r="B48" s="120" t="s">
        <v>35</v>
      </c>
      <c r="C48" s="121" t="s">
        <v>99</v>
      </c>
      <c r="D48" s="120" t="s">
        <v>41</v>
      </c>
      <c r="E48" s="122">
        <v>937.4</v>
      </c>
      <c r="F48" s="123">
        <f>SUM(E48*2/1000)</f>
        <v>1.8748</v>
      </c>
      <c r="G48" s="14">
        <v>619.46</v>
      </c>
      <c r="H48" s="124">
        <f t="shared" si="4"/>
        <v>1.161363608</v>
      </c>
      <c r="I48" s="14">
        <v>0</v>
      </c>
    </row>
    <row r="49" spans="1:9" ht="15.75" hidden="1" customHeight="1">
      <c r="A49" s="34"/>
      <c r="B49" s="120" t="s">
        <v>36</v>
      </c>
      <c r="C49" s="121" t="s">
        <v>99</v>
      </c>
      <c r="D49" s="120" t="s">
        <v>41</v>
      </c>
      <c r="E49" s="122">
        <v>1243.28</v>
      </c>
      <c r="F49" s="123">
        <f>SUM(E49*2/1000)</f>
        <v>2.4865599999999999</v>
      </c>
      <c r="G49" s="14">
        <v>648.64</v>
      </c>
      <c r="H49" s="124">
        <f t="shared" si="4"/>
        <v>1.6128822783999999</v>
      </c>
      <c r="I49" s="14">
        <v>0</v>
      </c>
    </row>
    <row r="50" spans="1:9" ht="15.75" hidden="1" customHeight="1">
      <c r="A50" s="34"/>
      <c r="B50" s="120" t="s">
        <v>32</v>
      </c>
      <c r="C50" s="121" t="s">
        <v>33</v>
      </c>
      <c r="D50" s="120" t="s">
        <v>41</v>
      </c>
      <c r="E50" s="122">
        <v>64.5</v>
      </c>
      <c r="F50" s="123">
        <f>SUM(E50*2/100)</f>
        <v>1.29</v>
      </c>
      <c r="G50" s="14">
        <v>77.84</v>
      </c>
      <c r="H50" s="124">
        <f t="shared" si="4"/>
        <v>0.10041360000000001</v>
      </c>
      <c r="I50" s="14">
        <v>0</v>
      </c>
    </row>
    <row r="51" spans="1:9" ht="15.75" hidden="1" customHeight="1">
      <c r="A51" s="34">
        <v>14</v>
      </c>
      <c r="B51" s="120" t="s">
        <v>54</v>
      </c>
      <c r="C51" s="121" t="s">
        <v>99</v>
      </c>
      <c r="D51" s="120" t="s">
        <v>186</v>
      </c>
      <c r="E51" s="122">
        <v>678.4</v>
      </c>
      <c r="F51" s="123">
        <f>SUM(E51*5/1000)</f>
        <v>3.3919999999999999</v>
      </c>
      <c r="G51" s="14">
        <v>1297.28</v>
      </c>
      <c r="H51" s="124">
        <f t="shared" si="4"/>
        <v>4.4003737599999999</v>
      </c>
      <c r="I51" s="14">
        <f>F51/5*G51</f>
        <v>880.07475199999999</v>
      </c>
    </row>
    <row r="52" spans="1:9" ht="31.5" hidden="1" customHeight="1">
      <c r="A52" s="34"/>
      <c r="B52" s="120" t="s">
        <v>100</v>
      </c>
      <c r="C52" s="121" t="s">
        <v>99</v>
      </c>
      <c r="D52" s="120" t="s">
        <v>41</v>
      </c>
      <c r="E52" s="122">
        <v>678.4</v>
      </c>
      <c r="F52" s="123">
        <f>SUM(E52*2/1000)</f>
        <v>1.3568</v>
      </c>
      <c r="G52" s="14">
        <v>1297.28</v>
      </c>
      <c r="H52" s="124">
        <f t="shared" si="4"/>
        <v>1.7601495039999999</v>
      </c>
      <c r="I52" s="14">
        <v>0</v>
      </c>
    </row>
    <row r="53" spans="1:9" ht="31.5" hidden="1" customHeight="1">
      <c r="A53" s="34"/>
      <c r="B53" s="120" t="s">
        <v>101</v>
      </c>
      <c r="C53" s="121" t="s">
        <v>37</v>
      </c>
      <c r="D53" s="120" t="s">
        <v>41</v>
      </c>
      <c r="E53" s="122">
        <v>12</v>
      </c>
      <c r="F53" s="123">
        <f>SUM(E53*2/100)</f>
        <v>0.24</v>
      </c>
      <c r="G53" s="14">
        <v>2918.89</v>
      </c>
      <c r="H53" s="124">
        <f t="shared" si="4"/>
        <v>0.70053359999999998</v>
      </c>
      <c r="I53" s="14">
        <v>0</v>
      </c>
    </row>
    <row r="54" spans="1:9" ht="15.75" hidden="1" customHeight="1">
      <c r="A54" s="34"/>
      <c r="B54" s="120" t="s">
        <v>38</v>
      </c>
      <c r="C54" s="121" t="s">
        <v>39</v>
      </c>
      <c r="D54" s="120" t="s">
        <v>41</v>
      </c>
      <c r="E54" s="122">
        <v>1</v>
      </c>
      <c r="F54" s="123">
        <v>0.02</v>
      </c>
      <c r="G54" s="14">
        <v>6042.12</v>
      </c>
      <c r="H54" s="124">
        <f t="shared" si="4"/>
        <v>0.1208424</v>
      </c>
      <c r="I54" s="14">
        <v>0</v>
      </c>
    </row>
    <row r="55" spans="1:9" ht="15.75" hidden="1" customHeight="1">
      <c r="A55" s="34">
        <v>15</v>
      </c>
      <c r="B55" s="120" t="s">
        <v>40</v>
      </c>
      <c r="C55" s="121" t="s">
        <v>120</v>
      </c>
      <c r="D55" s="120" t="s">
        <v>69</v>
      </c>
      <c r="E55" s="122">
        <v>72</v>
      </c>
      <c r="F55" s="123">
        <f>SUM(E55)*3</f>
        <v>216</v>
      </c>
      <c r="G55" s="14">
        <v>70.209999999999994</v>
      </c>
      <c r="H55" s="124">
        <f t="shared" si="4"/>
        <v>15.165359999999998</v>
      </c>
      <c r="I55" s="14">
        <f>E55*G55</f>
        <v>5055.12</v>
      </c>
    </row>
    <row r="56" spans="1:9" ht="15.75" hidden="1" customHeight="1">
      <c r="A56" s="147" t="s">
        <v>160</v>
      </c>
      <c r="B56" s="148"/>
      <c r="C56" s="148"/>
      <c r="D56" s="148"/>
      <c r="E56" s="148"/>
      <c r="F56" s="148"/>
      <c r="G56" s="148"/>
      <c r="H56" s="148"/>
      <c r="I56" s="149"/>
    </row>
    <row r="57" spans="1:9" ht="15.75" hidden="1" customHeight="1">
      <c r="A57" s="34"/>
      <c r="B57" s="144" t="s">
        <v>42</v>
      </c>
      <c r="C57" s="121"/>
      <c r="D57" s="120"/>
      <c r="E57" s="122"/>
      <c r="F57" s="123"/>
      <c r="G57" s="123"/>
      <c r="H57" s="124"/>
      <c r="I57" s="14"/>
    </row>
    <row r="58" spans="1:9" ht="31.5" hidden="1" customHeight="1">
      <c r="A58" s="34">
        <v>16</v>
      </c>
      <c r="B58" s="120" t="s">
        <v>121</v>
      </c>
      <c r="C58" s="121" t="s">
        <v>94</v>
      </c>
      <c r="D58" s="120" t="s">
        <v>122</v>
      </c>
      <c r="E58" s="122">
        <v>110.66</v>
      </c>
      <c r="F58" s="123">
        <f>SUM(E58*6/100)</f>
        <v>6.6396000000000006</v>
      </c>
      <c r="G58" s="14">
        <v>1654.04</v>
      </c>
      <c r="H58" s="124">
        <f>SUM(F58*G58/1000)</f>
        <v>10.982163984000001</v>
      </c>
      <c r="I58" s="14">
        <f>F58/6*G58</f>
        <v>1830.360664</v>
      </c>
    </row>
    <row r="59" spans="1:9" ht="15.75" hidden="1" customHeight="1">
      <c r="A59" s="34"/>
      <c r="B59" s="145" t="s">
        <v>43</v>
      </c>
      <c r="C59" s="129"/>
      <c r="D59" s="130"/>
      <c r="E59" s="131"/>
      <c r="F59" s="132"/>
      <c r="G59" s="132"/>
      <c r="H59" s="133" t="s">
        <v>131</v>
      </c>
      <c r="I59" s="14"/>
    </row>
    <row r="60" spans="1:9" ht="15.75" hidden="1" customHeight="1">
      <c r="A60" s="34">
        <v>17</v>
      </c>
      <c r="B60" s="16" t="s">
        <v>44</v>
      </c>
      <c r="C60" s="18" t="s">
        <v>120</v>
      </c>
      <c r="D60" s="16" t="s">
        <v>65</v>
      </c>
      <c r="E60" s="21">
        <v>8</v>
      </c>
      <c r="F60" s="123">
        <v>8</v>
      </c>
      <c r="G60" s="14">
        <v>237.74</v>
      </c>
      <c r="H60" s="134">
        <f t="shared" ref="H60:H73" si="5">SUM(F60*G60/1000)</f>
        <v>1.9019200000000001</v>
      </c>
      <c r="I60" s="14">
        <f>G60</f>
        <v>237.74</v>
      </c>
    </row>
    <row r="61" spans="1:9" ht="15.75" hidden="1" customHeight="1">
      <c r="A61" s="34"/>
      <c r="B61" s="16" t="s">
        <v>45</v>
      </c>
      <c r="C61" s="18" t="s">
        <v>120</v>
      </c>
      <c r="D61" s="16" t="s">
        <v>65</v>
      </c>
      <c r="E61" s="21">
        <v>3</v>
      </c>
      <c r="F61" s="123">
        <v>3</v>
      </c>
      <c r="G61" s="14">
        <v>81.510000000000005</v>
      </c>
      <c r="H61" s="134">
        <f t="shared" si="5"/>
        <v>0.24453000000000003</v>
      </c>
      <c r="I61" s="14">
        <v>0</v>
      </c>
    </row>
    <row r="62" spans="1:9" ht="15.75" hidden="1" customHeight="1">
      <c r="A62" s="34"/>
      <c r="B62" s="16" t="s">
        <v>46</v>
      </c>
      <c r="C62" s="18" t="s">
        <v>123</v>
      </c>
      <c r="D62" s="16" t="s">
        <v>52</v>
      </c>
      <c r="E62" s="122">
        <v>8539</v>
      </c>
      <c r="F62" s="14">
        <f>SUM(E62/100)</f>
        <v>85.39</v>
      </c>
      <c r="G62" s="14">
        <v>226.79</v>
      </c>
      <c r="H62" s="134">
        <f t="shared" si="5"/>
        <v>19.3655981</v>
      </c>
      <c r="I62" s="14">
        <v>0</v>
      </c>
    </row>
    <row r="63" spans="1:9" ht="15.75" hidden="1" customHeight="1">
      <c r="A63" s="34"/>
      <c r="B63" s="16" t="s">
        <v>47</v>
      </c>
      <c r="C63" s="18" t="s">
        <v>124</v>
      </c>
      <c r="D63" s="16"/>
      <c r="E63" s="122">
        <v>8539</v>
      </c>
      <c r="F63" s="14">
        <f>SUM(E63/1000)</f>
        <v>8.5389999999999997</v>
      </c>
      <c r="G63" s="14">
        <v>176.61</v>
      </c>
      <c r="H63" s="134">
        <f t="shared" si="5"/>
        <v>1.5080727900000002</v>
      </c>
      <c r="I63" s="14">
        <v>0</v>
      </c>
    </row>
    <row r="64" spans="1:9" ht="15.75" hidden="1" customHeight="1">
      <c r="A64" s="34"/>
      <c r="B64" s="16" t="s">
        <v>48</v>
      </c>
      <c r="C64" s="18" t="s">
        <v>75</v>
      </c>
      <c r="D64" s="16" t="s">
        <v>52</v>
      </c>
      <c r="E64" s="122">
        <v>1370</v>
      </c>
      <c r="F64" s="14">
        <f>SUM(E64/100)</f>
        <v>13.7</v>
      </c>
      <c r="G64" s="14">
        <v>2217.7800000000002</v>
      </c>
      <c r="H64" s="134">
        <f t="shared" si="5"/>
        <v>30.383586000000005</v>
      </c>
      <c r="I64" s="14">
        <v>0</v>
      </c>
    </row>
    <row r="65" spans="1:9" ht="15.75" hidden="1" customHeight="1">
      <c r="A65" s="34"/>
      <c r="B65" s="135" t="s">
        <v>125</v>
      </c>
      <c r="C65" s="18" t="s">
        <v>31</v>
      </c>
      <c r="D65" s="16"/>
      <c r="E65" s="122">
        <v>9</v>
      </c>
      <c r="F65" s="14">
        <f>SUM(E65)</f>
        <v>9</v>
      </c>
      <c r="G65" s="14">
        <v>42.67</v>
      </c>
      <c r="H65" s="134">
        <f t="shared" si="5"/>
        <v>0.38403000000000004</v>
      </c>
      <c r="I65" s="14">
        <v>0</v>
      </c>
    </row>
    <row r="66" spans="1:9" ht="15.75" hidden="1" customHeight="1">
      <c r="A66" s="34"/>
      <c r="B66" s="135" t="s">
        <v>126</v>
      </c>
      <c r="C66" s="18" t="s">
        <v>31</v>
      </c>
      <c r="D66" s="16"/>
      <c r="E66" s="122">
        <v>9</v>
      </c>
      <c r="F66" s="14">
        <f>SUM(E66)</f>
        <v>9</v>
      </c>
      <c r="G66" s="14">
        <v>39.81</v>
      </c>
      <c r="H66" s="134">
        <f t="shared" si="5"/>
        <v>0.35829</v>
      </c>
      <c r="I66" s="14">
        <v>0</v>
      </c>
    </row>
    <row r="67" spans="1:9" ht="15.75" hidden="1" customHeight="1">
      <c r="A67" s="34"/>
      <c r="B67" s="16" t="s">
        <v>55</v>
      </c>
      <c r="C67" s="18" t="s">
        <v>56</v>
      </c>
      <c r="D67" s="16" t="s">
        <v>52</v>
      </c>
      <c r="E67" s="21">
        <v>3</v>
      </c>
      <c r="F67" s="123">
        <v>3</v>
      </c>
      <c r="G67" s="14">
        <v>53.62</v>
      </c>
      <c r="H67" s="134">
        <f t="shared" si="5"/>
        <v>0.16085999999999998</v>
      </c>
      <c r="I67" s="14">
        <v>0</v>
      </c>
    </row>
    <row r="68" spans="1:9" ht="15.75" hidden="1" customHeight="1">
      <c r="A68" s="34"/>
      <c r="B68" s="36" t="s">
        <v>70</v>
      </c>
      <c r="C68" s="18"/>
      <c r="D68" s="16"/>
      <c r="E68" s="21"/>
      <c r="F68" s="14"/>
      <c r="G68" s="14"/>
      <c r="H68" s="134" t="s">
        <v>131</v>
      </c>
      <c r="I68" s="14"/>
    </row>
    <row r="69" spans="1:9" ht="15.75" hidden="1" customHeight="1">
      <c r="A69" s="34"/>
      <c r="B69" s="16" t="s">
        <v>71</v>
      </c>
      <c r="C69" s="18" t="s">
        <v>73</v>
      </c>
      <c r="D69" s="16"/>
      <c r="E69" s="21">
        <v>2</v>
      </c>
      <c r="F69" s="14">
        <v>0.2</v>
      </c>
      <c r="G69" s="14">
        <v>536.23</v>
      </c>
      <c r="H69" s="134">
        <f t="shared" si="5"/>
        <v>0.10724600000000001</v>
      </c>
      <c r="I69" s="14">
        <v>0</v>
      </c>
    </row>
    <row r="70" spans="1:9" ht="15.75" hidden="1" customHeight="1">
      <c r="A70" s="34"/>
      <c r="B70" s="16" t="s">
        <v>72</v>
      </c>
      <c r="C70" s="18" t="s">
        <v>29</v>
      </c>
      <c r="D70" s="16"/>
      <c r="E70" s="21">
        <v>1</v>
      </c>
      <c r="F70" s="116">
        <v>1</v>
      </c>
      <c r="G70" s="14">
        <v>911.85</v>
      </c>
      <c r="H70" s="134">
        <f>F70*G70/1000</f>
        <v>0.91185000000000005</v>
      </c>
      <c r="I70" s="14">
        <v>0</v>
      </c>
    </row>
    <row r="71" spans="1:9" ht="15.75" hidden="1" customHeight="1">
      <c r="A71" s="34"/>
      <c r="B71" s="16" t="s">
        <v>143</v>
      </c>
      <c r="C71" s="18" t="s">
        <v>29</v>
      </c>
      <c r="D71" s="16"/>
      <c r="E71" s="21">
        <v>1</v>
      </c>
      <c r="F71" s="14">
        <v>1</v>
      </c>
      <c r="G71" s="14">
        <v>383.25</v>
      </c>
      <c r="H71" s="134">
        <f>G71*F71/1000</f>
        <v>0.38324999999999998</v>
      </c>
      <c r="I71" s="14">
        <v>0</v>
      </c>
    </row>
    <row r="72" spans="1:9" ht="15.75" hidden="1" customHeight="1">
      <c r="A72" s="34"/>
      <c r="B72" s="136" t="s">
        <v>74</v>
      </c>
      <c r="C72" s="18"/>
      <c r="D72" s="16"/>
      <c r="E72" s="21"/>
      <c r="F72" s="14"/>
      <c r="G72" s="14" t="s">
        <v>131</v>
      </c>
      <c r="H72" s="134" t="s">
        <v>131</v>
      </c>
      <c r="I72" s="14"/>
    </row>
    <row r="73" spans="1:9" ht="15.75" hidden="1" customHeight="1">
      <c r="A73" s="34"/>
      <c r="B73" s="63" t="s">
        <v>132</v>
      </c>
      <c r="C73" s="18" t="s">
        <v>75</v>
      </c>
      <c r="D73" s="16"/>
      <c r="E73" s="21"/>
      <c r="F73" s="14">
        <v>1.35</v>
      </c>
      <c r="G73" s="14">
        <v>2949.85</v>
      </c>
      <c r="H73" s="134">
        <f t="shared" si="5"/>
        <v>3.9822975</v>
      </c>
      <c r="I73" s="14">
        <v>0</v>
      </c>
    </row>
    <row r="74" spans="1:9" ht="15.75" hidden="1" customHeight="1">
      <c r="A74" s="34"/>
      <c r="B74" s="115" t="s">
        <v>102</v>
      </c>
      <c r="C74" s="137"/>
      <c r="D74" s="36"/>
      <c r="E74" s="37"/>
      <c r="F74" s="126"/>
      <c r="G74" s="126"/>
      <c r="H74" s="138">
        <f>SUM(H58:H73)</f>
        <v>70.673694374000007</v>
      </c>
      <c r="I74" s="126"/>
    </row>
    <row r="75" spans="1:9" ht="15.75" hidden="1" customHeight="1">
      <c r="A75" s="34"/>
      <c r="B75" s="120" t="s">
        <v>127</v>
      </c>
      <c r="C75" s="18"/>
      <c r="D75" s="16"/>
      <c r="E75" s="139"/>
      <c r="F75" s="14">
        <v>1</v>
      </c>
      <c r="G75" s="14">
        <v>7101.4</v>
      </c>
      <c r="H75" s="134">
        <f>G75*F75/1000</f>
        <v>7.1013999999999999</v>
      </c>
      <c r="I75" s="14">
        <v>0</v>
      </c>
    </row>
    <row r="76" spans="1:9" ht="15.75" customHeight="1">
      <c r="A76" s="147" t="s">
        <v>210</v>
      </c>
      <c r="B76" s="148"/>
      <c r="C76" s="148"/>
      <c r="D76" s="148"/>
      <c r="E76" s="148"/>
      <c r="F76" s="148"/>
      <c r="G76" s="148"/>
      <c r="H76" s="148"/>
      <c r="I76" s="149"/>
    </row>
    <row r="77" spans="1:9" ht="15.75" customHeight="1">
      <c r="A77" s="34">
        <v>11</v>
      </c>
      <c r="B77" s="120" t="s">
        <v>128</v>
      </c>
      <c r="C77" s="18" t="s">
        <v>53</v>
      </c>
      <c r="D77" s="140" t="s">
        <v>188</v>
      </c>
      <c r="E77" s="14">
        <v>2054.6</v>
      </c>
      <c r="F77" s="14">
        <f>SUM(E77*12)</f>
        <v>24655.199999999997</v>
      </c>
      <c r="G77" s="14">
        <v>2.2400000000000002</v>
      </c>
      <c r="H77" s="134">
        <f>SUM(F77*G77/1000)</f>
        <v>55.227648000000002</v>
      </c>
      <c r="I77" s="14">
        <f>F77/12*G77</f>
        <v>4602.3040000000001</v>
      </c>
    </row>
    <row r="78" spans="1:9" ht="31.5" customHeight="1">
      <c r="A78" s="34">
        <v>12</v>
      </c>
      <c r="B78" s="16" t="s">
        <v>76</v>
      </c>
      <c r="C78" s="18"/>
      <c r="D78" s="140" t="s">
        <v>188</v>
      </c>
      <c r="E78" s="122">
        <f>E77</f>
        <v>2054.6</v>
      </c>
      <c r="F78" s="14">
        <f>E78*12</f>
        <v>24655.199999999997</v>
      </c>
      <c r="G78" s="14">
        <v>1.74</v>
      </c>
      <c r="H78" s="134">
        <f>F78*G78/1000</f>
        <v>42.900047999999998</v>
      </c>
      <c r="I78" s="14">
        <f>F78/12*G78</f>
        <v>3575.0039999999999</v>
      </c>
    </row>
    <row r="79" spans="1:9" ht="15.75" customHeight="1">
      <c r="A79" s="34"/>
      <c r="B79" s="50" t="s">
        <v>80</v>
      </c>
      <c r="C79" s="137"/>
      <c r="D79" s="136"/>
      <c r="E79" s="126"/>
      <c r="F79" s="126"/>
      <c r="G79" s="126"/>
      <c r="H79" s="138">
        <f>H78</f>
        <v>42.900047999999998</v>
      </c>
      <c r="I79" s="126">
        <f>I16+I17+I18+I20+I21+I27+I28+I31+I32+I34+I77+I78</f>
        <v>29796.648034599999</v>
      </c>
    </row>
    <row r="80" spans="1:9" ht="15.75" customHeight="1">
      <c r="A80" s="34"/>
      <c r="B80" s="75" t="s">
        <v>58</v>
      </c>
      <c r="C80" s="18"/>
      <c r="D80" s="63"/>
      <c r="E80" s="14"/>
      <c r="F80" s="14"/>
      <c r="G80" s="14"/>
      <c r="H80" s="14"/>
      <c r="I80" s="14"/>
    </row>
    <row r="81" spans="1:9" ht="15.75" customHeight="1">
      <c r="A81" s="34">
        <v>13</v>
      </c>
      <c r="B81" s="76" t="s">
        <v>133</v>
      </c>
      <c r="C81" s="77" t="s">
        <v>120</v>
      </c>
      <c r="D81" s="63"/>
      <c r="E81" s="14"/>
      <c r="F81" s="14">
        <v>432</v>
      </c>
      <c r="G81" s="14">
        <v>50.68</v>
      </c>
      <c r="H81" s="14">
        <f>G81*F81/1000</f>
        <v>21.893759999999997</v>
      </c>
      <c r="I81" s="14">
        <f>G81*36</f>
        <v>1824.48</v>
      </c>
    </row>
    <row r="82" spans="1:9" ht="31.5" customHeight="1">
      <c r="A82" s="34">
        <v>14</v>
      </c>
      <c r="B82" s="76" t="s">
        <v>79</v>
      </c>
      <c r="C82" s="18" t="s">
        <v>29</v>
      </c>
      <c r="D82" s="63"/>
      <c r="E82" s="14"/>
      <c r="F82" s="14">
        <v>4</v>
      </c>
      <c r="G82" s="14">
        <v>79.09</v>
      </c>
      <c r="H82" s="14">
        <f t="shared" ref="H82:H85" si="6">G82*F82/1000</f>
        <v>0.31636000000000003</v>
      </c>
      <c r="I82" s="14">
        <f>G82</f>
        <v>79.09</v>
      </c>
    </row>
    <row r="83" spans="1:9" ht="15.75" customHeight="1">
      <c r="A83" s="34">
        <v>15</v>
      </c>
      <c r="B83" s="76" t="s">
        <v>181</v>
      </c>
      <c r="C83" s="77" t="s">
        <v>85</v>
      </c>
      <c r="D83" s="63"/>
      <c r="E83" s="14"/>
      <c r="F83" s="14">
        <v>2</v>
      </c>
      <c r="G83" s="14">
        <v>185.81</v>
      </c>
      <c r="H83" s="134">
        <f t="shared" si="6"/>
        <v>0.37162000000000001</v>
      </c>
      <c r="I83" s="14">
        <f t="shared" ref="I83:I85" si="7">G83</f>
        <v>185.81</v>
      </c>
    </row>
    <row r="84" spans="1:9" ht="31.5" customHeight="1">
      <c r="A84" s="34">
        <v>16</v>
      </c>
      <c r="B84" s="76" t="s">
        <v>83</v>
      </c>
      <c r="C84" s="77" t="s">
        <v>37</v>
      </c>
      <c r="D84" s="63"/>
      <c r="E84" s="14"/>
      <c r="F84" s="14">
        <v>0.02</v>
      </c>
      <c r="G84" s="14">
        <v>3397.65</v>
      </c>
      <c r="H84" s="134">
        <f t="shared" si="6"/>
        <v>6.7953E-2</v>
      </c>
      <c r="I84" s="14">
        <f>G84*0.01</f>
        <v>33.976500000000001</v>
      </c>
    </row>
    <row r="85" spans="1:9" ht="15.75" customHeight="1">
      <c r="A85" s="34">
        <v>17</v>
      </c>
      <c r="B85" s="94" t="s">
        <v>87</v>
      </c>
      <c r="C85" s="77" t="s">
        <v>120</v>
      </c>
      <c r="D85" s="63"/>
      <c r="E85" s="14"/>
      <c r="F85" s="14">
        <v>1</v>
      </c>
      <c r="G85" s="14">
        <v>179.96</v>
      </c>
      <c r="H85" s="134">
        <f t="shared" si="6"/>
        <v>0.17996000000000001</v>
      </c>
      <c r="I85" s="14">
        <f t="shared" si="7"/>
        <v>179.96</v>
      </c>
    </row>
    <row r="86" spans="1:9" ht="15.75" customHeight="1">
      <c r="A86" s="34"/>
      <c r="B86" s="57" t="s">
        <v>49</v>
      </c>
      <c r="C86" s="53"/>
      <c r="D86" s="66"/>
      <c r="E86" s="53">
        <v>1</v>
      </c>
      <c r="F86" s="53"/>
      <c r="G86" s="53"/>
      <c r="H86" s="53"/>
      <c r="I86" s="37">
        <f>SUM(I81:I85)</f>
        <v>2303.3165000000004</v>
      </c>
    </row>
    <row r="87" spans="1:9" ht="15.75" customHeight="1">
      <c r="A87" s="34"/>
      <c r="B87" s="63" t="s">
        <v>77</v>
      </c>
      <c r="C87" s="17"/>
      <c r="D87" s="17"/>
      <c r="E87" s="54"/>
      <c r="F87" s="54"/>
      <c r="G87" s="55"/>
      <c r="H87" s="55"/>
      <c r="I87" s="20">
        <v>0</v>
      </c>
    </row>
    <row r="88" spans="1:9" ht="15.75" customHeight="1">
      <c r="A88" s="67"/>
      <c r="B88" s="58" t="s">
        <v>50</v>
      </c>
      <c r="C88" s="43"/>
      <c r="D88" s="43"/>
      <c r="E88" s="43"/>
      <c r="F88" s="43"/>
      <c r="G88" s="43"/>
      <c r="H88" s="43"/>
      <c r="I88" s="56">
        <f>I79+I86</f>
        <v>32099.9645346</v>
      </c>
    </row>
    <row r="89" spans="1:9" ht="15.75">
      <c r="A89" s="160" t="s">
        <v>215</v>
      </c>
      <c r="B89" s="160"/>
      <c r="C89" s="160"/>
      <c r="D89" s="160"/>
      <c r="E89" s="160"/>
      <c r="F89" s="160"/>
      <c r="G89" s="160"/>
      <c r="H89" s="160"/>
      <c r="I89" s="160"/>
    </row>
    <row r="90" spans="1:9" ht="15.75">
      <c r="A90" s="102"/>
      <c r="B90" s="155" t="s">
        <v>216</v>
      </c>
      <c r="C90" s="155"/>
      <c r="D90" s="155"/>
      <c r="E90" s="155"/>
      <c r="F90" s="155"/>
      <c r="G90" s="155"/>
      <c r="H90" s="119"/>
      <c r="I90" s="3"/>
    </row>
    <row r="91" spans="1:9">
      <c r="A91" s="106"/>
      <c r="B91" s="151" t="s">
        <v>6</v>
      </c>
      <c r="C91" s="151"/>
      <c r="D91" s="151"/>
      <c r="E91" s="151"/>
      <c r="F91" s="151"/>
      <c r="G91" s="151"/>
      <c r="H91" s="29"/>
      <c r="I91" s="5"/>
    </row>
    <row r="92" spans="1:9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>
      <c r="A93" s="156" t="s">
        <v>7</v>
      </c>
      <c r="B93" s="156"/>
      <c r="C93" s="156"/>
      <c r="D93" s="156"/>
      <c r="E93" s="156"/>
      <c r="F93" s="156"/>
      <c r="G93" s="156"/>
      <c r="H93" s="156"/>
      <c r="I93" s="156"/>
    </row>
    <row r="94" spans="1:9" ht="15.75">
      <c r="A94" s="156" t="s">
        <v>8</v>
      </c>
      <c r="B94" s="156"/>
      <c r="C94" s="156"/>
      <c r="D94" s="156"/>
      <c r="E94" s="156"/>
      <c r="F94" s="156"/>
      <c r="G94" s="156"/>
      <c r="H94" s="156"/>
      <c r="I94" s="156"/>
    </row>
    <row r="95" spans="1:9" ht="15.75">
      <c r="A95" s="157" t="s">
        <v>59</v>
      </c>
      <c r="B95" s="157"/>
      <c r="C95" s="157"/>
      <c r="D95" s="157"/>
      <c r="E95" s="157"/>
      <c r="F95" s="157"/>
      <c r="G95" s="157"/>
      <c r="H95" s="157"/>
      <c r="I95" s="157"/>
    </row>
    <row r="96" spans="1:9" ht="15.75">
      <c r="A96" s="11"/>
    </row>
    <row r="97" spans="1:9" ht="15.75">
      <c r="A97" s="158" t="s">
        <v>9</v>
      </c>
      <c r="B97" s="158"/>
      <c r="C97" s="158"/>
      <c r="D97" s="158"/>
      <c r="E97" s="158"/>
      <c r="F97" s="158"/>
      <c r="G97" s="158"/>
      <c r="H97" s="158"/>
      <c r="I97" s="158"/>
    </row>
    <row r="98" spans="1:9" ht="15.75">
      <c r="A98" s="4"/>
    </row>
    <row r="99" spans="1:9" ht="15.75">
      <c r="B99" s="107" t="s">
        <v>10</v>
      </c>
      <c r="C99" s="150" t="s">
        <v>162</v>
      </c>
      <c r="D99" s="150"/>
      <c r="E99" s="150"/>
      <c r="F99" s="117"/>
      <c r="I99" s="105"/>
    </row>
    <row r="100" spans="1:9">
      <c r="A100" s="106"/>
      <c r="C100" s="151" t="s">
        <v>11</v>
      </c>
      <c r="D100" s="151"/>
      <c r="E100" s="151"/>
      <c r="F100" s="29"/>
      <c r="I100" s="104" t="s">
        <v>12</v>
      </c>
    </row>
    <row r="101" spans="1:9" ht="15.75">
      <c r="A101" s="30"/>
      <c r="C101" s="12"/>
      <c r="D101" s="12"/>
      <c r="G101" s="12"/>
      <c r="H101" s="12"/>
    </row>
    <row r="102" spans="1:9" ht="15.75">
      <c r="B102" s="107" t="s">
        <v>13</v>
      </c>
      <c r="C102" s="152"/>
      <c r="D102" s="152"/>
      <c r="E102" s="152"/>
      <c r="F102" s="118"/>
      <c r="I102" s="105"/>
    </row>
    <row r="103" spans="1:9">
      <c r="A103" s="106"/>
      <c r="C103" s="153" t="s">
        <v>11</v>
      </c>
      <c r="D103" s="153"/>
      <c r="E103" s="153"/>
      <c r="F103" s="106"/>
      <c r="I103" s="104" t="s">
        <v>12</v>
      </c>
    </row>
    <row r="104" spans="1:9" ht="15.75">
      <c r="A104" s="4" t="s">
        <v>14</v>
      </c>
    </row>
    <row r="105" spans="1:9">
      <c r="A105" s="154" t="s">
        <v>15</v>
      </c>
      <c r="B105" s="154"/>
      <c r="C105" s="154"/>
      <c r="D105" s="154"/>
      <c r="E105" s="154"/>
      <c r="F105" s="154"/>
      <c r="G105" s="154"/>
      <c r="H105" s="154"/>
      <c r="I105" s="154"/>
    </row>
    <row r="106" spans="1:9" ht="45" customHeight="1">
      <c r="A106" s="146" t="s">
        <v>16</v>
      </c>
      <c r="B106" s="146"/>
      <c r="C106" s="146"/>
      <c r="D106" s="146"/>
      <c r="E106" s="146"/>
      <c r="F106" s="146"/>
      <c r="G106" s="146"/>
      <c r="H106" s="146"/>
      <c r="I106" s="146"/>
    </row>
    <row r="107" spans="1:9" ht="30" customHeight="1">
      <c r="A107" s="146" t="s">
        <v>17</v>
      </c>
      <c r="B107" s="146"/>
      <c r="C107" s="146"/>
      <c r="D107" s="146"/>
      <c r="E107" s="146"/>
      <c r="F107" s="146"/>
      <c r="G107" s="146"/>
      <c r="H107" s="146"/>
      <c r="I107" s="146"/>
    </row>
    <row r="108" spans="1:9" ht="30" customHeight="1">
      <c r="A108" s="146" t="s">
        <v>21</v>
      </c>
      <c r="B108" s="146"/>
      <c r="C108" s="146"/>
      <c r="D108" s="146"/>
      <c r="E108" s="146"/>
      <c r="F108" s="146"/>
      <c r="G108" s="146"/>
      <c r="H108" s="146"/>
      <c r="I108" s="146"/>
    </row>
    <row r="109" spans="1:9" ht="15" customHeight="1">
      <c r="A109" s="146" t="s">
        <v>20</v>
      </c>
      <c r="B109" s="146"/>
      <c r="C109" s="146"/>
      <c r="D109" s="146"/>
      <c r="E109" s="146"/>
      <c r="F109" s="146"/>
      <c r="G109" s="146"/>
      <c r="H109" s="146"/>
      <c r="I109" s="146"/>
    </row>
  </sheetData>
  <mergeCells count="27">
    <mergeCell ref="A107:I107"/>
    <mergeCell ref="A108:I108"/>
    <mergeCell ref="A109:I109"/>
    <mergeCell ref="C99:E99"/>
    <mergeCell ref="C100:E100"/>
    <mergeCell ref="C102:E102"/>
    <mergeCell ref="C103:E103"/>
    <mergeCell ref="A105:I105"/>
    <mergeCell ref="A106:I106"/>
    <mergeCell ref="B90:G90"/>
    <mergeCell ref="B91:G91"/>
    <mergeCell ref="A93:I93"/>
    <mergeCell ref="A94:I94"/>
    <mergeCell ref="A95:I95"/>
    <mergeCell ref="A97:I97"/>
    <mergeCell ref="A15:I15"/>
    <mergeCell ref="A29:I29"/>
    <mergeCell ref="A45:I45"/>
    <mergeCell ref="A56:I56"/>
    <mergeCell ref="A76:I76"/>
    <mergeCell ref="A89:I89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0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2" t="s">
        <v>90</v>
      </c>
      <c r="I1" s="31"/>
    </row>
    <row r="2" spans="1:9" ht="15.75">
      <c r="A2" s="33" t="s">
        <v>60</v>
      </c>
    </row>
    <row r="3" spans="1:9" ht="15.75">
      <c r="A3" s="161" t="s">
        <v>217</v>
      </c>
      <c r="B3" s="161"/>
      <c r="C3" s="161"/>
      <c r="D3" s="161"/>
      <c r="E3" s="161"/>
      <c r="F3" s="161"/>
      <c r="G3" s="161"/>
      <c r="H3" s="161"/>
      <c r="I3" s="161"/>
    </row>
    <row r="4" spans="1:9" ht="31.5" customHeight="1">
      <c r="A4" s="162" t="s">
        <v>152</v>
      </c>
      <c r="B4" s="162"/>
      <c r="C4" s="162"/>
      <c r="D4" s="162"/>
      <c r="E4" s="162"/>
      <c r="F4" s="162"/>
      <c r="G4" s="162"/>
      <c r="H4" s="162"/>
      <c r="I4" s="162"/>
    </row>
    <row r="5" spans="1:9" ht="15.75">
      <c r="A5" s="161" t="s">
        <v>218</v>
      </c>
      <c r="B5" s="163"/>
      <c r="C5" s="163"/>
      <c r="D5" s="163"/>
      <c r="E5" s="163"/>
      <c r="F5" s="163"/>
      <c r="G5" s="163"/>
      <c r="H5" s="163"/>
      <c r="I5" s="163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5">
        <v>42613</v>
      </c>
    </row>
    <row r="7" spans="1:9" ht="15.75">
      <c r="B7" s="107"/>
      <c r="C7" s="107"/>
      <c r="D7" s="107"/>
      <c r="E7" s="3"/>
      <c r="F7" s="3"/>
      <c r="G7" s="3"/>
      <c r="H7" s="3"/>
    </row>
    <row r="8" spans="1:9" ht="78.75" customHeight="1">
      <c r="A8" s="164" t="s">
        <v>157</v>
      </c>
      <c r="B8" s="164"/>
      <c r="C8" s="164"/>
      <c r="D8" s="164"/>
      <c r="E8" s="164"/>
      <c r="F8" s="164"/>
      <c r="G8" s="164"/>
      <c r="H8" s="164"/>
      <c r="I8" s="164"/>
    </row>
    <row r="9" spans="1:9" ht="15.75">
      <c r="A9" s="4"/>
    </row>
    <row r="10" spans="1:9" ht="47.25" customHeight="1">
      <c r="A10" s="165" t="s">
        <v>158</v>
      </c>
      <c r="B10" s="165"/>
      <c r="C10" s="165"/>
      <c r="D10" s="165"/>
      <c r="E10" s="165"/>
      <c r="F10" s="165"/>
      <c r="G10" s="165"/>
      <c r="H10" s="165"/>
      <c r="I10" s="165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6" t="s">
        <v>57</v>
      </c>
      <c r="B14" s="166"/>
      <c r="C14" s="166"/>
      <c r="D14" s="166"/>
      <c r="E14" s="166"/>
      <c r="F14" s="166"/>
      <c r="G14" s="166"/>
      <c r="H14" s="166"/>
      <c r="I14" s="166"/>
    </row>
    <row r="15" spans="1:9">
      <c r="A15" s="159" t="s">
        <v>4</v>
      </c>
      <c r="B15" s="159"/>
      <c r="C15" s="159"/>
      <c r="D15" s="159"/>
      <c r="E15" s="159"/>
      <c r="F15" s="159"/>
      <c r="G15" s="159"/>
      <c r="H15" s="159"/>
      <c r="I15" s="159"/>
    </row>
    <row r="16" spans="1:9" ht="31.5" customHeight="1">
      <c r="A16" s="34">
        <v>1</v>
      </c>
      <c r="B16" s="120" t="s">
        <v>93</v>
      </c>
      <c r="C16" s="121" t="s">
        <v>94</v>
      </c>
      <c r="D16" s="120" t="s">
        <v>95</v>
      </c>
      <c r="E16" s="122">
        <v>55</v>
      </c>
      <c r="F16" s="123">
        <f>SUM(E16*156/100)</f>
        <v>85.8</v>
      </c>
      <c r="G16" s="123">
        <v>187.48</v>
      </c>
      <c r="H16" s="124">
        <f t="shared" ref="H16:H26" si="0">SUM(F16*G16/1000)</f>
        <v>16.085783999999997</v>
      </c>
      <c r="I16" s="14">
        <f>F16/12*G16</f>
        <v>1340.4819999999997</v>
      </c>
    </row>
    <row r="17" spans="1:9" ht="31.5" customHeight="1">
      <c r="A17" s="34">
        <v>2</v>
      </c>
      <c r="B17" s="120" t="s">
        <v>134</v>
      </c>
      <c r="C17" s="121" t="s">
        <v>94</v>
      </c>
      <c r="D17" s="120" t="s">
        <v>96</v>
      </c>
      <c r="E17" s="122">
        <v>165</v>
      </c>
      <c r="F17" s="123">
        <f>SUM(E17*104/100)</f>
        <v>171.6</v>
      </c>
      <c r="G17" s="123">
        <v>187.48</v>
      </c>
      <c r="H17" s="124">
        <f t="shared" si="0"/>
        <v>32.171567999999994</v>
      </c>
      <c r="I17" s="14">
        <f>F17/12*G17</f>
        <v>2680.9639999999995</v>
      </c>
    </row>
    <row r="18" spans="1:9" ht="31.5" customHeight="1">
      <c r="A18" s="34">
        <v>3</v>
      </c>
      <c r="B18" s="120" t="s">
        <v>135</v>
      </c>
      <c r="C18" s="121" t="s">
        <v>94</v>
      </c>
      <c r="D18" s="120" t="s">
        <v>136</v>
      </c>
      <c r="E18" s="122">
        <f>SUM(E16+E17)</f>
        <v>220</v>
      </c>
      <c r="F18" s="123">
        <f>SUM(E18*24/100)</f>
        <v>52.8</v>
      </c>
      <c r="G18" s="123">
        <v>539.30999999999995</v>
      </c>
      <c r="H18" s="124">
        <f t="shared" si="0"/>
        <v>28.475567999999996</v>
      </c>
      <c r="I18" s="14">
        <f>F18/12*G18</f>
        <v>2372.9639999999995</v>
      </c>
    </row>
    <row r="19" spans="1:9" ht="15.75" hidden="1" customHeight="1">
      <c r="A19" s="34">
        <v>4</v>
      </c>
      <c r="B19" s="120" t="s">
        <v>103</v>
      </c>
      <c r="C19" s="121" t="s">
        <v>104</v>
      </c>
      <c r="D19" s="120" t="s">
        <v>105</v>
      </c>
      <c r="E19" s="122">
        <v>32.4</v>
      </c>
      <c r="F19" s="123">
        <f>SUM(E19/10)</f>
        <v>3.2399999999999998</v>
      </c>
      <c r="G19" s="123">
        <v>181.91</v>
      </c>
      <c r="H19" s="124">
        <f t="shared" si="0"/>
        <v>0.58938839999999992</v>
      </c>
      <c r="I19" s="14">
        <v>0</v>
      </c>
    </row>
    <row r="20" spans="1:9" ht="15.75" customHeight="1">
      <c r="A20" s="34">
        <v>4</v>
      </c>
      <c r="B20" s="120" t="s">
        <v>106</v>
      </c>
      <c r="C20" s="121" t="s">
        <v>94</v>
      </c>
      <c r="D20" s="120" t="s">
        <v>137</v>
      </c>
      <c r="E20" s="122">
        <v>12.24</v>
      </c>
      <c r="F20" s="123">
        <f>SUM(E20*12/100)</f>
        <v>1.4687999999999999</v>
      </c>
      <c r="G20" s="123">
        <v>232.92</v>
      </c>
      <c r="H20" s="124">
        <f t="shared" si="0"/>
        <v>0.342112896</v>
      </c>
      <c r="I20" s="14">
        <f>F20/12*G20</f>
        <v>28.509407999999997</v>
      </c>
    </row>
    <row r="21" spans="1:9" ht="15.75" hidden="1" customHeight="1">
      <c r="A21" s="34">
        <v>5</v>
      </c>
      <c r="B21" s="120" t="s">
        <v>107</v>
      </c>
      <c r="C21" s="121" t="s">
        <v>94</v>
      </c>
      <c r="D21" s="120" t="s">
        <v>138</v>
      </c>
      <c r="E21" s="122">
        <v>10.08</v>
      </c>
      <c r="F21" s="123">
        <f>SUM(E21*6/100)</f>
        <v>0.6048</v>
      </c>
      <c r="G21" s="123">
        <v>231.03</v>
      </c>
      <c r="H21" s="124">
        <f t="shared" si="0"/>
        <v>0.13972694399999999</v>
      </c>
      <c r="I21" s="14">
        <f>F21/6*G21</f>
        <v>23.287824000000001</v>
      </c>
    </row>
    <row r="22" spans="1:9" ht="15.75" hidden="1" customHeight="1">
      <c r="A22" s="34">
        <v>7</v>
      </c>
      <c r="B22" s="120" t="s">
        <v>108</v>
      </c>
      <c r="C22" s="121" t="s">
        <v>51</v>
      </c>
      <c r="D22" s="120" t="s">
        <v>105</v>
      </c>
      <c r="E22" s="122">
        <v>293.76</v>
      </c>
      <c r="F22" s="123">
        <f>SUM(E22/100)</f>
        <v>2.9375999999999998</v>
      </c>
      <c r="G22" s="123">
        <v>287.83999999999997</v>
      </c>
      <c r="H22" s="124">
        <f t="shared" si="0"/>
        <v>0.84555878399999984</v>
      </c>
      <c r="I22" s="14">
        <v>0</v>
      </c>
    </row>
    <row r="23" spans="1:9" ht="15.75" hidden="1" customHeight="1">
      <c r="A23" s="34">
        <v>8</v>
      </c>
      <c r="B23" s="120" t="s">
        <v>109</v>
      </c>
      <c r="C23" s="121" t="s">
        <v>51</v>
      </c>
      <c r="D23" s="120" t="s">
        <v>105</v>
      </c>
      <c r="E23" s="125">
        <v>17.64</v>
      </c>
      <c r="F23" s="123">
        <f>SUM(E23/100)</f>
        <v>0.1764</v>
      </c>
      <c r="G23" s="123">
        <v>47.34</v>
      </c>
      <c r="H23" s="124">
        <f t="shared" si="0"/>
        <v>8.3507760000000007E-3</v>
      </c>
      <c r="I23" s="14">
        <v>0</v>
      </c>
    </row>
    <row r="24" spans="1:9" ht="15.75" hidden="1" customHeight="1">
      <c r="A24" s="34">
        <v>9</v>
      </c>
      <c r="B24" s="120" t="s">
        <v>110</v>
      </c>
      <c r="C24" s="121" t="s">
        <v>51</v>
      </c>
      <c r="D24" s="120" t="s">
        <v>111</v>
      </c>
      <c r="E24" s="122">
        <v>10.8</v>
      </c>
      <c r="F24" s="123">
        <f>E24/100</f>
        <v>0.10800000000000001</v>
      </c>
      <c r="G24" s="123">
        <v>416.62</v>
      </c>
      <c r="H24" s="124">
        <f t="shared" si="0"/>
        <v>4.4994960000000007E-2</v>
      </c>
      <c r="I24" s="14">
        <v>0</v>
      </c>
    </row>
    <row r="25" spans="1:9" ht="15.75" hidden="1" customHeight="1">
      <c r="A25" s="34">
        <v>10</v>
      </c>
      <c r="B25" s="120" t="s">
        <v>112</v>
      </c>
      <c r="C25" s="121" t="s">
        <v>51</v>
      </c>
      <c r="D25" s="120" t="s">
        <v>52</v>
      </c>
      <c r="E25" s="122">
        <v>12.6</v>
      </c>
      <c r="F25" s="123">
        <f>E25/100</f>
        <v>0.126</v>
      </c>
      <c r="G25" s="123">
        <v>231.03</v>
      </c>
      <c r="H25" s="124">
        <f>G25*F25/1000</f>
        <v>2.9109780000000002E-2</v>
      </c>
      <c r="I25" s="14">
        <v>0</v>
      </c>
    </row>
    <row r="26" spans="1:9" ht="15.75" hidden="1" customHeight="1">
      <c r="A26" s="34">
        <v>11</v>
      </c>
      <c r="B26" s="120" t="s">
        <v>113</v>
      </c>
      <c r="C26" s="121" t="s">
        <v>51</v>
      </c>
      <c r="D26" s="120" t="s">
        <v>105</v>
      </c>
      <c r="E26" s="122">
        <v>14.4</v>
      </c>
      <c r="F26" s="123">
        <f>SUM(E26/100)</f>
        <v>0.14400000000000002</v>
      </c>
      <c r="G26" s="123">
        <v>556.74</v>
      </c>
      <c r="H26" s="124">
        <f t="shared" si="0"/>
        <v>8.0170560000000016E-2</v>
      </c>
      <c r="I26" s="14">
        <v>0</v>
      </c>
    </row>
    <row r="27" spans="1:9" ht="15.75" customHeight="1">
      <c r="A27" s="34">
        <v>5</v>
      </c>
      <c r="B27" s="120" t="s">
        <v>62</v>
      </c>
      <c r="C27" s="121" t="s">
        <v>31</v>
      </c>
      <c r="D27" s="120" t="s">
        <v>130</v>
      </c>
      <c r="E27" s="122">
        <v>0.1</v>
      </c>
      <c r="F27" s="123">
        <f>SUM(E27*365)</f>
        <v>36.5</v>
      </c>
      <c r="G27" s="123">
        <v>157.18</v>
      </c>
      <c r="H27" s="124">
        <f>SUM(F27*G27/1000)</f>
        <v>5.737070000000001</v>
      </c>
      <c r="I27" s="14">
        <f>F27/12*G27</f>
        <v>478.08916666666664</v>
      </c>
    </row>
    <row r="28" spans="1:9" ht="15.75" customHeight="1">
      <c r="A28" s="34">
        <v>6</v>
      </c>
      <c r="B28" s="128" t="s">
        <v>23</v>
      </c>
      <c r="C28" s="121" t="s">
        <v>24</v>
      </c>
      <c r="D28" s="128" t="s">
        <v>131</v>
      </c>
      <c r="E28" s="122">
        <v>2054.6</v>
      </c>
      <c r="F28" s="123">
        <f>SUM(E28*12)</f>
        <v>24655.199999999997</v>
      </c>
      <c r="G28" s="123">
        <v>6.15</v>
      </c>
      <c r="H28" s="124">
        <f>SUM(F28*G28/1000)</f>
        <v>151.62947999999997</v>
      </c>
      <c r="I28" s="14">
        <f>F28/12*G28</f>
        <v>12635.79</v>
      </c>
    </row>
    <row r="29" spans="1:9" ht="15.75" customHeight="1">
      <c r="A29" s="147" t="s">
        <v>88</v>
      </c>
      <c r="B29" s="148"/>
      <c r="C29" s="148"/>
      <c r="D29" s="148"/>
      <c r="E29" s="148"/>
      <c r="F29" s="148"/>
      <c r="G29" s="148"/>
      <c r="H29" s="148"/>
      <c r="I29" s="149"/>
    </row>
    <row r="30" spans="1:9" ht="15.75" customHeight="1">
      <c r="A30" s="34"/>
      <c r="B30" s="144" t="s">
        <v>27</v>
      </c>
      <c r="C30" s="121"/>
      <c r="D30" s="120"/>
      <c r="E30" s="122"/>
      <c r="F30" s="123"/>
      <c r="G30" s="123"/>
      <c r="H30" s="124"/>
      <c r="I30" s="14"/>
    </row>
    <row r="31" spans="1:9" ht="31.5" customHeight="1">
      <c r="A31" s="34">
        <v>7</v>
      </c>
      <c r="B31" s="120" t="s">
        <v>118</v>
      </c>
      <c r="C31" s="121" t="s">
        <v>99</v>
      </c>
      <c r="D31" s="120" t="s">
        <v>114</v>
      </c>
      <c r="E31" s="123">
        <v>600.63</v>
      </c>
      <c r="F31" s="123">
        <f>SUM(E31*52/1000)</f>
        <v>31.232759999999999</v>
      </c>
      <c r="G31" s="123">
        <v>166.65</v>
      </c>
      <c r="H31" s="124">
        <f t="shared" ref="H31:H36" si="1">SUM(F31*G31/1000)</f>
        <v>5.2049394540000007</v>
      </c>
      <c r="I31" s="14">
        <f>F31/6*G31</f>
        <v>867.4899089999999</v>
      </c>
    </row>
    <row r="32" spans="1:9" ht="31.5" customHeight="1">
      <c r="A32" s="34">
        <v>8</v>
      </c>
      <c r="B32" s="120" t="s">
        <v>117</v>
      </c>
      <c r="C32" s="121" t="s">
        <v>99</v>
      </c>
      <c r="D32" s="120" t="s">
        <v>115</v>
      </c>
      <c r="E32" s="123">
        <v>186.39</v>
      </c>
      <c r="F32" s="123">
        <f>SUM(E32*78/1000)</f>
        <v>14.538419999999999</v>
      </c>
      <c r="G32" s="123">
        <v>276.48</v>
      </c>
      <c r="H32" s="124">
        <f t="shared" si="1"/>
        <v>4.0195823615999995</v>
      </c>
      <c r="I32" s="14">
        <f t="shared" ref="I32:I34" si="2">F32/6*G32</f>
        <v>669.93039359999989</v>
      </c>
    </row>
    <row r="33" spans="1:9" ht="15.75" hidden="1" customHeight="1">
      <c r="A33" s="34">
        <v>16</v>
      </c>
      <c r="B33" s="120" t="s">
        <v>26</v>
      </c>
      <c r="C33" s="121" t="s">
        <v>99</v>
      </c>
      <c r="D33" s="120" t="s">
        <v>52</v>
      </c>
      <c r="E33" s="123">
        <v>600.63</v>
      </c>
      <c r="F33" s="123">
        <f>SUM(E33/1000)</f>
        <v>0.60063</v>
      </c>
      <c r="G33" s="123">
        <v>3228.73</v>
      </c>
      <c r="H33" s="124">
        <f t="shared" si="1"/>
        <v>1.9392720999000002</v>
      </c>
      <c r="I33" s="14">
        <f>F33*G33</f>
        <v>1939.2720999000001</v>
      </c>
    </row>
    <row r="34" spans="1:9" ht="15.75" customHeight="1">
      <c r="A34" s="34">
        <v>9</v>
      </c>
      <c r="B34" s="120" t="s">
        <v>116</v>
      </c>
      <c r="C34" s="121" t="s">
        <v>29</v>
      </c>
      <c r="D34" s="120" t="s">
        <v>61</v>
      </c>
      <c r="E34" s="127">
        <v>0.33333333333333331</v>
      </c>
      <c r="F34" s="123">
        <f>155/3</f>
        <v>51.666666666666664</v>
      </c>
      <c r="G34" s="123">
        <v>60.6</v>
      </c>
      <c r="H34" s="124">
        <f>SUM(G34*155/3/1000)</f>
        <v>3.1309999999999998</v>
      </c>
      <c r="I34" s="14">
        <f t="shared" si="2"/>
        <v>521.83333333333337</v>
      </c>
    </row>
    <row r="35" spans="1:9" ht="15.75" hidden="1" customHeight="1">
      <c r="A35" s="34"/>
      <c r="B35" s="120" t="s">
        <v>63</v>
      </c>
      <c r="C35" s="121" t="s">
        <v>31</v>
      </c>
      <c r="D35" s="120" t="s">
        <v>65</v>
      </c>
      <c r="E35" s="122"/>
      <c r="F35" s="123">
        <v>2</v>
      </c>
      <c r="G35" s="123">
        <v>204.52</v>
      </c>
      <c r="H35" s="124">
        <f t="shared" si="1"/>
        <v>0.40904000000000001</v>
      </c>
      <c r="I35" s="14">
        <v>0</v>
      </c>
    </row>
    <row r="36" spans="1:9" ht="15.75" hidden="1" customHeight="1">
      <c r="A36" s="34"/>
      <c r="B36" s="120" t="s">
        <v>64</v>
      </c>
      <c r="C36" s="121" t="s">
        <v>30</v>
      </c>
      <c r="D36" s="120" t="s">
        <v>65</v>
      </c>
      <c r="E36" s="122"/>
      <c r="F36" s="123">
        <v>1</v>
      </c>
      <c r="G36" s="123">
        <v>1214.74</v>
      </c>
      <c r="H36" s="124">
        <f t="shared" si="1"/>
        <v>1.2147399999999999</v>
      </c>
      <c r="I36" s="14">
        <v>0</v>
      </c>
    </row>
    <row r="37" spans="1:9" ht="15.75" hidden="1" customHeight="1">
      <c r="A37" s="34"/>
      <c r="B37" s="144" t="s">
        <v>5</v>
      </c>
      <c r="C37" s="121"/>
      <c r="D37" s="120"/>
      <c r="E37" s="122"/>
      <c r="F37" s="123"/>
      <c r="G37" s="123"/>
      <c r="H37" s="124" t="s">
        <v>131</v>
      </c>
      <c r="I37" s="14"/>
    </row>
    <row r="38" spans="1:9" ht="15.75" hidden="1" customHeight="1">
      <c r="A38" s="34">
        <v>8</v>
      </c>
      <c r="B38" s="120" t="s">
        <v>25</v>
      </c>
      <c r="C38" s="121" t="s">
        <v>30</v>
      </c>
      <c r="D38" s="120"/>
      <c r="E38" s="122"/>
      <c r="F38" s="123">
        <v>5</v>
      </c>
      <c r="G38" s="123">
        <v>1632.6</v>
      </c>
      <c r="H38" s="124">
        <f t="shared" ref="H38:H44" si="3">SUM(F38*G38/1000)</f>
        <v>8.1630000000000003</v>
      </c>
      <c r="I38" s="14">
        <f>F38/6*G38</f>
        <v>1360.5</v>
      </c>
    </row>
    <row r="39" spans="1:9" ht="15.75" hidden="1" customHeight="1">
      <c r="A39" s="34">
        <v>9</v>
      </c>
      <c r="B39" s="120" t="s">
        <v>139</v>
      </c>
      <c r="C39" s="121" t="s">
        <v>28</v>
      </c>
      <c r="D39" s="120" t="s">
        <v>97</v>
      </c>
      <c r="E39" s="122">
        <v>186.39</v>
      </c>
      <c r="F39" s="123">
        <f>E39*30/1000</f>
        <v>5.5916999999999994</v>
      </c>
      <c r="G39" s="123">
        <v>2247.8000000000002</v>
      </c>
      <c r="H39" s="124">
        <f>G39*F39/1000</f>
        <v>12.56902326</v>
      </c>
      <c r="I39" s="14">
        <f>F39/6*G39</f>
        <v>2094.8372100000001</v>
      </c>
    </row>
    <row r="40" spans="1:9" ht="15.75" hidden="1" customHeight="1">
      <c r="A40" s="34"/>
      <c r="B40" s="120" t="s">
        <v>164</v>
      </c>
      <c r="C40" s="121" t="s">
        <v>165</v>
      </c>
      <c r="D40" s="120" t="s">
        <v>65</v>
      </c>
      <c r="E40" s="122"/>
      <c r="F40" s="123">
        <v>72.3</v>
      </c>
      <c r="G40" s="123">
        <v>199.44</v>
      </c>
      <c r="H40" s="124">
        <f>G40*F40/1000</f>
        <v>14.419511999999999</v>
      </c>
      <c r="I40" s="14">
        <v>0</v>
      </c>
    </row>
    <row r="41" spans="1:9" ht="15.75" hidden="1" customHeight="1">
      <c r="A41" s="34">
        <v>10</v>
      </c>
      <c r="B41" s="120" t="s">
        <v>66</v>
      </c>
      <c r="C41" s="121" t="s">
        <v>28</v>
      </c>
      <c r="D41" s="120" t="s">
        <v>98</v>
      </c>
      <c r="E41" s="123">
        <v>186.39</v>
      </c>
      <c r="F41" s="123">
        <f>SUM(E41*155/1000)</f>
        <v>28.890449999999998</v>
      </c>
      <c r="G41" s="123">
        <v>374.95</v>
      </c>
      <c r="H41" s="124">
        <f t="shared" si="3"/>
        <v>10.832474227499999</v>
      </c>
      <c r="I41" s="14">
        <f>F41/6*G41</f>
        <v>1805.4123712499998</v>
      </c>
    </row>
    <row r="42" spans="1:9" ht="47.25" hidden="1" customHeight="1">
      <c r="A42" s="34">
        <v>11</v>
      </c>
      <c r="B42" s="120" t="s">
        <v>84</v>
      </c>
      <c r="C42" s="121" t="s">
        <v>99</v>
      </c>
      <c r="D42" s="120" t="s">
        <v>140</v>
      </c>
      <c r="E42" s="123">
        <v>52.2</v>
      </c>
      <c r="F42" s="123">
        <f>SUM(E42*35/1000)</f>
        <v>1.827</v>
      </c>
      <c r="G42" s="123">
        <v>6203.7</v>
      </c>
      <c r="H42" s="124">
        <f t="shared" si="3"/>
        <v>11.3341599</v>
      </c>
      <c r="I42" s="14">
        <f>F42/6*G42</f>
        <v>1889.0266499999998</v>
      </c>
    </row>
    <row r="43" spans="1:9" ht="15.75" hidden="1" customHeight="1">
      <c r="A43" s="34">
        <v>12</v>
      </c>
      <c r="B43" s="120" t="s">
        <v>141</v>
      </c>
      <c r="C43" s="121" t="s">
        <v>99</v>
      </c>
      <c r="D43" s="120" t="s">
        <v>67</v>
      </c>
      <c r="E43" s="123">
        <v>52.2</v>
      </c>
      <c r="F43" s="123">
        <f>SUM(E43*45/1000)</f>
        <v>2.3490000000000002</v>
      </c>
      <c r="G43" s="123">
        <v>458.28</v>
      </c>
      <c r="H43" s="124">
        <f t="shared" si="3"/>
        <v>1.0764997199999999</v>
      </c>
      <c r="I43" s="14">
        <f>F43/6*G43</f>
        <v>179.41661999999999</v>
      </c>
    </row>
    <row r="44" spans="1:9" ht="15.75" hidden="1" customHeight="1">
      <c r="A44" s="34">
        <v>13</v>
      </c>
      <c r="B44" s="120" t="s">
        <v>68</v>
      </c>
      <c r="C44" s="121" t="s">
        <v>31</v>
      </c>
      <c r="D44" s="120"/>
      <c r="E44" s="122"/>
      <c r="F44" s="123">
        <v>0.5</v>
      </c>
      <c r="G44" s="123">
        <v>853.06</v>
      </c>
      <c r="H44" s="124">
        <f t="shared" si="3"/>
        <v>0.42652999999999996</v>
      </c>
      <c r="I44" s="14">
        <f>F44/6*G44</f>
        <v>71.088333333333324</v>
      </c>
    </row>
    <row r="45" spans="1:9" ht="15.75" customHeight="1">
      <c r="A45" s="147" t="s">
        <v>159</v>
      </c>
      <c r="B45" s="148"/>
      <c r="C45" s="148"/>
      <c r="D45" s="148"/>
      <c r="E45" s="148"/>
      <c r="F45" s="148"/>
      <c r="G45" s="148"/>
      <c r="H45" s="148"/>
      <c r="I45" s="149"/>
    </row>
    <row r="46" spans="1:9" ht="15.75" hidden="1" customHeight="1">
      <c r="A46" s="34"/>
      <c r="B46" s="120" t="s">
        <v>119</v>
      </c>
      <c r="C46" s="121" t="s">
        <v>99</v>
      </c>
      <c r="D46" s="120" t="s">
        <v>41</v>
      </c>
      <c r="E46" s="122">
        <v>917.75</v>
      </c>
      <c r="F46" s="123">
        <f>SUM(E46*2/1000)</f>
        <v>1.8354999999999999</v>
      </c>
      <c r="G46" s="14">
        <v>865.61</v>
      </c>
      <c r="H46" s="124">
        <f t="shared" ref="H46:H55" si="4">SUM(F46*G46/1000)</f>
        <v>1.5888271549999999</v>
      </c>
      <c r="I46" s="14">
        <v>0</v>
      </c>
    </row>
    <row r="47" spans="1:9" ht="15.75" hidden="1" customHeight="1">
      <c r="A47" s="34"/>
      <c r="B47" s="120" t="s">
        <v>34</v>
      </c>
      <c r="C47" s="121" t="s">
        <v>99</v>
      </c>
      <c r="D47" s="120" t="s">
        <v>41</v>
      </c>
      <c r="E47" s="122">
        <v>48</v>
      </c>
      <c r="F47" s="123">
        <f>E47*2/1000</f>
        <v>9.6000000000000002E-2</v>
      </c>
      <c r="G47" s="14">
        <v>619.46</v>
      </c>
      <c r="H47" s="124">
        <f t="shared" si="4"/>
        <v>5.9468160000000006E-2</v>
      </c>
      <c r="I47" s="14">
        <v>0</v>
      </c>
    </row>
    <row r="48" spans="1:9" ht="15.75" hidden="1" customHeight="1">
      <c r="A48" s="34"/>
      <c r="B48" s="120" t="s">
        <v>35</v>
      </c>
      <c r="C48" s="121" t="s">
        <v>99</v>
      </c>
      <c r="D48" s="120" t="s">
        <v>41</v>
      </c>
      <c r="E48" s="122">
        <v>937.4</v>
      </c>
      <c r="F48" s="123">
        <f>SUM(E48*2/1000)</f>
        <v>1.8748</v>
      </c>
      <c r="G48" s="14">
        <v>619.46</v>
      </c>
      <c r="H48" s="124">
        <f t="shared" si="4"/>
        <v>1.161363608</v>
      </c>
      <c r="I48" s="14">
        <v>0</v>
      </c>
    </row>
    <row r="49" spans="1:9" ht="15.75" hidden="1" customHeight="1">
      <c r="A49" s="34"/>
      <c r="B49" s="120" t="s">
        <v>36</v>
      </c>
      <c r="C49" s="121" t="s">
        <v>99</v>
      </c>
      <c r="D49" s="120" t="s">
        <v>41</v>
      </c>
      <c r="E49" s="122">
        <v>1243.28</v>
      </c>
      <c r="F49" s="123">
        <f>SUM(E49*2/1000)</f>
        <v>2.4865599999999999</v>
      </c>
      <c r="G49" s="14">
        <v>648.64</v>
      </c>
      <c r="H49" s="124">
        <f t="shared" si="4"/>
        <v>1.6128822783999999</v>
      </c>
      <c r="I49" s="14">
        <v>0</v>
      </c>
    </row>
    <row r="50" spans="1:9" ht="15.75" hidden="1" customHeight="1">
      <c r="A50" s="34"/>
      <c r="B50" s="120" t="s">
        <v>32</v>
      </c>
      <c r="C50" s="121" t="s">
        <v>33</v>
      </c>
      <c r="D50" s="120" t="s">
        <v>41</v>
      </c>
      <c r="E50" s="122">
        <v>64.5</v>
      </c>
      <c r="F50" s="123">
        <f>SUM(E50*2/100)</f>
        <v>1.29</v>
      </c>
      <c r="G50" s="14">
        <v>77.84</v>
      </c>
      <c r="H50" s="124">
        <f t="shared" si="4"/>
        <v>0.10041360000000001</v>
      </c>
      <c r="I50" s="14">
        <v>0</v>
      </c>
    </row>
    <row r="51" spans="1:9" ht="15.75" hidden="1" customHeight="1">
      <c r="A51" s="34">
        <v>14</v>
      </c>
      <c r="B51" s="120" t="s">
        <v>54</v>
      </c>
      <c r="C51" s="121" t="s">
        <v>99</v>
      </c>
      <c r="D51" s="120" t="s">
        <v>186</v>
      </c>
      <c r="E51" s="122">
        <v>678.4</v>
      </c>
      <c r="F51" s="123">
        <f>SUM(E51*5/1000)</f>
        <v>3.3919999999999999</v>
      </c>
      <c r="G51" s="14">
        <v>1297.28</v>
      </c>
      <c r="H51" s="124">
        <f t="shared" si="4"/>
        <v>4.4003737599999999</v>
      </c>
      <c r="I51" s="14">
        <f>F51/5*G51</f>
        <v>880.07475199999999</v>
      </c>
    </row>
    <row r="52" spans="1:9" ht="31.5" hidden="1" customHeight="1">
      <c r="A52" s="34"/>
      <c r="B52" s="120" t="s">
        <v>100</v>
      </c>
      <c r="C52" s="121" t="s">
        <v>99</v>
      </c>
      <c r="D52" s="120" t="s">
        <v>41</v>
      </c>
      <c r="E52" s="122">
        <v>678.4</v>
      </c>
      <c r="F52" s="123">
        <f>SUM(E52*2/1000)</f>
        <v>1.3568</v>
      </c>
      <c r="G52" s="14">
        <v>1297.28</v>
      </c>
      <c r="H52" s="124">
        <f t="shared" si="4"/>
        <v>1.7601495039999999</v>
      </c>
      <c r="I52" s="14">
        <v>0</v>
      </c>
    </row>
    <row r="53" spans="1:9" ht="31.5" hidden="1" customHeight="1">
      <c r="A53" s="34"/>
      <c r="B53" s="120" t="s">
        <v>101</v>
      </c>
      <c r="C53" s="121" t="s">
        <v>37</v>
      </c>
      <c r="D53" s="120" t="s">
        <v>41</v>
      </c>
      <c r="E53" s="122">
        <v>12</v>
      </c>
      <c r="F53" s="123">
        <f>SUM(E53*2/100)</f>
        <v>0.24</v>
      </c>
      <c r="G53" s="14">
        <v>2918.89</v>
      </c>
      <c r="H53" s="124">
        <f t="shared" si="4"/>
        <v>0.70053359999999998</v>
      </c>
      <c r="I53" s="14">
        <v>0</v>
      </c>
    </row>
    <row r="54" spans="1:9" ht="15.75" customHeight="1">
      <c r="A54" s="34">
        <v>10</v>
      </c>
      <c r="B54" s="120" t="s">
        <v>38</v>
      </c>
      <c r="C54" s="121" t="s">
        <v>39</v>
      </c>
      <c r="D54" s="120" t="s">
        <v>41</v>
      </c>
      <c r="E54" s="122">
        <v>1</v>
      </c>
      <c r="F54" s="123">
        <v>0.02</v>
      </c>
      <c r="G54" s="14">
        <v>6042.12</v>
      </c>
      <c r="H54" s="124">
        <f t="shared" si="4"/>
        <v>0.1208424</v>
      </c>
      <c r="I54" s="14">
        <f>F54/2*G54</f>
        <v>60.421199999999999</v>
      </c>
    </row>
    <row r="55" spans="1:9" ht="15.75" customHeight="1">
      <c r="A55" s="34">
        <v>11</v>
      </c>
      <c r="B55" s="120" t="s">
        <v>40</v>
      </c>
      <c r="C55" s="121" t="s">
        <v>120</v>
      </c>
      <c r="D55" s="120" t="s">
        <v>69</v>
      </c>
      <c r="E55" s="122">
        <v>72</v>
      </c>
      <c r="F55" s="123">
        <f>SUM(E55)*3</f>
        <v>216</v>
      </c>
      <c r="G55" s="14">
        <v>70.209999999999994</v>
      </c>
      <c r="H55" s="124">
        <f t="shared" si="4"/>
        <v>15.165359999999998</v>
      </c>
      <c r="I55" s="14">
        <f>E55*G55</f>
        <v>5055.12</v>
      </c>
    </row>
    <row r="56" spans="1:9" ht="15.75" customHeight="1">
      <c r="A56" s="147" t="s">
        <v>160</v>
      </c>
      <c r="B56" s="148"/>
      <c r="C56" s="148"/>
      <c r="D56" s="148"/>
      <c r="E56" s="148"/>
      <c r="F56" s="148"/>
      <c r="G56" s="148"/>
      <c r="H56" s="148"/>
      <c r="I56" s="149"/>
    </row>
    <row r="57" spans="1:9" ht="15.75" hidden="1" customHeight="1">
      <c r="A57" s="34"/>
      <c r="B57" s="144" t="s">
        <v>42</v>
      </c>
      <c r="C57" s="121"/>
      <c r="D57" s="120"/>
      <c r="E57" s="122"/>
      <c r="F57" s="123"/>
      <c r="G57" s="123"/>
      <c r="H57" s="124"/>
      <c r="I57" s="14"/>
    </row>
    <row r="58" spans="1:9" ht="31.5" hidden="1" customHeight="1">
      <c r="A58" s="34">
        <v>16</v>
      </c>
      <c r="B58" s="120" t="s">
        <v>121</v>
      </c>
      <c r="C58" s="121" t="s">
        <v>94</v>
      </c>
      <c r="D58" s="120" t="s">
        <v>122</v>
      </c>
      <c r="E58" s="122">
        <v>110.66</v>
      </c>
      <c r="F58" s="123">
        <f>SUM(E58*6/100)</f>
        <v>6.6396000000000006</v>
      </c>
      <c r="G58" s="14">
        <v>1654.04</v>
      </c>
      <c r="H58" s="124">
        <f>SUM(F58*G58/1000)</f>
        <v>10.982163984000001</v>
      </c>
      <c r="I58" s="14">
        <f>F58/6*G58</f>
        <v>1830.360664</v>
      </c>
    </row>
    <row r="59" spans="1:9" ht="15.75" customHeight="1">
      <c r="A59" s="34"/>
      <c r="B59" s="145" t="s">
        <v>43</v>
      </c>
      <c r="C59" s="129"/>
      <c r="D59" s="130"/>
      <c r="E59" s="131"/>
      <c r="F59" s="132"/>
      <c r="G59" s="132"/>
      <c r="H59" s="133" t="s">
        <v>131</v>
      </c>
      <c r="I59" s="14"/>
    </row>
    <row r="60" spans="1:9" ht="15.75" customHeight="1">
      <c r="A60" s="34">
        <v>12</v>
      </c>
      <c r="B60" s="16" t="s">
        <v>44</v>
      </c>
      <c r="C60" s="18" t="s">
        <v>120</v>
      </c>
      <c r="D60" s="16" t="s">
        <v>65</v>
      </c>
      <c r="E60" s="21">
        <v>8</v>
      </c>
      <c r="F60" s="123">
        <v>8</v>
      </c>
      <c r="G60" s="14">
        <v>237.74</v>
      </c>
      <c r="H60" s="134">
        <f t="shared" ref="H60:H73" si="5">SUM(F60*G60/1000)</f>
        <v>1.9019200000000001</v>
      </c>
      <c r="I60" s="14">
        <f>G60*2</f>
        <v>475.48</v>
      </c>
    </row>
    <row r="61" spans="1:9" ht="15.75" hidden="1" customHeight="1">
      <c r="A61" s="34"/>
      <c r="B61" s="16" t="s">
        <v>45</v>
      </c>
      <c r="C61" s="18" t="s">
        <v>120</v>
      </c>
      <c r="D61" s="16" t="s">
        <v>65</v>
      </c>
      <c r="E61" s="21">
        <v>3</v>
      </c>
      <c r="F61" s="123">
        <v>3</v>
      </c>
      <c r="G61" s="14">
        <v>81.510000000000005</v>
      </c>
      <c r="H61" s="134">
        <f t="shared" si="5"/>
        <v>0.24453000000000003</v>
      </c>
      <c r="I61" s="14">
        <v>0</v>
      </c>
    </row>
    <row r="62" spans="1:9" ht="15.75" hidden="1" customHeight="1">
      <c r="A62" s="34"/>
      <c r="B62" s="16" t="s">
        <v>46</v>
      </c>
      <c r="C62" s="18" t="s">
        <v>123</v>
      </c>
      <c r="D62" s="16" t="s">
        <v>52</v>
      </c>
      <c r="E62" s="122">
        <v>8539</v>
      </c>
      <c r="F62" s="14">
        <f>SUM(E62/100)</f>
        <v>85.39</v>
      </c>
      <c r="G62" s="14">
        <v>226.79</v>
      </c>
      <c r="H62" s="134">
        <f t="shared" si="5"/>
        <v>19.3655981</v>
      </c>
      <c r="I62" s="14">
        <v>0</v>
      </c>
    </row>
    <row r="63" spans="1:9" ht="15.75" hidden="1" customHeight="1">
      <c r="A63" s="34"/>
      <c r="B63" s="16" t="s">
        <v>47</v>
      </c>
      <c r="C63" s="18" t="s">
        <v>124</v>
      </c>
      <c r="D63" s="16"/>
      <c r="E63" s="122">
        <v>8539</v>
      </c>
      <c r="F63" s="14">
        <f>SUM(E63/1000)</f>
        <v>8.5389999999999997</v>
      </c>
      <c r="G63" s="14">
        <v>176.61</v>
      </c>
      <c r="H63" s="134">
        <f t="shared" si="5"/>
        <v>1.5080727900000002</v>
      </c>
      <c r="I63" s="14">
        <v>0</v>
      </c>
    </row>
    <row r="64" spans="1:9" ht="15.75" hidden="1" customHeight="1">
      <c r="A64" s="34"/>
      <c r="B64" s="16" t="s">
        <v>48</v>
      </c>
      <c r="C64" s="18" t="s">
        <v>75</v>
      </c>
      <c r="D64" s="16" t="s">
        <v>52</v>
      </c>
      <c r="E64" s="122">
        <v>1370</v>
      </c>
      <c r="F64" s="14">
        <f>SUM(E64/100)</f>
        <v>13.7</v>
      </c>
      <c r="G64" s="14">
        <v>2217.7800000000002</v>
      </c>
      <c r="H64" s="134">
        <f t="shared" si="5"/>
        <v>30.383586000000005</v>
      </c>
      <c r="I64" s="14">
        <v>0</v>
      </c>
    </row>
    <row r="65" spans="1:9" ht="15.75" hidden="1" customHeight="1">
      <c r="A65" s="34"/>
      <c r="B65" s="135" t="s">
        <v>125</v>
      </c>
      <c r="C65" s="18" t="s">
        <v>31</v>
      </c>
      <c r="D65" s="16"/>
      <c r="E65" s="122">
        <v>9</v>
      </c>
      <c r="F65" s="14">
        <f>SUM(E65)</f>
        <v>9</v>
      </c>
      <c r="G65" s="14">
        <v>42.67</v>
      </c>
      <c r="H65" s="134">
        <f t="shared" si="5"/>
        <v>0.38403000000000004</v>
      </c>
      <c r="I65" s="14">
        <v>0</v>
      </c>
    </row>
    <row r="66" spans="1:9" ht="15.75" hidden="1" customHeight="1">
      <c r="A66" s="34"/>
      <c r="B66" s="135" t="s">
        <v>126</v>
      </c>
      <c r="C66" s="18" t="s">
        <v>31</v>
      </c>
      <c r="D66" s="16"/>
      <c r="E66" s="122">
        <v>9</v>
      </c>
      <c r="F66" s="14">
        <f>SUM(E66)</f>
        <v>9</v>
      </c>
      <c r="G66" s="14">
        <v>39.81</v>
      </c>
      <c r="H66" s="134">
        <f t="shared" si="5"/>
        <v>0.35829</v>
      </c>
      <c r="I66" s="14">
        <v>0</v>
      </c>
    </row>
    <row r="67" spans="1:9" ht="15.75" hidden="1" customHeight="1">
      <c r="A67" s="34"/>
      <c r="B67" s="16" t="s">
        <v>55</v>
      </c>
      <c r="C67" s="18" t="s">
        <v>56</v>
      </c>
      <c r="D67" s="16" t="s">
        <v>52</v>
      </c>
      <c r="E67" s="21">
        <v>3</v>
      </c>
      <c r="F67" s="123">
        <v>3</v>
      </c>
      <c r="G67" s="14">
        <v>53.62</v>
      </c>
      <c r="H67" s="134">
        <f t="shared" si="5"/>
        <v>0.16085999999999998</v>
      </c>
      <c r="I67" s="14">
        <v>0</v>
      </c>
    </row>
    <row r="68" spans="1:9" ht="15.75" hidden="1" customHeight="1">
      <c r="A68" s="34"/>
      <c r="B68" s="36" t="s">
        <v>70</v>
      </c>
      <c r="C68" s="18"/>
      <c r="D68" s="16"/>
      <c r="E68" s="21"/>
      <c r="F68" s="14"/>
      <c r="G68" s="14"/>
      <c r="H68" s="134" t="s">
        <v>131</v>
      </c>
      <c r="I68" s="14"/>
    </row>
    <row r="69" spans="1:9" ht="15.75" hidden="1" customHeight="1">
      <c r="A69" s="34"/>
      <c r="B69" s="16" t="s">
        <v>71</v>
      </c>
      <c r="C69" s="18" t="s">
        <v>73</v>
      </c>
      <c r="D69" s="16"/>
      <c r="E69" s="21">
        <v>2</v>
      </c>
      <c r="F69" s="14">
        <v>0.2</v>
      </c>
      <c r="G69" s="14">
        <v>536.23</v>
      </c>
      <c r="H69" s="134">
        <f t="shared" si="5"/>
        <v>0.10724600000000001</v>
      </c>
      <c r="I69" s="14">
        <v>0</v>
      </c>
    </row>
    <row r="70" spans="1:9" ht="15.75" hidden="1" customHeight="1">
      <c r="A70" s="34"/>
      <c r="B70" s="16" t="s">
        <v>72</v>
      </c>
      <c r="C70" s="18" t="s">
        <v>29</v>
      </c>
      <c r="D70" s="16"/>
      <c r="E70" s="21">
        <v>1</v>
      </c>
      <c r="F70" s="116">
        <v>1</v>
      </c>
      <c r="G70" s="14">
        <v>911.85</v>
      </c>
      <c r="H70" s="134">
        <f>F70*G70/1000</f>
        <v>0.91185000000000005</v>
      </c>
      <c r="I70" s="14">
        <v>0</v>
      </c>
    </row>
    <row r="71" spans="1:9" ht="15.75" hidden="1" customHeight="1">
      <c r="A71" s="34"/>
      <c r="B71" s="16" t="s">
        <v>143</v>
      </c>
      <c r="C71" s="18" t="s">
        <v>29</v>
      </c>
      <c r="D71" s="16"/>
      <c r="E71" s="21">
        <v>1</v>
      </c>
      <c r="F71" s="14">
        <v>1</v>
      </c>
      <c r="G71" s="14">
        <v>383.25</v>
      </c>
      <c r="H71" s="134">
        <f>G71*F71/1000</f>
        <v>0.38324999999999998</v>
      </c>
      <c r="I71" s="14">
        <v>0</v>
      </c>
    </row>
    <row r="72" spans="1:9" ht="15.75" hidden="1" customHeight="1">
      <c r="A72" s="34"/>
      <c r="B72" s="136" t="s">
        <v>74</v>
      </c>
      <c r="C72" s="18"/>
      <c r="D72" s="16"/>
      <c r="E72" s="21"/>
      <c r="F72" s="14"/>
      <c r="G72" s="14" t="s">
        <v>131</v>
      </c>
      <c r="H72" s="134" t="s">
        <v>131</v>
      </c>
      <c r="I72" s="14"/>
    </row>
    <row r="73" spans="1:9" ht="15.75" hidden="1" customHeight="1">
      <c r="A73" s="34"/>
      <c r="B73" s="63" t="s">
        <v>132</v>
      </c>
      <c r="C73" s="18" t="s">
        <v>75</v>
      </c>
      <c r="D73" s="16"/>
      <c r="E73" s="21"/>
      <c r="F73" s="14">
        <v>1.35</v>
      </c>
      <c r="G73" s="14">
        <v>2949.85</v>
      </c>
      <c r="H73" s="134">
        <f t="shared" si="5"/>
        <v>3.9822975</v>
      </c>
      <c r="I73" s="14">
        <v>0</v>
      </c>
    </row>
    <row r="74" spans="1:9" ht="15.75" hidden="1" customHeight="1">
      <c r="A74" s="34"/>
      <c r="B74" s="115" t="s">
        <v>102</v>
      </c>
      <c r="C74" s="137"/>
      <c r="D74" s="36"/>
      <c r="E74" s="37"/>
      <c r="F74" s="126"/>
      <c r="G74" s="126"/>
      <c r="H74" s="138">
        <f>SUM(H58:H73)</f>
        <v>70.673694374000007</v>
      </c>
      <c r="I74" s="126"/>
    </row>
    <row r="75" spans="1:9" ht="15.75" hidden="1" customHeight="1">
      <c r="A75" s="34"/>
      <c r="B75" s="120" t="s">
        <v>127</v>
      </c>
      <c r="C75" s="18"/>
      <c r="D75" s="16"/>
      <c r="E75" s="139"/>
      <c r="F75" s="14">
        <v>1</v>
      </c>
      <c r="G75" s="14">
        <v>7101.4</v>
      </c>
      <c r="H75" s="134">
        <f>G75*F75/1000</f>
        <v>7.1013999999999999</v>
      </c>
      <c r="I75" s="14">
        <v>0</v>
      </c>
    </row>
    <row r="76" spans="1:9" ht="15.75" customHeight="1">
      <c r="A76" s="147" t="s">
        <v>161</v>
      </c>
      <c r="B76" s="148"/>
      <c r="C76" s="148"/>
      <c r="D76" s="148"/>
      <c r="E76" s="148"/>
      <c r="F76" s="148"/>
      <c r="G76" s="148"/>
      <c r="H76" s="148"/>
      <c r="I76" s="149"/>
    </row>
    <row r="77" spans="1:9" ht="15.75" customHeight="1">
      <c r="A77" s="34">
        <v>13</v>
      </c>
      <c r="B77" s="120" t="s">
        <v>128</v>
      </c>
      <c r="C77" s="18" t="s">
        <v>53</v>
      </c>
      <c r="D77" s="140" t="s">
        <v>188</v>
      </c>
      <c r="E77" s="14">
        <v>2054.6</v>
      </c>
      <c r="F77" s="14">
        <f>SUM(E77*12)</f>
        <v>24655.199999999997</v>
      </c>
      <c r="G77" s="14">
        <v>2.2400000000000002</v>
      </c>
      <c r="H77" s="134">
        <f>SUM(F77*G77/1000)</f>
        <v>55.227648000000002</v>
      </c>
      <c r="I77" s="14">
        <f>F77/12*G77</f>
        <v>4602.3040000000001</v>
      </c>
    </row>
    <row r="78" spans="1:9" ht="31.5" customHeight="1">
      <c r="A78" s="34">
        <v>14</v>
      </c>
      <c r="B78" s="16" t="s">
        <v>76</v>
      </c>
      <c r="C78" s="18"/>
      <c r="D78" s="140" t="s">
        <v>188</v>
      </c>
      <c r="E78" s="122">
        <f>E77</f>
        <v>2054.6</v>
      </c>
      <c r="F78" s="14">
        <f>E78*12</f>
        <v>24655.199999999997</v>
      </c>
      <c r="G78" s="14">
        <v>1.74</v>
      </c>
      <c r="H78" s="134">
        <f>F78*G78/1000</f>
        <v>42.900047999999998</v>
      </c>
      <c r="I78" s="14">
        <f>F78/12*G78</f>
        <v>3575.0039999999999</v>
      </c>
    </row>
    <row r="79" spans="1:9" ht="15.75" customHeight="1">
      <c r="A79" s="34"/>
      <c r="B79" s="50" t="s">
        <v>80</v>
      </c>
      <c r="C79" s="137"/>
      <c r="D79" s="136"/>
      <c r="E79" s="126"/>
      <c r="F79" s="126"/>
      <c r="G79" s="126"/>
      <c r="H79" s="138">
        <f>H78</f>
        <v>42.900047999999998</v>
      </c>
      <c r="I79" s="126">
        <f>I16+I17+I18+I20+I27+I28+I31+I32+I34+I54+I55+I60+I77+I78</f>
        <v>35364.381410599999</v>
      </c>
    </row>
    <row r="80" spans="1:9" ht="15.75" customHeight="1">
      <c r="A80" s="34"/>
      <c r="B80" s="75" t="s">
        <v>58</v>
      </c>
      <c r="C80" s="18"/>
      <c r="D80" s="63"/>
      <c r="E80" s="14"/>
      <c r="F80" s="14"/>
      <c r="G80" s="14"/>
      <c r="H80" s="14"/>
      <c r="I80" s="14"/>
    </row>
    <row r="81" spans="1:9" ht="15.75" customHeight="1">
      <c r="A81" s="34">
        <v>15</v>
      </c>
      <c r="B81" s="76" t="s">
        <v>133</v>
      </c>
      <c r="C81" s="77" t="s">
        <v>120</v>
      </c>
      <c r="D81" s="63"/>
      <c r="E81" s="14"/>
      <c r="F81" s="14">
        <v>432</v>
      </c>
      <c r="G81" s="14">
        <v>50.68</v>
      </c>
      <c r="H81" s="14">
        <f>G81*F81/1000</f>
        <v>21.893759999999997</v>
      </c>
      <c r="I81" s="14">
        <f>G81*36</f>
        <v>1824.48</v>
      </c>
    </row>
    <row r="82" spans="1:9" ht="15.75" customHeight="1">
      <c r="A82" s="34">
        <v>16</v>
      </c>
      <c r="B82" s="142" t="s">
        <v>144</v>
      </c>
      <c r="C82" s="143" t="s">
        <v>145</v>
      </c>
      <c r="D82" s="63"/>
      <c r="E82" s="14"/>
      <c r="F82" s="14">
        <f>12/3</f>
        <v>4</v>
      </c>
      <c r="G82" s="14">
        <v>1063.47</v>
      </c>
      <c r="H82" s="134">
        <f t="shared" ref="H82:H83" si="6">G82*F82/1000</f>
        <v>4.2538800000000005</v>
      </c>
      <c r="I82" s="14">
        <f>G82</f>
        <v>1063.47</v>
      </c>
    </row>
    <row r="83" spans="1:9" ht="15.75" customHeight="1">
      <c r="A83" s="34">
        <v>17</v>
      </c>
      <c r="B83" s="94" t="s">
        <v>182</v>
      </c>
      <c r="C83" s="77" t="s">
        <v>180</v>
      </c>
      <c r="D83" s="63"/>
      <c r="E83" s="14"/>
      <c r="F83" s="14">
        <v>1</v>
      </c>
      <c r="G83" s="14">
        <v>13776</v>
      </c>
      <c r="H83" s="134">
        <f t="shared" si="6"/>
        <v>13.776</v>
      </c>
      <c r="I83" s="14">
        <f>G83</f>
        <v>13776</v>
      </c>
    </row>
    <row r="84" spans="1:9" ht="15.75" customHeight="1">
      <c r="A84" s="34"/>
      <c r="B84" s="57" t="s">
        <v>49</v>
      </c>
      <c r="C84" s="53"/>
      <c r="D84" s="66"/>
      <c r="E84" s="53">
        <v>1</v>
      </c>
      <c r="F84" s="53"/>
      <c r="G84" s="53"/>
      <c r="H84" s="53"/>
      <c r="I84" s="37">
        <f>SUM(I81:I83)</f>
        <v>16663.95</v>
      </c>
    </row>
    <row r="85" spans="1:9" ht="15.75" customHeight="1">
      <c r="A85" s="34"/>
      <c r="B85" s="63" t="s">
        <v>77</v>
      </c>
      <c r="C85" s="17"/>
      <c r="D85" s="17"/>
      <c r="E85" s="54"/>
      <c r="F85" s="54"/>
      <c r="G85" s="55"/>
      <c r="H85" s="55"/>
      <c r="I85" s="20">
        <v>0</v>
      </c>
    </row>
    <row r="86" spans="1:9" ht="15.75" customHeight="1">
      <c r="A86" s="67"/>
      <c r="B86" s="58" t="s">
        <v>50</v>
      </c>
      <c r="C86" s="43"/>
      <c r="D86" s="43"/>
      <c r="E86" s="43"/>
      <c r="F86" s="43"/>
      <c r="G86" s="43"/>
      <c r="H86" s="43"/>
      <c r="I86" s="56">
        <f>I79+I84</f>
        <v>52028.331410600003</v>
      </c>
    </row>
    <row r="87" spans="1:9" ht="15.75">
      <c r="A87" s="160" t="s">
        <v>219</v>
      </c>
      <c r="B87" s="160"/>
      <c r="C87" s="160"/>
      <c r="D87" s="160"/>
      <c r="E87" s="160"/>
      <c r="F87" s="160"/>
      <c r="G87" s="160"/>
      <c r="H87" s="160"/>
      <c r="I87" s="160"/>
    </row>
    <row r="88" spans="1:9" ht="15.75">
      <c r="A88" s="102"/>
      <c r="B88" s="155" t="s">
        <v>220</v>
      </c>
      <c r="C88" s="155"/>
      <c r="D88" s="155"/>
      <c r="E88" s="155"/>
      <c r="F88" s="155"/>
      <c r="G88" s="155"/>
      <c r="H88" s="119"/>
      <c r="I88" s="3"/>
    </row>
    <row r="89" spans="1:9">
      <c r="A89" s="106"/>
      <c r="B89" s="151" t="s">
        <v>6</v>
      </c>
      <c r="C89" s="151"/>
      <c r="D89" s="151"/>
      <c r="E89" s="151"/>
      <c r="F89" s="151"/>
      <c r="G89" s="151"/>
      <c r="H89" s="29"/>
      <c r="I89" s="5"/>
    </row>
    <row r="90" spans="1:9">
      <c r="A90" s="10"/>
      <c r="B90" s="10"/>
      <c r="C90" s="10"/>
      <c r="D90" s="10"/>
      <c r="E90" s="10"/>
      <c r="F90" s="10"/>
      <c r="G90" s="10"/>
      <c r="H90" s="10"/>
      <c r="I90" s="10"/>
    </row>
    <row r="91" spans="1:9" ht="15.75">
      <c r="A91" s="156" t="s">
        <v>7</v>
      </c>
      <c r="B91" s="156"/>
      <c r="C91" s="156"/>
      <c r="D91" s="156"/>
      <c r="E91" s="156"/>
      <c r="F91" s="156"/>
      <c r="G91" s="156"/>
      <c r="H91" s="156"/>
      <c r="I91" s="156"/>
    </row>
    <row r="92" spans="1:9" ht="15.75">
      <c r="A92" s="156" t="s">
        <v>8</v>
      </c>
      <c r="B92" s="156"/>
      <c r="C92" s="156"/>
      <c r="D92" s="156"/>
      <c r="E92" s="156"/>
      <c r="F92" s="156"/>
      <c r="G92" s="156"/>
      <c r="H92" s="156"/>
      <c r="I92" s="156"/>
    </row>
    <row r="93" spans="1:9" ht="15.75">
      <c r="A93" s="157" t="s">
        <v>59</v>
      </c>
      <c r="B93" s="157"/>
      <c r="C93" s="157"/>
      <c r="D93" s="157"/>
      <c r="E93" s="157"/>
      <c r="F93" s="157"/>
      <c r="G93" s="157"/>
      <c r="H93" s="157"/>
      <c r="I93" s="157"/>
    </row>
    <row r="94" spans="1:9" ht="15.75">
      <c r="A94" s="11"/>
    </row>
    <row r="95" spans="1:9" ht="15.75">
      <c r="A95" s="158" t="s">
        <v>9</v>
      </c>
      <c r="B95" s="158"/>
      <c r="C95" s="158"/>
      <c r="D95" s="158"/>
      <c r="E95" s="158"/>
      <c r="F95" s="158"/>
      <c r="G95" s="158"/>
      <c r="H95" s="158"/>
      <c r="I95" s="158"/>
    </row>
    <row r="96" spans="1:9" ht="15.75">
      <c r="A96" s="4"/>
    </row>
    <row r="97" spans="1:9" ht="15.75">
      <c r="B97" s="107" t="s">
        <v>10</v>
      </c>
      <c r="C97" s="150" t="s">
        <v>162</v>
      </c>
      <c r="D97" s="150"/>
      <c r="E97" s="150"/>
      <c r="F97" s="117"/>
      <c r="I97" s="105"/>
    </row>
    <row r="98" spans="1:9">
      <c r="A98" s="106"/>
      <c r="C98" s="151" t="s">
        <v>11</v>
      </c>
      <c r="D98" s="151"/>
      <c r="E98" s="151"/>
      <c r="F98" s="29"/>
      <c r="I98" s="104" t="s">
        <v>12</v>
      </c>
    </row>
    <row r="99" spans="1:9" ht="15.75">
      <c r="A99" s="30"/>
      <c r="C99" s="12"/>
      <c r="D99" s="12"/>
      <c r="G99" s="12"/>
      <c r="H99" s="12"/>
    </row>
    <row r="100" spans="1:9" ht="15.75">
      <c r="B100" s="107" t="s">
        <v>13</v>
      </c>
      <c r="C100" s="152"/>
      <c r="D100" s="152"/>
      <c r="E100" s="152"/>
      <c r="F100" s="118"/>
      <c r="I100" s="105"/>
    </row>
    <row r="101" spans="1:9">
      <c r="A101" s="106"/>
      <c r="C101" s="153" t="s">
        <v>11</v>
      </c>
      <c r="D101" s="153"/>
      <c r="E101" s="153"/>
      <c r="F101" s="106"/>
      <c r="I101" s="104" t="s">
        <v>12</v>
      </c>
    </row>
    <row r="102" spans="1:9" ht="15.75">
      <c r="A102" s="4" t="s">
        <v>14</v>
      </c>
    </row>
    <row r="103" spans="1:9">
      <c r="A103" s="154" t="s">
        <v>15</v>
      </c>
      <c r="B103" s="154"/>
      <c r="C103" s="154"/>
      <c r="D103" s="154"/>
      <c r="E103" s="154"/>
      <c r="F103" s="154"/>
      <c r="G103" s="154"/>
      <c r="H103" s="154"/>
      <c r="I103" s="154"/>
    </row>
    <row r="104" spans="1:9" ht="45" customHeight="1">
      <c r="A104" s="146" t="s">
        <v>16</v>
      </c>
      <c r="B104" s="146"/>
      <c r="C104" s="146"/>
      <c r="D104" s="146"/>
      <c r="E104" s="146"/>
      <c r="F104" s="146"/>
      <c r="G104" s="146"/>
      <c r="H104" s="146"/>
      <c r="I104" s="146"/>
    </row>
    <row r="105" spans="1:9" ht="30" customHeight="1">
      <c r="A105" s="146" t="s">
        <v>17</v>
      </c>
      <c r="B105" s="146"/>
      <c r="C105" s="146"/>
      <c r="D105" s="146"/>
      <c r="E105" s="146"/>
      <c r="F105" s="146"/>
      <c r="G105" s="146"/>
      <c r="H105" s="146"/>
      <c r="I105" s="146"/>
    </row>
    <row r="106" spans="1:9" ht="30" customHeight="1">
      <c r="A106" s="146" t="s">
        <v>21</v>
      </c>
      <c r="B106" s="146"/>
      <c r="C106" s="146"/>
      <c r="D106" s="146"/>
      <c r="E106" s="146"/>
      <c r="F106" s="146"/>
      <c r="G106" s="146"/>
      <c r="H106" s="146"/>
      <c r="I106" s="146"/>
    </row>
    <row r="107" spans="1:9" ht="15" customHeight="1">
      <c r="A107" s="146" t="s">
        <v>20</v>
      </c>
      <c r="B107" s="146"/>
      <c r="C107" s="146"/>
      <c r="D107" s="146"/>
      <c r="E107" s="146"/>
      <c r="F107" s="146"/>
      <c r="G107" s="146"/>
      <c r="H107" s="146"/>
      <c r="I107" s="146"/>
    </row>
  </sheetData>
  <mergeCells count="27">
    <mergeCell ref="A105:I105"/>
    <mergeCell ref="A106:I106"/>
    <mergeCell ref="A107:I107"/>
    <mergeCell ref="C97:E97"/>
    <mergeCell ref="C98:E98"/>
    <mergeCell ref="C100:E100"/>
    <mergeCell ref="C101:E101"/>
    <mergeCell ref="A103:I103"/>
    <mergeCell ref="A104:I104"/>
    <mergeCell ref="B88:G88"/>
    <mergeCell ref="B89:G89"/>
    <mergeCell ref="A91:I91"/>
    <mergeCell ref="A92:I92"/>
    <mergeCell ref="A93:I93"/>
    <mergeCell ref="A95:I95"/>
    <mergeCell ref="A15:I15"/>
    <mergeCell ref="A29:I29"/>
    <mergeCell ref="A45:I45"/>
    <mergeCell ref="A56:I56"/>
    <mergeCell ref="A76:I76"/>
    <mergeCell ref="A87:I87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0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2" t="s">
        <v>90</v>
      </c>
      <c r="I1" s="31"/>
    </row>
    <row r="2" spans="1:9" ht="15.75">
      <c r="A2" s="33" t="s">
        <v>60</v>
      </c>
    </row>
    <row r="3" spans="1:9" ht="15.75">
      <c r="A3" s="161" t="s">
        <v>221</v>
      </c>
      <c r="B3" s="161"/>
      <c r="C3" s="161"/>
      <c r="D3" s="161"/>
      <c r="E3" s="161"/>
      <c r="F3" s="161"/>
      <c r="G3" s="161"/>
      <c r="H3" s="161"/>
      <c r="I3" s="161"/>
    </row>
    <row r="4" spans="1:9" ht="31.5" customHeight="1">
      <c r="A4" s="162" t="s">
        <v>152</v>
      </c>
      <c r="B4" s="162"/>
      <c r="C4" s="162"/>
      <c r="D4" s="162"/>
      <c r="E4" s="162"/>
      <c r="F4" s="162"/>
      <c r="G4" s="162"/>
      <c r="H4" s="162"/>
      <c r="I4" s="162"/>
    </row>
    <row r="5" spans="1:9" ht="15.75">
      <c r="A5" s="161" t="s">
        <v>222</v>
      </c>
      <c r="B5" s="163"/>
      <c r="C5" s="163"/>
      <c r="D5" s="163"/>
      <c r="E5" s="163"/>
      <c r="F5" s="163"/>
      <c r="G5" s="163"/>
      <c r="H5" s="163"/>
      <c r="I5" s="163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5">
        <v>42643</v>
      </c>
    </row>
    <row r="7" spans="1:9" ht="15.75">
      <c r="B7" s="107"/>
      <c r="C7" s="107"/>
      <c r="D7" s="107"/>
      <c r="E7" s="3"/>
      <c r="F7" s="3"/>
      <c r="G7" s="3"/>
      <c r="H7" s="3"/>
    </row>
    <row r="8" spans="1:9" ht="78.75" customHeight="1">
      <c r="A8" s="164" t="s">
        <v>157</v>
      </c>
      <c r="B8" s="164"/>
      <c r="C8" s="164"/>
      <c r="D8" s="164"/>
      <c r="E8" s="164"/>
      <c r="F8" s="164"/>
      <c r="G8" s="164"/>
      <c r="H8" s="164"/>
      <c r="I8" s="164"/>
    </row>
    <row r="9" spans="1:9" ht="15.75">
      <c r="A9" s="4"/>
    </row>
    <row r="10" spans="1:9" ht="47.25" customHeight="1">
      <c r="A10" s="165" t="s">
        <v>158</v>
      </c>
      <c r="B10" s="165"/>
      <c r="C10" s="165"/>
      <c r="D10" s="165"/>
      <c r="E10" s="165"/>
      <c r="F10" s="165"/>
      <c r="G10" s="165"/>
      <c r="H10" s="165"/>
      <c r="I10" s="165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66" t="s">
        <v>57</v>
      </c>
      <c r="B14" s="166"/>
      <c r="C14" s="166"/>
      <c r="D14" s="166"/>
      <c r="E14" s="166"/>
      <c r="F14" s="166"/>
      <c r="G14" s="166"/>
      <c r="H14" s="166"/>
      <c r="I14" s="166"/>
    </row>
    <row r="15" spans="1:9">
      <c r="A15" s="159" t="s">
        <v>4</v>
      </c>
      <c r="B15" s="159"/>
      <c r="C15" s="159"/>
      <c r="D15" s="159"/>
      <c r="E15" s="159"/>
      <c r="F15" s="159"/>
      <c r="G15" s="159"/>
      <c r="H15" s="159"/>
      <c r="I15" s="159"/>
    </row>
    <row r="16" spans="1:9" ht="31.5" customHeight="1">
      <c r="A16" s="34">
        <v>1</v>
      </c>
      <c r="B16" s="120" t="s">
        <v>93</v>
      </c>
      <c r="C16" s="121" t="s">
        <v>94</v>
      </c>
      <c r="D16" s="120" t="s">
        <v>95</v>
      </c>
      <c r="E16" s="122">
        <v>55</v>
      </c>
      <c r="F16" s="123">
        <f>SUM(E16*156/100)</f>
        <v>85.8</v>
      </c>
      <c r="G16" s="123">
        <v>187.48</v>
      </c>
      <c r="H16" s="124">
        <f t="shared" ref="H16:H26" si="0">SUM(F16*G16/1000)</f>
        <v>16.085783999999997</v>
      </c>
      <c r="I16" s="14">
        <f>F16/12*G16</f>
        <v>1340.4819999999997</v>
      </c>
    </row>
    <row r="17" spans="1:9" ht="31.5" customHeight="1">
      <c r="A17" s="34">
        <v>2</v>
      </c>
      <c r="B17" s="120" t="s">
        <v>134</v>
      </c>
      <c r="C17" s="121" t="s">
        <v>94</v>
      </c>
      <c r="D17" s="120" t="s">
        <v>96</v>
      </c>
      <c r="E17" s="122">
        <v>165</v>
      </c>
      <c r="F17" s="123">
        <f>SUM(E17*104/100)</f>
        <v>171.6</v>
      </c>
      <c r="G17" s="123">
        <v>187.48</v>
      </c>
      <c r="H17" s="124">
        <f t="shared" si="0"/>
        <v>32.171567999999994</v>
      </c>
      <c r="I17" s="14">
        <f>F17/12*G17</f>
        <v>2680.9639999999995</v>
      </c>
    </row>
    <row r="18" spans="1:9" ht="31.5" customHeight="1">
      <c r="A18" s="34">
        <v>3</v>
      </c>
      <c r="B18" s="120" t="s">
        <v>135</v>
      </c>
      <c r="C18" s="121" t="s">
        <v>94</v>
      </c>
      <c r="D18" s="120" t="s">
        <v>136</v>
      </c>
      <c r="E18" s="122">
        <f>SUM(E16+E17)</f>
        <v>220</v>
      </c>
      <c r="F18" s="123">
        <f>SUM(E18*24/100)</f>
        <v>52.8</v>
      </c>
      <c r="G18" s="123">
        <v>539.30999999999995</v>
      </c>
      <c r="H18" s="124">
        <f t="shared" si="0"/>
        <v>28.475567999999996</v>
      </c>
      <c r="I18" s="14">
        <f>F18/12*G18</f>
        <v>2372.9639999999995</v>
      </c>
    </row>
    <row r="19" spans="1:9" ht="15.75" hidden="1" customHeight="1">
      <c r="A19" s="34">
        <v>4</v>
      </c>
      <c r="B19" s="120" t="s">
        <v>103</v>
      </c>
      <c r="C19" s="121" t="s">
        <v>104</v>
      </c>
      <c r="D19" s="120" t="s">
        <v>105</v>
      </c>
      <c r="E19" s="122">
        <v>32.4</v>
      </c>
      <c r="F19" s="123">
        <f>SUM(E19/10)</f>
        <v>3.2399999999999998</v>
      </c>
      <c r="G19" s="123">
        <v>181.91</v>
      </c>
      <c r="H19" s="124">
        <f t="shared" si="0"/>
        <v>0.58938839999999992</v>
      </c>
      <c r="I19" s="14">
        <v>0</v>
      </c>
    </row>
    <row r="20" spans="1:9" ht="15.75" customHeight="1">
      <c r="A20" s="34">
        <v>4</v>
      </c>
      <c r="B20" s="120" t="s">
        <v>106</v>
      </c>
      <c r="C20" s="121" t="s">
        <v>94</v>
      </c>
      <c r="D20" s="120" t="s">
        <v>137</v>
      </c>
      <c r="E20" s="122">
        <v>12.24</v>
      </c>
      <c r="F20" s="123">
        <f>SUM(E20*12/100)</f>
        <v>1.4687999999999999</v>
      </c>
      <c r="G20" s="123">
        <v>232.92</v>
      </c>
      <c r="H20" s="124">
        <f t="shared" si="0"/>
        <v>0.342112896</v>
      </c>
      <c r="I20" s="14">
        <f>F20/12*G20</f>
        <v>28.509407999999997</v>
      </c>
    </row>
    <row r="21" spans="1:9" ht="15.75" customHeight="1">
      <c r="A21" s="34">
        <v>5</v>
      </c>
      <c r="B21" s="120" t="s">
        <v>107</v>
      </c>
      <c r="C21" s="121" t="s">
        <v>94</v>
      </c>
      <c r="D21" s="120" t="s">
        <v>138</v>
      </c>
      <c r="E21" s="122">
        <v>10.08</v>
      </c>
      <c r="F21" s="123">
        <f>SUM(E21*6/100)</f>
        <v>0.6048</v>
      </c>
      <c r="G21" s="123">
        <v>231.03</v>
      </c>
      <c r="H21" s="124">
        <f t="shared" si="0"/>
        <v>0.13972694399999999</v>
      </c>
      <c r="I21" s="14">
        <f>F21/6*G21</f>
        <v>23.287824000000001</v>
      </c>
    </row>
    <row r="22" spans="1:9" ht="15.75" hidden="1" customHeight="1">
      <c r="A22" s="34">
        <v>7</v>
      </c>
      <c r="B22" s="120" t="s">
        <v>108</v>
      </c>
      <c r="C22" s="121" t="s">
        <v>51</v>
      </c>
      <c r="D22" s="120" t="s">
        <v>105</v>
      </c>
      <c r="E22" s="122">
        <v>293.76</v>
      </c>
      <c r="F22" s="123">
        <f>SUM(E22/100)</f>
        <v>2.9375999999999998</v>
      </c>
      <c r="G22" s="123">
        <v>287.83999999999997</v>
      </c>
      <c r="H22" s="124">
        <f t="shared" si="0"/>
        <v>0.84555878399999984</v>
      </c>
      <c r="I22" s="14">
        <v>0</v>
      </c>
    </row>
    <row r="23" spans="1:9" ht="15.75" hidden="1" customHeight="1">
      <c r="A23" s="34">
        <v>8</v>
      </c>
      <c r="B23" s="120" t="s">
        <v>109</v>
      </c>
      <c r="C23" s="121" t="s">
        <v>51</v>
      </c>
      <c r="D23" s="120" t="s">
        <v>105</v>
      </c>
      <c r="E23" s="125">
        <v>17.64</v>
      </c>
      <c r="F23" s="123">
        <f>SUM(E23/100)</f>
        <v>0.1764</v>
      </c>
      <c r="G23" s="123">
        <v>47.34</v>
      </c>
      <c r="H23" s="124">
        <f t="shared" si="0"/>
        <v>8.3507760000000007E-3</v>
      </c>
      <c r="I23" s="14">
        <v>0</v>
      </c>
    </row>
    <row r="24" spans="1:9" ht="15.75" hidden="1" customHeight="1">
      <c r="A24" s="34">
        <v>9</v>
      </c>
      <c r="B24" s="120" t="s">
        <v>110</v>
      </c>
      <c r="C24" s="121" t="s">
        <v>51</v>
      </c>
      <c r="D24" s="120" t="s">
        <v>111</v>
      </c>
      <c r="E24" s="122">
        <v>10.8</v>
      </c>
      <c r="F24" s="123">
        <f>E24/100</f>
        <v>0.10800000000000001</v>
      </c>
      <c r="G24" s="123">
        <v>416.62</v>
      </c>
      <c r="H24" s="124">
        <f t="shared" si="0"/>
        <v>4.4994960000000007E-2</v>
      </c>
      <c r="I24" s="14">
        <v>0</v>
      </c>
    </row>
    <row r="25" spans="1:9" ht="15.75" hidden="1" customHeight="1">
      <c r="A25" s="34">
        <v>10</v>
      </c>
      <c r="B25" s="120" t="s">
        <v>112</v>
      </c>
      <c r="C25" s="121" t="s">
        <v>51</v>
      </c>
      <c r="D25" s="120" t="s">
        <v>52</v>
      </c>
      <c r="E25" s="122">
        <v>12.6</v>
      </c>
      <c r="F25" s="123">
        <f>E25/100</f>
        <v>0.126</v>
      </c>
      <c r="G25" s="123">
        <v>231.03</v>
      </c>
      <c r="H25" s="124">
        <f>G25*F25/1000</f>
        <v>2.9109780000000002E-2</v>
      </c>
      <c r="I25" s="14">
        <v>0</v>
      </c>
    </row>
    <row r="26" spans="1:9" ht="15.75" hidden="1" customHeight="1">
      <c r="A26" s="34">
        <v>11</v>
      </c>
      <c r="B26" s="120" t="s">
        <v>113</v>
      </c>
      <c r="C26" s="121" t="s">
        <v>51</v>
      </c>
      <c r="D26" s="120" t="s">
        <v>105</v>
      </c>
      <c r="E26" s="122">
        <v>14.4</v>
      </c>
      <c r="F26" s="123">
        <f>SUM(E26/100)</f>
        <v>0.14400000000000002</v>
      </c>
      <c r="G26" s="123">
        <v>556.74</v>
      </c>
      <c r="H26" s="124">
        <f t="shared" si="0"/>
        <v>8.0170560000000016E-2</v>
      </c>
      <c r="I26" s="14">
        <v>0</v>
      </c>
    </row>
    <row r="27" spans="1:9" ht="15.75" customHeight="1">
      <c r="A27" s="34">
        <v>6</v>
      </c>
      <c r="B27" s="120" t="s">
        <v>62</v>
      </c>
      <c r="C27" s="121" t="s">
        <v>31</v>
      </c>
      <c r="D27" s="120" t="s">
        <v>130</v>
      </c>
      <c r="E27" s="122">
        <v>0.1</v>
      </c>
      <c r="F27" s="123">
        <f>SUM(E27*365)</f>
        <v>36.5</v>
      </c>
      <c r="G27" s="123">
        <v>157.18</v>
      </c>
      <c r="H27" s="124">
        <f>SUM(F27*G27/1000)</f>
        <v>5.737070000000001</v>
      </c>
      <c r="I27" s="14">
        <f>F27/12*G27</f>
        <v>478.08916666666664</v>
      </c>
    </row>
    <row r="28" spans="1:9" ht="15.75" customHeight="1">
      <c r="A28" s="34">
        <v>7</v>
      </c>
      <c r="B28" s="128" t="s">
        <v>23</v>
      </c>
      <c r="C28" s="121" t="s">
        <v>24</v>
      </c>
      <c r="D28" s="128" t="s">
        <v>131</v>
      </c>
      <c r="E28" s="122">
        <v>2054.6</v>
      </c>
      <c r="F28" s="123">
        <f>SUM(E28*12)</f>
        <v>24655.199999999997</v>
      </c>
      <c r="G28" s="123">
        <v>6.15</v>
      </c>
      <c r="H28" s="124">
        <f>SUM(F28*G28/1000)</f>
        <v>151.62947999999997</v>
      </c>
      <c r="I28" s="14">
        <f>F28/12*G28</f>
        <v>12635.79</v>
      </c>
    </row>
    <row r="29" spans="1:9" ht="15.75" customHeight="1">
      <c r="A29" s="147" t="s">
        <v>88</v>
      </c>
      <c r="B29" s="148"/>
      <c r="C29" s="148"/>
      <c r="D29" s="148"/>
      <c r="E29" s="148"/>
      <c r="F29" s="148"/>
      <c r="G29" s="148"/>
      <c r="H29" s="148"/>
      <c r="I29" s="149"/>
    </row>
    <row r="30" spans="1:9" ht="15.75" customHeight="1">
      <c r="A30" s="34"/>
      <c r="B30" s="144" t="s">
        <v>27</v>
      </c>
      <c r="C30" s="121"/>
      <c r="D30" s="120"/>
      <c r="E30" s="122"/>
      <c r="F30" s="123"/>
      <c r="G30" s="123"/>
      <c r="H30" s="124"/>
      <c r="I30" s="14"/>
    </row>
    <row r="31" spans="1:9" ht="31.5" customHeight="1">
      <c r="A31" s="34">
        <v>8</v>
      </c>
      <c r="B31" s="120" t="s">
        <v>118</v>
      </c>
      <c r="C31" s="121" t="s">
        <v>99</v>
      </c>
      <c r="D31" s="120" t="s">
        <v>114</v>
      </c>
      <c r="E31" s="123">
        <v>600.63</v>
      </c>
      <c r="F31" s="123">
        <f>SUM(E31*52/1000)</f>
        <v>31.232759999999999</v>
      </c>
      <c r="G31" s="123">
        <v>166.65</v>
      </c>
      <c r="H31" s="124">
        <f t="shared" ref="H31:H36" si="1">SUM(F31*G31/1000)</f>
        <v>5.2049394540000007</v>
      </c>
      <c r="I31" s="14">
        <f>F31/6*G31</f>
        <v>867.4899089999999</v>
      </c>
    </row>
    <row r="32" spans="1:9" ht="31.5" customHeight="1">
      <c r="A32" s="34">
        <v>9</v>
      </c>
      <c r="B32" s="120" t="s">
        <v>117</v>
      </c>
      <c r="C32" s="121" t="s">
        <v>99</v>
      </c>
      <c r="D32" s="120" t="s">
        <v>115</v>
      </c>
      <c r="E32" s="123">
        <v>186.39</v>
      </c>
      <c r="F32" s="123">
        <f>SUM(E32*78/1000)</f>
        <v>14.538419999999999</v>
      </c>
      <c r="G32" s="123">
        <v>276.48</v>
      </c>
      <c r="H32" s="124">
        <f t="shared" si="1"/>
        <v>4.0195823615999995</v>
      </c>
      <c r="I32" s="14">
        <f t="shared" ref="I32:I34" si="2">F32/6*G32</f>
        <v>669.93039359999989</v>
      </c>
    </row>
    <row r="33" spans="1:9" ht="15.75" hidden="1" customHeight="1">
      <c r="A33" s="34">
        <v>16</v>
      </c>
      <c r="B33" s="120" t="s">
        <v>26</v>
      </c>
      <c r="C33" s="121" t="s">
        <v>99</v>
      </c>
      <c r="D33" s="120" t="s">
        <v>52</v>
      </c>
      <c r="E33" s="123">
        <v>600.63</v>
      </c>
      <c r="F33" s="123">
        <f>SUM(E33/1000)</f>
        <v>0.60063</v>
      </c>
      <c r="G33" s="123">
        <v>3228.73</v>
      </c>
      <c r="H33" s="124">
        <f t="shared" si="1"/>
        <v>1.9392720999000002</v>
      </c>
      <c r="I33" s="14">
        <f>F33*G33</f>
        <v>1939.2720999000001</v>
      </c>
    </row>
    <row r="34" spans="1:9" ht="15.75" customHeight="1">
      <c r="A34" s="34">
        <v>10</v>
      </c>
      <c r="B34" s="120" t="s">
        <v>116</v>
      </c>
      <c r="C34" s="121" t="s">
        <v>29</v>
      </c>
      <c r="D34" s="120" t="s">
        <v>61</v>
      </c>
      <c r="E34" s="127">
        <v>0.33333333333333331</v>
      </c>
      <c r="F34" s="123">
        <f>155/3</f>
        <v>51.666666666666664</v>
      </c>
      <c r="G34" s="123">
        <v>60.6</v>
      </c>
      <c r="H34" s="124">
        <f>SUM(G34*155/3/1000)</f>
        <v>3.1309999999999998</v>
      </c>
      <c r="I34" s="14">
        <f t="shared" si="2"/>
        <v>521.83333333333337</v>
      </c>
    </row>
    <row r="35" spans="1:9" ht="15.75" hidden="1" customHeight="1">
      <c r="A35" s="34"/>
      <c r="B35" s="120" t="s">
        <v>63</v>
      </c>
      <c r="C35" s="121" t="s">
        <v>31</v>
      </c>
      <c r="D35" s="120" t="s">
        <v>65</v>
      </c>
      <c r="E35" s="122"/>
      <c r="F35" s="123">
        <v>2</v>
      </c>
      <c r="G35" s="123">
        <v>204.52</v>
      </c>
      <c r="H35" s="124">
        <f t="shared" si="1"/>
        <v>0.40904000000000001</v>
      </c>
      <c r="I35" s="14">
        <v>0</v>
      </c>
    </row>
    <row r="36" spans="1:9" ht="15.75" hidden="1" customHeight="1">
      <c r="A36" s="34"/>
      <c r="B36" s="120" t="s">
        <v>64</v>
      </c>
      <c r="C36" s="121" t="s">
        <v>30</v>
      </c>
      <c r="D36" s="120" t="s">
        <v>65</v>
      </c>
      <c r="E36" s="122"/>
      <c r="F36" s="123">
        <v>1</v>
      </c>
      <c r="G36" s="123">
        <v>1214.74</v>
      </c>
      <c r="H36" s="124">
        <f t="shared" si="1"/>
        <v>1.2147399999999999</v>
      </c>
      <c r="I36" s="14">
        <v>0</v>
      </c>
    </row>
    <row r="37" spans="1:9" ht="15.75" hidden="1" customHeight="1">
      <c r="A37" s="34"/>
      <c r="B37" s="144" t="s">
        <v>5</v>
      </c>
      <c r="C37" s="121"/>
      <c r="D37" s="120"/>
      <c r="E37" s="122"/>
      <c r="F37" s="123"/>
      <c r="G37" s="123"/>
      <c r="H37" s="124" t="s">
        <v>131</v>
      </c>
      <c r="I37" s="14"/>
    </row>
    <row r="38" spans="1:9" ht="15.75" hidden="1" customHeight="1">
      <c r="A38" s="34">
        <v>8</v>
      </c>
      <c r="B38" s="120" t="s">
        <v>25</v>
      </c>
      <c r="C38" s="121" t="s">
        <v>30</v>
      </c>
      <c r="D38" s="120"/>
      <c r="E38" s="122"/>
      <c r="F38" s="123">
        <v>5</v>
      </c>
      <c r="G38" s="123">
        <v>1632.6</v>
      </c>
      <c r="H38" s="124">
        <f t="shared" ref="H38:H44" si="3">SUM(F38*G38/1000)</f>
        <v>8.1630000000000003</v>
      </c>
      <c r="I38" s="14">
        <f>F38/6*G38</f>
        <v>1360.5</v>
      </c>
    </row>
    <row r="39" spans="1:9" ht="15.75" hidden="1" customHeight="1">
      <c r="A39" s="34">
        <v>9</v>
      </c>
      <c r="B39" s="120" t="s">
        <v>139</v>
      </c>
      <c r="C39" s="121" t="s">
        <v>28</v>
      </c>
      <c r="D39" s="120" t="s">
        <v>97</v>
      </c>
      <c r="E39" s="122">
        <v>186.39</v>
      </c>
      <c r="F39" s="123">
        <f>E39*30/1000</f>
        <v>5.5916999999999994</v>
      </c>
      <c r="G39" s="123">
        <v>2247.8000000000002</v>
      </c>
      <c r="H39" s="124">
        <f>G39*F39/1000</f>
        <v>12.56902326</v>
      </c>
      <c r="I39" s="14">
        <f>F39/6*G39</f>
        <v>2094.8372100000001</v>
      </c>
    </row>
    <row r="40" spans="1:9" ht="15.75" hidden="1" customHeight="1">
      <c r="A40" s="34"/>
      <c r="B40" s="120" t="s">
        <v>164</v>
      </c>
      <c r="C40" s="121" t="s">
        <v>165</v>
      </c>
      <c r="D40" s="120" t="s">
        <v>65</v>
      </c>
      <c r="E40" s="122"/>
      <c r="F40" s="123">
        <v>72.3</v>
      </c>
      <c r="G40" s="123">
        <v>199.44</v>
      </c>
      <c r="H40" s="124">
        <f>G40*F40/1000</f>
        <v>14.419511999999999</v>
      </c>
      <c r="I40" s="14">
        <v>0</v>
      </c>
    </row>
    <row r="41" spans="1:9" ht="15.75" hidden="1" customHeight="1">
      <c r="A41" s="34">
        <v>10</v>
      </c>
      <c r="B41" s="120" t="s">
        <v>66</v>
      </c>
      <c r="C41" s="121" t="s">
        <v>28</v>
      </c>
      <c r="D41" s="120" t="s">
        <v>98</v>
      </c>
      <c r="E41" s="123">
        <v>186.39</v>
      </c>
      <c r="F41" s="123">
        <f>SUM(E41*155/1000)</f>
        <v>28.890449999999998</v>
      </c>
      <c r="G41" s="123">
        <v>374.95</v>
      </c>
      <c r="H41" s="124">
        <f t="shared" si="3"/>
        <v>10.832474227499999</v>
      </c>
      <c r="I41" s="14">
        <f>F41/6*G41</f>
        <v>1805.4123712499998</v>
      </c>
    </row>
    <row r="42" spans="1:9" ht="47.25" hidden="1" customHeight="1">
      <c r="A42" s="34">
        <v>11</v>
      </c>
      <c r="B42" s="120" t="s">
        <v>84</v>
      </c>
      <c r="C42" s="121" t="s">
        <v>99</v>
      </c>
      <c r="D42" s="120" t="s">
        <v>140</v>
      </c>
      <c r="E42" s="123">
        <v>52.2</v>
      </c>
      <c r="F42" s="123">
        <f>SUM(E42*35/1000)</f>
        <v>1.827</v>
      </c>
      <c r="G42" s="123">
        <v>6203.7</v>
      </c>
      <c r="H42" s="124">
        <f t="shared" si="3"/>
        <v>11.3341599</v>
      </c>
      <c r="I42" s="14">
        <f>F42/6*G42</f>
        <v>1889.0266499999998</v>
      </c>
    </row>
    <row r="43" spans="1:9" ht="15.75" hidden="1" customHeight="1">
      <c r="A43" s="34">
        <v>12</v>
      </c>
      <c r="B43" s="120" t="s">
        <v>141</v>
      </c>
      <c r="C43" s="121" t="s">
        <v>99</v>
      </c>
      <c r="D43" s="120" t="s">
        <v>67</v>
      </c>
      <c r="E43" s="123">
        <v>52.2</v>
      </c>
      <c r="F43" s="123">
        <f>SUM(E43*45/1000)</f>
        <v>2.3490000000000002</v>
      </c>
      <c r="G43" s="123">
        <v>458.28</v>
      </c>
      <c r="H43" s="124">
        <f t="shared" si="3"/>
        <v>1.0764997199999999</v>
      </c>
      <c r="I43" s="14">
        <f>F43/6*G43</f>
        <v>179.41661999999999</v>
      </c>
    </row>
    <row r="44" spans="1:9" ht="15.75" hidden="1" customHeight="1">
      <c r="A44" s="34">
        <v>13</v>
      </c>
      <c r="B44" s="120" t="s">
        <v>68</v>
      </c>
      <c r="C44" s="121" t="s">
        <v>31</v>
      </c>
      <c r="D44" s="120"/>
      <c r="E44" s="122"/>
      <c r="F44" s="123">
        <v>0.5</v>
      </c>
      <c r="G44" s="123">
        <v>853.06</v>
      </c>
      <c r="H44" s="124">
        <f t="shared" si="3"/>
        <v>0.42652999999999996</v>
      </c>
      <c r="I44" s="14">
        <f>F44/6*G44</f>
        <v>71.088333333333324</v>
      </c>
    </row>
    <row r="45" spans="1:9" ht="15.75" customHeight="1">
      <c r="A45" s="147" t="s">
        <v>159</v>
      </c>
      <c r="B45" s="148"/>
      <c r="C45" s="148"/>
      <c r="D45" s="148"/>
      <c r="E45" s="148"/>
      <c r="F45" s="148"/>
      <c r="G45" s="148"/>
      <c r="H45" s="148"/>
      <c r="I45" s="149"/>
    </row>
    <row r="46" spans="1:9" ht="15.75" customHeight="1">
      <c r="A46" s="34">
        <v>11</v>
      </c>
      <c r="B46" s="120" t="s">
        <v>119</v>
      </c>
      <c r="C46" s="121" t="s">
        <v>99</v>
      </c>
      <c r="D46" s="120" t="s">
        <v>41</v>
      </c>
      <c r="E46" s="122">
        <v>917.75</v>
      </c>
      <c r="F46" s="123">
        <f>SUM(E46*2/1000)</f>
        <v>1.8354999999999999</v>
      </c>
      <c r="G46" s="14">
        <v>865.61</v>
      </c>
      <c r="H46" s="124">
        <f t="shared" ref="H46:H55" si="4">SUM(F46*G46/1000)</f>
        <v>1.5888271549999999</v>
      </c>
      <c r="I46" s="14">
        <f t="shared" ref="I46:I49" si="5">F46/2*G46</f>
        <v>794.41357749999997</v>
      </c>
    </row>
    <row r="47" spans="1:9" ht="15.75" customHeight="1">
      <c r="A47" s="34">
        <v>12</v>
      </c>
      <c r="B47" s="120" t="s">
        <v>34</v>
      </c>
      <c r="C47" s="121" t="s">
        <v>99</v>
      </c>
      <c r="D47" s="120" t="s">
        <v>41</v>
      </c>
      <c r="E47" s="122">
        <v>48</v>
      </c>
      <c r="F47" s="123">
        <f>E47*2/1000</f>
        <v>9.6000000000000002E-2</v>
      </c>
      <c r="G47" s="14">
        <v>619.46</v>
      </c>
      <c r="H47" s="124">
        <f t="shared" si="4"/>
        <v>5.9468160000000006E-2</v>
      </c>
      <c r="I47" s="14">
        <f t="shared" si="5"/>
        <v>29.734080000000002</v>
      </c>
    </row>
    <row r="48" spans="1:9" ht="15.75" customHeight="1">
      <c r="A48" s="34">
        <v>13</v>
      </c>
      <c r="B48" s="120" t="s">
        <v>35</v>
      </c>
      <c r="C48" s="121" t="s">
        <v>99</v>
      </c>
      <c r="D48" s="120" t="s">
        <v>41</v>
      </c>
      <c r="E48" s="122">
        <v>937.4</v>
      </c>
      <c r="F48" s="123">
        <f>SUM(E48*2/1000)</f>
        <v>1.8748</v>
      </c>
      <c r="G48" s="14">
        <v>619.46</v>
      </c>
      <c r="H48" s="124">
        <f t="shared" si="4"/>
        <v>1.161363608</v>
      </c>
      <c r="I48" s="14">
        <f t="shared" si="5"/>
        <v>580.68180400000006</v>
      </c>
    </row>
    <row r="49" spans="1:9" ht="15.75" customHeight="1">
      <c r="A49" s="34">
        <v>14</v>
      </c>
      <c r="B49" s="120" t="s">
        <v>36</v>
      </c>
      <c r="C49" s="121" t="s">
        <v>99</v>
      </c>
      <c r="D49" s="120" t="s">
        <v>41</v>
      </c>
      <c r="E49" s="122">
        <v>1243.28</v>
      </c>
      <c r="F49" s="123">
        <f>SUM(E49*2/1000)</f>
        <v>2.4865599999999999</v>
      </c>
      <c r="G49" s="14">
        <v>648.64</v>
      </c>
      <c r="H49" s="124">
        <f t="shared" si="4"/>
        <v>1.6128822783999999</v>
      </c>
      <c r="I49" s="14">
        <f t="shared" si="5"/>
        <v>806.44113919999995</v>
      </c>
    </row>
    <row r="50" spans="1:9" ht="15.75" customHeight="1">
      <c r="A50" s="34">
        <v>15</v>
      </c>
      <c r="B50" s="120" t="s">
        <v>32</v>
      </c>
      <c r="C50" s="121" t="s">
        <v>33</v>
      </c>
      <c r="D50" s="120" t="s">
        <v>41</v>
      </c>
      <c r="E50" s="122">
        <v>64.5</v>
      </c>
      <c r="F50" s="123">
        <f>SUM(E50*2/100)</f>
        <v>1.29</v>
      </c>
      <c r="G50" s="14">
        <v>77.84</v>
      </c>
      <c r="H50" s="124">
        <f t="shared" si="4"/>
        <v>0.10041360000000001</v>
      </c>
      <c r="I50" s="14">
        <f>F50/2*G50</f>
        <v>50.206800000000001</v>
      </c>
    </row>
    <row r="51" spans="1:9" ht="15.75" customHeight="1">
      <c r="A51" s="34">
        <v>16</v>
      </c>
      <c r="B51" s="120" t="s">
        <v>54</v>
      </c>
      <c r="C51" s="121" t="s">
        <v>99</v>
      </c>
      <c r="D51" s="120" t="s">
        <v>186</v>
      </c>
      <c r="E51" s="122">
        <v>678.4</v>
      </c>
      <c r="F51" s="123">
        <f>SUM(E51*5/1000)</f>
        <v>3.3919999999999999</v>
      </c>
      <c r="G51" s="14">
        <v>1297.28</v>
      </c>
      <c r="H51" s="124">
        <f t="shared" si="4"/>
        <v>4.4003737599999999</v>
      </c>
      <c r="I51" s="14">
        <f>F51/5*G51</f>
        <v>880.07475199999999</v>
      </c>
    </row>
    <row r="52" spans="1:9" ht="31.5" hidden="1" customHeight="1">
      <c r="A52" s="34"/>
      <c r="B52" s="120" t="s">
        <v>100</v>
      </c>
      <c r="C52" s="121" t="s">
        <v>99</v>
      </c>
      <c r="D52" s="120" t="s">
        <v>41</v>
      </c>
      <c r="E52" s="122">
        <v>678.4</v>
      </c>
      <c r="F52" s="123">
        <f>SUM(E52*2/1000)</f>
        <v>1.3568</v>
      </c>
      <c r="G52" s="14">
        <v>1297.28</v>
      </c>
      <c r="H52" s="124">
        <f t="shared" si="4"/>
        <v>1.7601495039999999</v>
      </c>
      <c r="I52" s="14">
        <v>0</v>
      </c>
    </row>
    <row r="53" spans="1:9" ht="31.5" hidden="1" customHeight="1">
      <c r="A53" s="34"/>
      <c r="B53" s="120" t="s">
        <v>101</v>
      </c>
      <c r="C53" s="121" t="s">
        <v>37</v>
      </c>
      <c r="D53" s="120" t="s">
        <v>41</v>
      </c>
      <c r="E53" s="122">
        <v>12</v>
      </c>
      <c r="F53" s="123">
        <f>SUM(E53*2/100)</f>
        <v>0.24</v>
      </c>
      <c r="G53" s="14">
        <v>2918.89</v>
      </c>
      <c r="H53" s="124">
        <f t="shared" si="4"/>
        <v>0.70053359999999998</v>
      </c>
      <c r="I53" s="14">
        <v>0</v>
      </c>
    </row>
    <row r="54" spans="1:9" ht="15.75" hidden="1" customHeight="1">
      <c r="A54" s="34"/>
      <c r="B54" s="120" t="s">
        <v>38</v>
      </c>
      <c r="C54" s="121" t="s">
        <v>39</v>
      </c>
      <c r="D54" s="120" t="s">
        <v>41</v>
      </c>
      <c r="E54" s="122">
        <v>1</v>
      </c>
      <c r="F54" s="123">
        <v>0.02</v>
      </c>
      <c r="G54" s="14">
        <v>6042.12</v>
      </c>
      <c r="H54" s="124">
        <f t="shared" si="4"/>
        <v>0.1208424</v>
      </c>
      <c r="I54" s="14">
        <v>0</v>
      </c>
    </row>
    <row r="55" spans="1:9" ht="15.75" hidden="1" customHeight="1">
      <c r="A55" s="34">
        <v>15</v>
      </c>
      <c r="B55" s="120" t="s">
        <v>40</v>
      </c>
      <c r="C55" s="121" t="s">
        <v>120</v>
      </c>
      <c r="D55" s="120" t="s">
        <v>69</v>
      </c>
      <c r="E55" s="122">
        <v>72</v>
      </c>
      <c r="F55" s="123">
        <f>SUM(E55)*3</f>
        <v>216</v>
      </c>
      <c r="G55" s="14">
        <v>70.209999999999994</v>
      </c>
      <c r="H55" s="124">
        <f t="shared" si="4"/>
        <v>15.165359999999998</v>
      </c>
      <c r="I55" s="14">
        <f>E55*G55</f>
        <v>5055.12</v>
      </c>
    </row>
    <row r="56" spans="1:9" ht="15.75" customHeight="1">
      <c r="A56" s="147" t="s">
        <v>160</v>
      </c>
      <c r="B56" s="148"/>
      <c r="C56" s="148"/>
      <c r="D56" s="148"/>
      <c r="E56" s="148"/>
      <c r="F56" s="148"/>
      <c r="G56" s="148"/>
      <c r="H56" s="148"/>
      <c r="I56" s="149"/>
    </row>
    <row r="57" spans="1:9" ht="15.75" hidden="1" customHeight="1">
      <c r="A57" s="34"/>
      <c r="B57" s="144" t="s">
        <v>42</v>
      </c>
      <c r="C57" s="121"/>
      <c r="D57" s="120"/>
      <c r="E57" s="122"/>
      <c r="F57" s="123"/>
      <c r="G57" s="123"/>
      <c r="H57" s="124"/>
      <c r="I57" s="14"/>
    </row>
    <row r="58" spans="1:9" ht="31.5" hidden="1" customHeight="1">
      <c r="A58" s="34">
        <v>16</v>
      </c>
      <c r="B58" s="120" t="s">
        <v>121</v>
      </c>
      <c r="C58" s="121" t="s">
        <v>94</v>
      </c>
      <c r="D58" s="120" t="s">
        <v>122</v>
      </c>
      <c r="E58" s="122">
        <v>110.66</v>
      </c>
      <c r="F58" s="123">
        <f>SUM(E58*6/100)</f>
        <v>6.6396000000000006</v>
      </c>
      <c r="G58" s="14">
        <v>1654.04</v>
      </c>
      <c r="H58" s="124">
        <f>SUM(F58*G58/1000)</f>
        <v>10.982163984000001</v>
      </c>
      <c r="I58" s="14">
        <f>F58/6*G58</f>
        <v>1830.360664</v>
      </c>
    </row>
    <row r="59" spans="1:9" ht="15.75" customHeight="1">
      <c r="A59" s="34"/>
      <c r="B59" s="145" t="s">
        <v>43</v>
      </c>
      <c r="C59" s="129"/>
      <c r="D59" s="130"/>
      <c r="E59" s="131"/>
      <c r="F59" s="132"/>
      <c r="G59" s="132"/>
      <c r="H59" s="133" t="s">
        <v>131</v>
      </c>
      <c r="I59" s="14"/>
    </row>
    <row r="60" spans="1:9" ht="15.75" hidden="1" customHeight="1">
      <c r="A60" s="34">
        <v>17</v>
      </c>
      <c r="B60" s="16" t="s">
        <v>44</v>
      </c>
      <c r="C60" s="18" t="s">
        <v>120</v>
      </c>
      <c r="D60" s="16" t="s">
        <v>65</v>
      </c>
      <c r="E60" s="21">
        <v>8</v>
      </c>
      <c r="F60" s="123">
        <v>8</v>
      </c>
      <c r="G60" s="14">
        <v>237.74</v>
      </c>
      <c r="H60" s="134">
        <f t="shared" ref="H60:H73" si="6">SUM(F60*G60/1000)</f>
        <v>1.9019200000000001</v>
      </c>
      <c r="I60" s="14">
        <f>G60</f>
        <v>237.74</v>
      </c>
    </row>
    <row r="61" spans="1:9" ht="15.75" hidden="1" customHeight="1">
      <c r="A61" s="34"/>
      <c r="B61" s="16" t="s">
        <v>45</v>
      </c>
      <c r="C61" s="18" t="s">
        <v>120</v>
      </c>
      <c r="D61" s="16" t="s">
        <v>65</v>
      </c>
      <c r="E61" s="21">
        <v>3</v>
      </c>
      <c r="F61" s="123">
        <v>3</v>
      </c>
      <c r="G61" s="14">
        <v>81.510000000000005</v>
      </c>
      <c r="H61" s="134">
        <f t="shared" si="6"/>
        <v>0.24453000000000003</v>
      </c>
      <c r="I61" s="14">
        <v>0</v>
      </c>
    </row>
    <row r="62" spans="1:9" ht="15.75" hidden="1" customHeight="1">
      <c r="A62" s="34"/>
      <c r="B62" s="16" t="s">
        <v>46</v>
      </c>
      <c r="C62" s="18" t="s">
        <v>123</v>
      </c>
      <c r="D62" s="16" t="s">
        <v>52</v>
      </c>
      <c r="E62" s="122">
        <v>8539</v>
      </c>
      <c r="F62" s="14">
        <f>SUM(E62/100)</f>
        <v>85.39</v>
      </c>
      <c r="G62" s="14">
        <v>226.79</v>
      </c>
      <c r="H62" s="134">
        <f t="shared" si="6"/>
        <v>19.3655981</v>
      </c>
      <c r="I62" s="14">
        <v>0</v>
      </c>
    </row>
    <row r="63" spans="1:9" ht="15.75" hidden="1" customHeight="1">
      <c r="A63" s="34"/>
      <c r="B63" s="16" t="s">
        <v>47</v>
      </c>
      <c r="C63" s="18" t="s">
        <v>124</v>
      </c>
      <c r="D63" s="16"/>
      <c r="E63" s="122">
        <v>8539</v>
      </c>
      <c r="F63" s="14">
        <f>SUM(E63/1000)</f>
        <v>8.5389999999999997</v>
      </c>
      <c r="G63" s="14">
        <v>176.61</v>
      </c>
      <c r="H63" s="134">
        <f t="shared" si="6"/>
        <v>1.5080727900000002</v>
      </c>
      <c r="I63" s="14">
        <v>0</v>
      </c>
    </row>
    <row r="64" spans="1:9" ht="15.75" hidden="1" customHeight="1">
      <c r="A64" s="34"/>
      <c r="B64" s="16" t="s">
        <v>48</v>
      </c>
      <c r="C64" s="18" t="s">
        <v>75</v>
      </c>
      <c r="D64" s="16" t="s">
        <v>52</v>
      </c>
      <c r="E64" s="122">
        <v>1370</v>
      </c>
      <c r="F64" s="14">
        <f>SUM(E64/100)</f>
        <v>13.7</v>
      </c>
      <c r="G64" s="14">
        <v>2217.7800000000002</v>
      </c>
      <c r="H64" s="134">
        <f t="shared" si="6"/>
        <v>30.383586000000005</v>
      </c>
      <c r="I64" s="14">
        <v>0</v>
      </c>
    </row>
    <row r="65" spans="1:9" ht="15.75" hidden="1" customHeight="1">
      <c r="A65" s="34"/>
      <c r="B65" s="135" t="s">
        <v>125</v>
      </c>
      <c r="C65" s="18" t="s">
        <v>31</v>
      </c>
      <c r="D65" s="16"/>
      <c r="E65" s="122">
        <v>9</v>
      </c>
      <c r="F65" s="14">
        <f>SUM(E65)</f>
        <v>9</v>
      </c>
      <c r="G65" s="14">
        <v>42.67</v>
      </c>
      <c r="H65" s="134">
        <f t="shared" si="6"/>
        <v>0.38403000000000004</v>
      </c>
      <c r="I65" s="14">
        <v>0</v>
      </c>
    </row>
    <row r="66" spans="1:9" ht="15.75" hidden="1" customHeight="1">
      <c r="A66" s="34"/>
      <c r="B66" s="135" t="s">
        <v>126</v>
      </c>
      <c r="C66" s="18" t="s">
        <v>31</v>
      </c>
      <c r="D66" s="16"/>
      <c r="E66" s="122">
        <v>9</v>
      </c>
      <c r="F66" s="14">
        <f>SUM(E66)</f>
        <v>9</v>
      </c>
      <c r="G66" s="14">
        <v>39.81</v>
      </c>
      <c r="H66" s="134">
        <f t="shared" si="6"/>
        <v>0.35829</v>
      </c>
      <c r="I66" s="14">
        <v>0</v>
      </c>
    </row>
    <row r="67" spans="1:9" ht="15.75" customHeight="1">
      <c r="A67" s="34">
        <v>17</v>
      </c>
      <c r="B67" s="16" t="s">
        <v>55</v>
      </c>
      <c r="C67" s="18" t="s">
        <v>56</v>
      </c>
      <c r="D67" s="16" t="s">
        <v>52</v>
      </c>
      <c r="E67" s="21">
        <v>3</v>
      </c>
      <c r="F67" s="123">
        <v>3</v>
      </c>
      <c r="G67" s="14">
        <v>53.62</v>
      </c>
      <c r="H67" s="134">
        <f t="shared" si="6"/>
        <v>0.16085999999999998</v>
      </c>
      <c r="I67" s="14">
        <f>G67*3</f>
        <v>160.85999999999999</v>
      </c>
    </row>
    <row r="68" spans="1:9" ht="15.75" hidden="1" customHeight="1">
      <c r="A68" s="34"/>
      <c r="B68" s="36" t="s">
        <v>70</v>
      </c>
      <c r="C68" s="18"/>
      <c r="D68" s="16"/>
      <c r="E68" s="21"/>
      <c r="F68" s="14"/>
      <c r="G68" s="14"/>
      <c r="H68" s="134" t="s">
        <v>131</v>
      </c>
      <c r="I68" s="14"/>
    </row>
    <row r="69" spans="1:9" ht="15.75" hidden="1" customHeight="1">
      <c r="A69" s="34"/>
      <c r="B69" s="16" t="s">
        <v>71</v>
      </c>
      <c r="C69" s="18" t="s">
        <v>73</v>
      </c>
      <c r="D69" s="16"/>
      <c r="E69" s="21">
        <v>2</v>
      </c>
      <c r="F69" s="14">
        <v>0.2</v>
      </c>
      <c r="G69" s="14">
        <v>536.23</v>
      </c>
      <c r="H69" s="134">
        <f t="shared" si="6"/>
        <v>0.10724600000000001</v>
      </c>
      <c r="I69" s="14">
        <v>0</v>
      </c>
    </row>
    <row r="70" spans="1:9" ht="15.75" hidden="1" customHeight="1">
      <c r="A70" s="34"/>
      <c r="B70" s="16" t="s">
        <v>72</v>
      </c>
      <c r="C70" s="18" t="s">
        <v>29</v>
      </c>
      <c r="D70" s="16"/>
      <c r="E70" s="21">
        <v>1</v>
      </c>
      <c r="F70" s="116">
        <v>1</v>
      </c>
      <c r="G70" s="14">
        <v>911.85</v>
      </c>
      <c r="H70" s="134">
        <f>F70*G70/1000</f>
        <v>0.91185000000000005</v>
      </c>
      <c r="I70" s="14">
        <v>0</v>
      </c>
    </row>
    <row r="71" spans="1:9" ht="15.75" hidden="1" customHeight="1">
      <c r="A71" s="34"/>
      <c r="B71" s="16" t="s">
        <v>143</v>
      </c>
      <c r="C71" s="18" t="s">
        <v>29</v>
      </c>
      <c r="D71" s="16"/>
      <c r="E71" s="21">
        <v>1</v>
      </c>
      <c r="F71" s="14">
        <v>1</v>
      </c>
      <c r="G71" s="14">
        <v>383.25</v>
      </c>
      <c r="H71" s="134">
        <f>G71*F71/1000</f>
        <v>0.38324999999999998</v>
      </c>
      <c r="I71" s="14">
        <v>0</v>
      </c>
    </row>
    <row r="72" spans="1:9" ht="15.75" hidden="1" customHeight="1">
      <c r="A72" s="34"/>
      <c r="B72" s="136" t="s">
        <v>74</v>
      </c>
      <c r="C72" s="18"/>
      <c r="D72" s="16"/>
      <c r="E72" s="21"/>
      <c r="F72" s="14"/>
      <c r="G72" s="14" t="s">
        <v>131</v>
      </c>
      <c r="H72" s="134" t="s">
        <v>131</v>
      </c>
      <c r="I72" s="14"/>
    </row>
    <row r="73" spans="1:9" ht="15.75" hidden="1" customHeight="1">
      <c r="A73" s="34"/>
      <c r="B73" s="63" t="s">
        <v>132</v>
      </c>
      <c r="C73" s="18" t="s">
        <v>75</v>
      </c>
      <c r="D73" s="16"/>
      <c r="E73" s="21"/>
      <c r="F73" s="14">
        <v>1.35</v>
      </c>
      <c r="G73" s="14">
        <v>2949.85</v>
      </c>
      <c r="H73" s="134">
        <f t="shared" si="6"/>
        <v>3.9822975</v>
      </c>
      <c r="I73" s="14">
        <v>0</v>
      </c>
    </row>
    <row r="74" spans="1:9" ht="15.75" hidden="1" customHeight="1">
      <c r="A74" s="34"/>
      <c r="B74" s="115" t="s">
        <v>102</v>
      </c>
      <c r="C74" s="137"/>
      <c r="D74" s="36"/>
      <c r="E74" s="37"/>
      <c r="F74" s="126"/>
      <c r="G74" s="126"/>
      <c r="H74" s="138">
        <f>SUM(H58:H73)</f>
        <v>70.673694374000007</v>
      </c>
      <c r="I74" s="126"/>
    </row>
    <row r="75" spans="1:9" ht="15.75" hidden="1" customHeight="1">
      <c r="A75" s="34"/>
      <c r="B75" s="120" t="s">
        <v>127</v>
      </c>
      <c r="C75" s="18"/>
      <c r="D75" s="16"/>
      <c r="E75" s="139"/>
      <c r="F75" s="14">
        <v>1</v>
      </c>
      <c r="G75" s="14">
        <v>7101.4</v>
      </c>
      <c r="H75" s="134">
        <f>G75*F75/1000</f>
        <v>7.1013999999999999</v>
      </c>
      <c r="I75" s="14">
        <v>0</v>
      </c>
    </row>
    <row r="76" spans="1:9" ht="15.75" customHeight="1">
      <c r="A76" s="147" t="s">
        <v>161</v>
      </c>
      <c r="B76" s="148"/>
      <c r="C76" s="148"/>
      <c r="D76" s="148"/>
      <c r="E76" s="148"/>
      <c r="F76" s="148"/>
      <c r="G76" s="148"/>
      <c r="H76" s="148"/>
      <c r="I76" s="149"/>
    </row>
    <row r="77" spans="1:9" ht="15.75" customHeight="1">
      <c r="A77" s="34">
        <v>18</v>
      </c>
      <c r="B77" s="120" t="s">
        <v>128</v>
      </c>
      <c r="C77" s="18" t="s">
        <v>53</v>
      </c>
      <c r="D77" s="140" t="s">
        <v>188</v>
      </c>
      <c r="E77" s="14">
        <v>2054.6</v>
      </c>
      <c r="F77" s="14">
        <f>SUM(E77*12)</f>
        <v>24655.199999999997</v>
      </c>
      <c r="G77" s="14">
        <v>2.2400000000000002</v>
      </c>
      <c r="H77" s="134">
        <f>SUM(F77*G77/1000)</f>
        <v>55.227648000000002</v>
      </c>
      <c r="I77" s="14">
        <f>F77/12*G77</f>
        <v>4602.3040000000001</v>
      </c>
    </row>
    <row r="78" spans="1:9" ht="31.5" customHeight="1">
      <c r="A78" s="34">
        <v>19</v>
      </c>
      <c r="B78" s="16" t="s">
        <v>76</v>
      </c>
      <c r="C78" s="18"/>
      <c r="D78" s="140" t="s">
        <v>188</v>
      </c>
      <c r="E78" s="122">
        <f>E77</f>
        <v>2054.6</v>
      </c>
      <c r="F78" s="14">
        <f>E78*12</f>
        <v>24655.199999999997</v>
      </c>
      <c r="G78" s="14">
        <v>1.74</v>
      </c>
      <c r="H78" s="134">
        <f>F78*G78/1000</f>
        <v>42.900047999999998</v>
      </c>
      <c r="I78" s="14">
        <f>F78/12*G78</f>
        <v>3575.0039999999999</v>
      </c>
    </row>
    <row r="79" spans="1:9" ht="15.75" customHeight="1">
      <c r="A79" s="34"/>
      <c r="B79" s="50" t="s">
        <v>80</v>
      </c>
      <c r="C79" s="137"/>
      <c r="D79" s="136"/>
      <c r="E79" s="126"/>
      <c r="F79" s="126"/>
      <c r="G79" s="126"/>
      <c r="H79" s="138">
        <f>H78</f>
        <v>42.900047999999998</v>
      </c>
      <c r="I79" s="126">
        <f>I16+I17+I18+I20+I21+I27+I28+I31+I32+I34+I46+I47+I48+I49+I50+I51+I67+I77+I78</f>
        <v>33099.060187299998</v>
      </c>
    </row>
    <row r="80" spans="1:9" ht="15.75" customHeight="1">
      <c r="A80" s="34"/>
      <c r="B80" s="75" t="s">
        <v>58</v>
      </c>
      <c r="C80" s="18"/>
      <c r="D80" s="63"/>
      <c r="E80" s="14"/>
      <c r="F80" s="14"/>
      <c r="G80" s="14"/>
      <c r="H80" s="14"/>
      <c r="I80" s="14"/>
    </row>
    <row r="81" spans="1:9" ht="15.75" customHeight="1">
      <c r="A81" s="34">
        <v>20</v>
      </c>
      <c r="B81" s="76" t="s">
        <v>133</v>
      </c>
      <c r="C81" s="77" t="s">
        <v>120</v>
      </c>
      <c r="D81" s="63"/>
      <c r="E81" s="14"/>
      <c r="F81" s="14">
        <v>432</v>
      </c>
      <c r="G81" s="14">
        <v>50.68</v>
      </c>
      <c r="H81" s="14">
        <f>G81*F81/1000</f>
        <v>21.893759999999997</v>
      </c>
      <c r="I81" s="14">
        <f>G81*36</f>
        <v>1824.48</v>
      </c>
    </row>
    <row r="82" spans="1:9" ht="15.75" customHeight="1">
      <c r="A82" s="34">
        <v>21</v>
      </c>
      <c r="B82" s="142" t="s">
        <v>144</v>
      </c>
      <c r="C82" s="143" t="s">
        <v>145</v>
      </c>
      <c r="D82" s="63"/>
      <c r="E82" s="14"/>
      <c r="F82" s="14">
        <f>12/3</f>
        <v>4</v>
      </c>
      <c r="G82" s="14">
        <v>1063.47</v>
      </c>
      <c r="H82" s="134">
        <f t="shared" ref="H82" si="7">G82*F82/1000</f>
        <v>4.2538800000000005</v>
      </c>
      <c r="I82" s="14">
        <f>G82</f>
        <v>1063.47</v>
      </c>
    </row>
    <row r="83" spans="1:9" ht="15.75" customHeight="1">
      <c r="A83" s="34"/>
      <c r="B83" s="57" t="s">
        <v>49</v>
      </c>
      <c r="C83" s="53"/>
      <c r="D83" s="66"/>
      <c r="E83" s="53">
        <v>1</v>
      </c>
      <c r="F83" s="53"/>
      <c r="G83" s="53"/>
      <c r="H83" s="53"/>
      <c r="I83" s="37">
        <f>SUM(I81:I82)</f>
        <v>2887.95</v>
      </c>
    </row>
    <row r="84" spans="1:9" ht="15.75" customHeight="1">
      <c r="A84" s="34"/>
      <c r="B84" s="63" t="s">
        <v>77</v>
      </c>
      <c r="C84" s="17"/>
      <c r="D84" s="17"/>
      <c r="E84" s="54"/>
      <c r="F84" s="54"/>
      <c r="G84" s="55"/>
      <c r="H84" s="55"/>
      <c r="I84" s="20">
        <v>0</v>
      </c>
    </row>
    <row r="85" spans="1:9" ht="15.75" customHeight="1">
      <c r="A85" s="67"/>
      <c r="B85" s="58" t="s">
        <v>50</v>
      </c>
      <c r="C85" s="43"/>
      <c r="D85" s="43"/>
      <c r="E85" s="43"/>
      <c r="F85" s="43"/>
      <c r="G85" s="43"/>
      <c r="H85" s="43"/>
      <c r="I85" s="56">
        <f>I79+I83</f>
        <v>35987.010187299995</v>
      </c>
    </row>
    <row r="86" spans="1:9" ht="15.75">
      <c r="A86" s="160" t="s">
        <v>223</v>
      </c>
      <c r="B86" s="160"/>
      <c r="C86" s="160"/>
      <c r="D86" s="160"/>
      <c r="E86" s="160"/>
      <c r="F86" s="160"/>
      <c r="G86" s="160"/>
      <c r="H86" s="160"/>
      <c r="I86" s="160"/>
    </row>
    <row r="87" spans="1:9" ht="15.75">
      <c r="A87" s="102"/>
      <c r="B87" s="155" t="s">
        <v>224</v>
      </c>
      <c r="C87" s="155"/>
      <c r="D87" s="155"/>
      <c r="E87" s="155"/>
      <c r="F87" s="155"/>
      <c r="G87" s="155"/>
      <c r="H87" s="119"/>
      <c r="I87" s="3"/>
    </row>
    <row r="88" spans="1:9">
      <c r="A88" s="106"/>
      <c r="B88" s="151" t="s">
        <v>6</v>
      </c>
      <c r="C88" s="151"/>
      <c r="D88" s="151"/>
      <c r="E88" s="151"/>
      <c r="F88" s="151"/>
      <c r="G88" s="151"/>
      <c r="H88" s="29"/>
      <c r="I88" s="5"/>
    </row>
    <row r="89" spans="1:9">
      <c r="A89" s="10"/>
      <c r="B89" s="10"/>
      <c r="C89" s="10"/>
      <c r="D89" s="10"/>
      <c r="E89" s="10"/>
      <c r="F89" s="10"/>
      <c r="G89" s="10"/>
      <c r="H89" s="10"/>
      <c r="I89" s="10"/>
    </row>
    <row r="90" spans="1:9" ht="15.75">
      <c r="A90" s="156" t="s">
        <v>7</v>
      </c>
      <c r="B90" s="156"/>
      <c r="C90" s="156"/>
      <c r="D90" s="156"/>
      <c r="E90" s="156"/>
      <c r="F90" s="156"/>
      <c r="G90" s="156"/>
      <c r="H90" s="156"/>
      <c r="I90" s="156"/>
    </row>
    <row r="91" spans="1:9" ht="15.75">
      <c r="A91" s="156" t="s">
        <v>8</v>
      </c>
      <c r="B91" s="156"/>
      <c r="C91" s="156"/>
      <c r="D91" s="156"/>
      <c r="E91" s="156"/>
      <c r="F91" s="156"/>
      <c r="G91" s="156"/>
      <c r="H91" s="156"/>
      <c r="I91" s="156"/>
    </row>
    <row r="92" spans="1:9" ht="15.75">
      <c r="A92" s="157" t="s">
        <v>59</v>
      </c>
      <c r="B92" s="157"/>
      <c r="C92" s="157"/>
      <c r="D92" s="157"/>
      <c r="E92" s="157"/>
      <c r="F92" s="157"/>
      <c r="G92" s="157"/>
      <c r="H92" s="157"/>
      <c r="I92" s="157"/>
    </row>
    <row r="93" spans="1:9" ht="15.75">
      <c r="A93" s="11"/>
    </row>
    <row r="94" spans="1:9" ht="15.75">
      <c r="A94" s="158" t="s">
        <v>9</v>
      </c>
      <c r="B94" s="158"/>
      <c r="C94" s="158"/>
      <c r="D94" s="158"/>
      <c r="E94" s="158"/>
      <c r="F94" s="158"/>
      <c r="G94" s="158"/>
      <c r="H94" s="158"/>
      <c r="I94" s="158"/>
    </row>
    <row r="95" spans="1:9" ht="15.75">
      <c r="A95" s="4"/>
    </row>
    <row r="96" spans="1:9" ht="15.75">
      <c r="B96" s="107" t="s">
        <v>10</v>
      </c>
      <c r="C96" s="150" t="s">
        <v>162</v>
      </c>
      <c r="D96" s="150"/>
      <c r="E96" s="150"/>
      <c r="F96" s="117"/>
      <c r="I96" s="105"/>
    </row>
    <row r="97" spans="1:9">
      <c r="A97" s="106"/>
      <c r="C97" s="151" t="s">
        <v>11</v>
      </c>
      <c r="D97" s="151"/>
      <c r="E97" s="151"/>
      <c r="F97" s="29"/>
      <c r="I97" s="104" t="s">
        <v>12</v>
      </c>
    </row>
    <row r="98" spans="1:9" ht="15.75">
      <c r="A98" s="30"/>
      <c r="C98" s="12"/>
      <c r="D98" s="12"/>
      <c r="G98" s="12"/>
      <c r="H98" s="12"/>
    </row>
    <row r="99" spans="1:9" ht="15.75">
      <c r="B99" s="107" t="s">
        <v>13</v>
      </c>
      <c r="C99" s="152"/>
      <c r="D99" s="152"/>
      <c r="E99" s="152"/>
      <c r="F99" s="118"/>
      <c r="I99" s="105"/>
    </row>
    <row r="100" spans="1:9">
      <c r="A100" s="106"/>
      <c r="C100" s="153" t="s">
        <v>11</v>
      </c>
      <c r="D100" s="153"/>
      <c r="E100" s="153"/>
      <c r="F100" s="106"/>
      <c r="I100" s="104" t="s">
        <v>12</v>
      </c>
    </row>
    <row r="101" spans="1:9" ht="15.75">
      <c r="A101" s="4" t="s">
        <v>14</v>
      </c>
    </row>
    <row r="102" spans="1:9">
      <c r="A102" s="154" t="s">
        <v>15</v>
      </c>
      <c r="B102" s="154"/>
      <c r="C102" s="154"/>
      <c r="D102" s="154"/>
      <c r="E102" s="154"/>
      <c r="F102" s="154"/>
      <c r="G102" s="154"/>
      <c r="H102" s="154"/>
      <c r="I102" s="154"/>
    </row>
    <row r="103" spans="1:9" ht="45" customHeight="1">
      <c r="A103" s="146" t="s">
        <v>16</v>
      </c>
      <c r="B103" s="146"/>
      <c r="C103" s="146"/>
      <c r="D103" s="146"/>
      <c r="E103" s="146"/>
      <c r="F103" s="146"/>
      <c r="G103" s="146"/>
      <c r="H103" s="146"/>
      <c r="I103" s="146"/>
    </row>
    <row r="104" spans="1:9" ht="30" customHeight="1">
      <c r="A104" s="146" t="s">
        <v>17</v>
      </c>
      <c r="B104" s="146"/>
      <c r="C104" s="146"/>
      <c r="D104" s="146"/>
      <c r="E104" s="146"/>
      <c r="F104" s="146"/>
      <c r="G104" s="146"/>
      <c r="H104" s="146"/>
      <c r="I104" s="146"/>
    </row>
    <row r="105" spans="1:9" ht="30" customHeight="1">
      <c r="A105" s="146" t="s">
        <v>21</v>
      </c>
      <c r="B105" s="146"/>
      <c r="C105" s="146"/>
      <c r="D105" s="146"/>
      <c r="E105" s="146"/>
      <c r="F105" s="146"/>
      <c r="G105" s="146"/>
      <c r="H105" s="146"/>
      <c r="I105" s="146"/>
    </row>
    <row r="106" spans="1:9" ht="15" customHeight="1">
      <c r="A106" s="146" t="s">
        <v>20</v>
      </c>
      <c r="B106" s="146"/>
      <c r="C106" s="146"/>
      <c r="D106" s="146"/>
      <c r="E106" s="146"/>
      <c r="F106" s="146"/>
      <c r="G106" s="146"/>
      <c r="H106" s="146"/>
      <c r="I106" s="146"/>
    </row>
  </sheetData>
  <mergeCells count="27">
    <mergeCell ref="A104:I104"/>
    <mergeCell ref="A105:I105"/>
    <mergeCell ref="A106:I106"/>
    <mergeCell ref="C96:E96"/>
    <mergeCell ref="C97:E97"/>
    <mergeCell ref="C99:E99"/>
    <mergeCell ref="C100:E100"/>
    <mergeCell ref="A102:I102"/>
    <mergeCell ref="A103:I103"/>
    <mergeCell ref="B87:G87"/>
    <mergeCell ref="B88:G88"/>
    <mergeCell ref="A90:I90"/>
    <mergeCell ref="A91:I91"/>
    <mergeCell ref="A92:I92"/>
    <mergeCell ref="A94:I94"/>
    <mergeCell ref="A15:I15"/>
    <mergeCell ref="A29:I29"/>
    <mergeCell ref="A45:I45"/>
    <mergeCell ref="A56:I56"/>
    <mergeCell ref="A76:I76"/>
    <mergeCell ref="A86:I86"/>
    <mergeCell ref="A3:I3"/>
    <mergeCell ref="A4:I4"/>
    <mergeCell ref="A5:I5"/>
    <mergeCell ref="A8:I8"/>
    <mergeCell ref="A10:I10"/>
    <mergeCell ref="A14:I14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2017-04-19T07:28:57Z</cp:lastPrinted>
  <dcterms:created xsi:type="dcterms:W3CDTF">2016-03-25T08:33:47Z</dcterms:created>
  <dcterms:modified xsi:type="dcterms:W3CDTF">2017-04-19T07:29:07Z</dcterms:modified>
</cp:coreProperties>
</file>