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5" yWindow="-75" windowWidth="16065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8" r:id="rId11"/>
    <sheet name="12.16" sheetId="16" r:id="rId12"/>
  </sheets>
  <definedNames>
    <definedName name="_xlnm._FilterDatabase" localSheetId="10" hidden="1">'11.16'!$G$12:$G$78</definedName>
    <definedName name="_xlnm.Print_Area" localSheetId="0">'01.16'!$A$1:$I$148</definedName>
    <definedName name="_xlnm.Print_Area" localSheetId="1">'02.16'!$A$1:$I$147</definedName>
    <definedName name="_xlnm.Print_Area" localSheetId="2">'03.16'!$A$1:$I$112</definedName>
    <definedName name="_xlnm.Print_Area" localSheetId="3">'04.16'!$A$1:$I$144</definedName>
    <definedName name="_xlnm.Print_Area" localSheetId="4">'05.16'!$A$1:$I$121</definedName>
    <definedName name="_xlnm.Print_Area" localSheetId="5">'06.16'!$A$1:$I$145</definedName>
    <definedName name="_xlnm.Print_Area" localSheetId="6">'07.16'!$A$1:$I$113</definedName>
    <definedName name="_xlnm.Print_Area" localSheetId="7">'08.16'!$A$1:$I$121</definedName>
    <definedName name="_xlnm.Print_Area" localSheetId="8">'09.16'!$A$1:$I$115</definedName>
    <definedName name="_xlnm.Print_Area" localSheetId="9">'10.16'!$A$1:$I$127</definedName>
    <definedName name="_xlnm.Print_Area" localSheetId="10">'11.16'!$A$1:$G$113</definedName>
    <definedName name="_xlnm.Print_Area" localSheetId="11">'12.16'!$A$1:$G$115</definedName>
  </definedNames>
  <calcPr calcId="124519"/>
</workbook>
</file>

<file path=xl/calcChain.xml><?xml version="1.0" encoding="utf-8"?>
<calcChain xmlns="http://schemas.openxmlformats.org/spreadsheetml/2006/main">
  <c r="I103" i="26"/>
  <c r="I102"/>
  <c r="I101"/>
  <c r="I100"/>
  <c r="I99"/>
  <c r="I98"/>
  <c r="I97"/>
  <c r="I96"/>
  <c r="I95"/>
  <c r="I94"/>
  <c r="I93"/>
  <c r="I92"/>
  <c r="I91"/>
  <c r="I90"/>
  <c r="I89"/>
  <c r="I87"/>
  <c r="I52"/>
  <c r="F103"/>
  <c r="H103" s="1"/>
  <c r="F102"/>
  <c r="H102" s="1"/>
  <c r="H101"/>
  <c r="H100"/>
  <c r="H99"/>
  <c r="H98"/>
  <c r="F97"/>
  <c r="H97" s="1"/>
  <c r="H96"/>
  <c r="H95"/>
  <c r="H93"/>
  <c r="H92"/>
  <c r="H91"/>
  <c r="F90"/>
  <c r="H90" s="1"/>
  <c r="H89"/>
  <c r="I88"/>
  <c r="H88"/>
  <c r="H87"/>
  <c r="I104"/>
  <c r="E84"/>
  <c r="F84" s="1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I59" s="1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F38"/>
  <c r="I38" s="1"/>
  <c r="I37"/>
  <c r="H37"/>
  <c r="H35"/>
  <c r="H34"/>
  <c r="H33"/>
  <c r="F33"/>
  <c r="I33" s="1"/>
  <c r="F32"/>
  <c r="I32" s="1"/>
  <c r="F31"/>
  <c r="I31" s="1"/>
  <c r="F30"/>
  <c r="I30" s="1"/>
  <c r="F27"/>
  <c r="I27" s="1"/>
  <c r="F26"/>
  <c r="I26" s="1"/>
  <c r="F25"/>
  <c r="I25" s="1"/>
  <c r="F24"/>
  <c r="I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I90" i="25"/>
  <c r="H90"/>
  <c r="I92"/>
  <c r="I91"/>
  <c r="I89"/>
  <c r="I73"/>
  <c r="I63"/>
  <c r="H91"/>
  <c r="F89"/>
  <c r="H89" s="1"/>
  <c r="I88"/>
  <c r="H88"/>
  <c r="I87"/>
  <c r="H87"/>
  <c r="E84"/>
  <c r="F84" s="1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H63"/>
  <c r="F61"/>
  <c r="H61" s="1"/>
  <c r="F59"/>
  <c r="I59" s="1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7" i="24"/>
  <c r="I96"/>
  <c r="I95"/>
  <c r="I94"/>
  <c r="I92"/>
  <c r="I93"/>
  <c r="I91"/>
  <c r="I90"/>
  <c r="I89"/>
  <c r="I88"/>
  <c r="I73"/>
  <c r="H97"/>
  <c r="H96"/>
  <c r="G95"/>
  <c r="H95" s="1"/>
  <c r="H94"/>
  <c r="H93"/>
  <c r="H92"/>
  <c r="H91"/>
  <c r="H90"/>
  <c r="H89"/>
  <c r="F88"/>
  <c r="H88" s="1"/>
  <c r="I87"/>
  <c r="H87"/>
  <c r="I98"/>
  <c r="E84"/>
  <c r="F84" s="1"/>
  <c r="H83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9" i="23"/>
  <c r="I88"/>
  <c r="H89"/>
  <c r="F88"/>
  <c r="H88" s="1"/>
  <c r="I87"/>
  <c r="H87"/>
  <c r="I90"/>
  <c r="E84"/>
  <c r="F84" s="1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I59" s="1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F38"/>
  <c r="I38" s="1"/>
  <c r="I37"/>
  <c r="H37"/>
  <c r="H35"/>
  <c r="H34"/>
  <c r="H33"/>
  <c r="F33"/>
  <c r="I33" s="1"/>
  <c r="F32"/>
  <c r="I32" s="1"/>
  <c r="F31"/>
  <c r="I31" s="1"/>
  <c r="F30"/>
  <c r="I30" s="1"/>
  <c r="F27"/>
  <c r="I27" s="1"/>
  <c r="F26"/>
  <c r="I26" s="1"/>
  <c r="F25"/>
  <c r="I25" s="1"/>
  <c r="F24"/>
  <c r="I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122" i="22"/>
  <c r="I87"/>
  <c r="H87"/>
  <c r="I81"/>
  <c r="I76"/>
  <c r="I75"/>
  <c r="I73"/>
  <c r="H121"/>
  <c r="F121"/>
  <c r="H120"/>
  <c r="F120"/>
  <c r="H119"/>
  <c r="H118"/>
  <c r="H117"/>
  <c r="H116"/>
  <c r="H115"/>
  <c r="F115"/>
  <c r="H114"/>
  <c r="H113"/>
  <c r="H111"/>
  <c r="H110"/>
  <c r="H109"/>
  <c r="G108"/>
  <c r="H108" s="1"/>
  <c r="H107"/>
  <c r="H106"/>
  <c r="H105"/>
  <c r="H104"/>
  <c r="H103"/>
  <c r="H102"/>
  <c r="F101"/>
  <c r="H101" s="1"/>
  <c r="H100"/>
  <c r="H99"/>
  <c r="H98"/>
  <c r="H97"/>
  <c r="H96"/>
  <c r="H95"/>
  <c r="H94"/>
  <c r="H93"/>
  <c r="H92"/>
  <c r="H91"/>
  <c r="H90"/>
  <c r="H89"/>
  <c r="I88"/>
  <c r="H88"/>
  <c r="E84"/>
  <c r="F84" s="1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I59" s="1"/>
  <c r="F56"/>
  <c r="I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7" i="21"/>
  <c r="I94"/>
  <c r="I95"/>
  <c r="I96"/>
  <c r="I93"/>
  <c r="I92"/>
  <c r="I91"/>
  <c r="I90"/>
  <c r="I89"/>
  <c r="I88"/>
  <c r="I52"/>
  <c r="H97"/>
  <c r="H96"/>
  <c r="H95"/>
  <c r="H94"/>
  <c r="H93"/>
  <c r="H92"/>
  <c r="H91"/>
  <c r="H90"/>
  <c r="H89"/>
  <c r="H88"/>
  <c r="I87"/>
  <c r="H87"/>
  <c r="I98"/>
  <c r="E84"/>
  <c r="F84" s="1"/>
  <c r="H83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i="20"/>
  <c r="I123" s="1"/>
  <c r="I75"/>
  <c r="I73"/>
  <c r="H120"/>
  <c r="F120"/>
  <c r="H119"/>
  <c r="F119"/>
  <c r="H118"/>
  <c r="H117"/>
  <c r="H116"/>
  <c r="H115"/>
  <c r="H114"/>
  <c r="F114"/>
  <c r="H113"/>
  <c r="H112"/>
  <c r="H110"/>
  <c r="H109"/>
  <c r="H108"/>
  <c r="G107"/>
  <c r="H107" s="1"/>
  <c r="H106"/>
  <c r="H105"/>
  <c r="H104"/>
  <c r="H103"/>
  <c r="H102"/>
  <c r="H101"/>
  <c r="F100"/>
  <c r="H100" s="1"/>
  <c r="H99"/>
  <c r="H98"/>
  <c r="H97"/>
  <c r="H96"/>
  <c r="H95"/>
  <c r="H94"/>
  <c r="H93"/>
  <c r="H92"/>
  <c r="H91"/>
  <c r="H90"/>
  <c r="H89"/>
  <c r="H88"/>
  <c r="I87"/>
  <c r="H87"/>
  <c r="I121"/>
  <c r="E84"/>
  <c r="F84" s="1"/>
  <c r="H83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5" i="19"/>
  <c r="I88"/>
  <c r="I89"/>
  <c r="I73"/>
  <c r="H88"/>
  <c r="I87"/>
  <c r="H87"/>
  <c r="E84"/>
  <c r="F84" s="1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H59" s="1"/>
  <c r="F56"/>
  <c r="I56" s="1"/>
  <c r="I53"/>
  <c r="F53"/>
  <c r="H53" s="1"/>
  <c r="H52"/>
  <c r="F51"/>
  <c r="H51" s="1"/>
  <c r="F50"/>
  <c r="H50" s="1"/>
  <c r="F49"/>
  <c r="I49" s="1"/>
  <c r="H48"/>
  <c r="F48"/>
  <c r="H47"/>
  <c r="F47"/>
  <c r="H46"/>
  <c r="F46"/>
  <c r="H45"/>
  <c r="F45"/>
  <c r="H44"/>
  <c r="F44"/>
  <c r="I42"/>
  <c r="H42"/>
  <c r="F41"/>
  <c r="I41" s="1"/>
  <c r="F40"/>
  <c r="I40" s="1"/>
  <c r="F39"/>
  <c r="I39" s="1"/>
  <c r="F38"/>
  <c r="I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2" i="18"/>
  <c r="I89"/>
  <c r="I88"/>
  <c r="I90"/>
  <c r="I91"/>
  <c r="I87"/>
  <c r="F123"/>
  <c r="H123" s="1"/>
  <c r="H122"/>
  <c r="F122"/>
  <c r="H121"/>
  <c r="H120"/>
  <c r="H119"/>
  <c r="H118"/>
  <c r="H117"/>
  <c r="F117"/>
  <c r="H116"/>
  <c r="H115"/>
  <c r="H113"/>
  <c r="H112"/>
  <c r="H111"/>
  <c r="G110"/>
  <c r="H110" s="1"/>
  <c r="H109"/>
  <c r="H108"/>
  <c r="H107"/>
  <c r="H106"/>
  <c r="H105"/>
  <c r="H104"/>
  <c r="F103"/>
  <c r="H103" s="1"/>
  <c r="H102"/>
  <c r="H101"/>
  <c r="H100"/>
  <c r="H99"/>
  <c r="H98"/>
  <c r="H97"/>
  <c r="H96"/>
  <c r="H95"/>
  <c r="H94"/>
  <c r="H93"/>
  <c r="H92"/>
  <c r="H91"/>
  <c r="H90"/>
  <c r="H89"/>
  <c r="H88"/>
  <c r="H87"/>
  <c r="I124"/>
  <c r="E84"/>
  <c r="F84" s="1"/>
  <c r="H83"/>
  <c r="F83"/>
  <c r="I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H61"/>
  <c r="F61"/>
  <c r="F59"/>
  <c r="H59" s="1"/>
  <c r="F56"/>
  <c r="I56" s="1"/>
  <c r="I53"/>
  <c r="F53"/>
  <c r="H53" s="1"/>
  <c r="H52"/>
  <c r="H51"/>
  <c r="F51"/>
  <c r="H50"/>
  <c r="F50"/>
  <c r="F49"/>
  <c r="H49" s="1"/>
  <c r="F48"/>
  <c r="H48" s="1"/>
  <c r="F47"/>
  <c r="H47" s="1"/>
  <c r="F46"/>
  <c r="H46" s="1"/>
  <c r="F45"/>
  <c r="H45" s="1"/>
  <c r="F44"/>
  <c r="H44" s="1"/>
  <c r="I42"/>
  <c r="H42"/>
  <c r="H41"/>
  <c r="F41"/>
  <c r="I41" s="1"/>
  <c r="F40"/>
  <c r="H40" s="1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F17"/>
  <c r="I17" s="1"/>
  <c r="F16"/>
  <c r="H16" s="1"/>
  <c r="H20" i="26" l="1"/>
  <c r="H26"/>
  <c r="I50"/>
  <c r="I51"/>
  <c r="H24"/>
  <c r="H59"/>
  <c r="H49"/>
  <c r="H38"/>
  <c r="H40"/>
  <c r="H32"/>
  <c r="H30"/>
  <c r="I18"/>
  <c r="H18"/>
  <c r="I84"/>
  <c r="H84"/>
  <c r="H85" s="1"/>
  <c r="I16"/>
  <c r="I85" s="1"/>
  <c r="H17"/>
  <c r="H21"/>
  <c r="H25"/>
  <c r="H27"/>
  <c r="H31"/>
  <c r="H39"/>
  <c r="H41"/>
  <c r="H56"/>
  <c r="H80" s="1"/>
  <c r="H83"/>
  <c r="H59" i="25"/>
  <c r="H21"/>
  <c r="I48"/>
  <c r="I46"/>
  <c r="I44"/>
  <c r="I71"/>
  <c r="H17"/>
  <c r="H25"/>
  <c r="I47"/>
  <c r="I45"/>
  <c r="H49"/>
  <c r="I18"/>
  <c r="H18"/>
  <c r="I84"/>
  <c r="H84"/>
  <c r="H85" s="1"/>
  <c r="I16"/>
  <c r="I20"/>
  <c r="I24"/>
  <c r="I26"/>
  <c r="H27"/>
  <c r="I30"/>
  <c r="H31"/>
  <c r="I32"/>
  <c r="I38"/>
  <c r="H39"/>
  <c r="I40"/>
  <c r="H41"/>
  <c r="H56"/>
  <c r="H80" s="1"/>
  <c r="H83"/>
  <c r="H21" i="24"/>
  <c r="H27"/>
  <c r="H17"/>
  <c r="H25"/>
  <c r="H56"/>
  <c r="H31"/>
  <c r="H80"/>
  <c r="I18"/>
  <c r="H18"/>
  <c r="I84"/>
  <c r="H84"/>
  <c r="H85" s="1"/>
  <c r="I16"/>
  <c r="I20"/>
  <c r="I24"/>
  <c r="I26"/>
  <c r="I30"/>
  <c r="I32"/>
  <c r="I38"/>
  <c r="H39"/>
  <c r="I40"/>
  <c r="H41"/>
  <c r="I49"/>
  <c r="I59"/>
  <c r="H16" i="23"/>
  <c r="H24"/>
  <c r="H20"/>
  <c r="H26"/>
  <c r="H59"/>
  <c r="H49"/>
  <c r="H38"/>
  <c r="H40"/>
  <c r="H32"/>
  <c r="H30"/>
  <c r="I84"/>
  <c r="H84"/>
  <c r="H85" s="1"/>
  <c r="H17"/>
  <c r="H18"/>
  <c r="H21"/>
  <c r="H25"/>
  <c r="H27"/>
  <c r="H31"/>
  <c r="H39"/>
  <c r="H41"/>
  <c r="H56"/>
  <c r="H80" s="1"/>
  <c r="H83"/>
  <c r="H21" i="22"/>
  <c r="H49"/>
  <c r="H59"/>
  <c r="H17"/>
  <c r="H25"/>
  <c r="I18"/>
  <c r="H18"/>
  <c r="I84"/>
  <c r="H84"/>
  <c r="H85" s="1"/>
  <c r="I16"/>
  <c r="I20"/>
  <c r="I24"/>
  <c r="I26"/>
  <c r="H27"/>
  <c r="I30"/>
  <c r="H31"/>
  <c r="I32"/>
  <c r="I38"/>
  <c r="H39"/>
  <c r="I40"/>
  <c r="H41"/>
  <c r="H56"/>
  <c r="H80" s="1"/>
  <c r="H83"/>
  <c r="I19" i="21"/>
  <c r="I23"/>
  <c r="I47"/>
  <c r="I45"/>
  <c r="I50"/>
  <c r="I51"/>
  <c r="I69"/>
  <c r="I67"/>
  <c r="H17"/>
  <c r="I22"/>
  <c r="I48"/>
  <c r="I46"/>
  <c r="I44"/>
  <c r="I65"/>
  <c r="I68"/>
  <c r="I66"/>
  <c r="I18"/>
  <c r="H18"/>
  <c r="I84"/>
  <c r="H84"/>
  <c r="H85" s="1"/>
  <c r="I16"/>
  <c r="I20"/>
  <c r="H21"/>
  <c r="I24"/>
  <c r="H25"/>
  <c r="I26"/>
  <c r="H27"/>
  <c r="I30"/>
  <c r="H31"/>
  <c r="I32"/>
  <c r="I38"/>
  <c r="H39"/>
  <c r="I40"/>
  <c r="H41"/>
  <c r="I49"/>
  <c r="H56"/>
  <c r="H80" s="1"/>
  <c r="I59"/>
  <c r="H21" i="20"/>
  <c r="H27"/>
  <c r="H41"/>
  <c r="H17"/>
  <c r="H25"/>
  <c r="H31"/>
  <c r="H39"/>
  <c r="H56"/>
  <c r="H80"/>
  <c r="I18"/>
  <c r="H18"/>
  <c r="I84"/>
  <c r="H84"/>
  <c r="H85" s="1"/>
  <c r="I16"/>
  <c r="I20"/>
  <c r="I24"/>
  <c r="I26"/>
  <c r="I30"/>
  <c r="I32"/>
  <c r="I38"/>
  <c r="I40"/>
  <c r="I49"/>
  <c r="I59"/>
  <c r="H49" i="19"/>
  <c r="H38"/>
  <c r="H17"/>
  <c r="H40"/>
  <c r="H83"/>
  <c r="I18"/>
  <c r="H18"/>
  <c r="I84"/>
  <c r="H84"/>
  <c r="H85" s="1"/>
  <c r="I16"/>
  <c r="I20"/>
  <c r="H21"/>
  <c r="I24"/>
  <c r="H25"/>
  <c r="I26"/>
  <c r="H27"/>
  <c r="I30"/>
  <c r="H31"/>
  <c r="I32"/>
  <c r="H39"/>
  <c r="H41"/>
  <c r="H56"/>
  <c r="H80" s="1"/>
  <c r="I59"/>
  <c r="H17" i="18"/>
  <c r="H25"/>
  <c r="H31"/>
  <c r="H39"/>
  <c r="H56"/>
  <c r="H27"/>
  <c r="I18"/>
  <c r="H18"/>
  <c r="H80"/>
  <c r="I84"/>
  <c r="H84"/>
  <c r="H85" s="1"/>
  <c r="I20"/>
  <c r="I24"/>
  <c r="I26"/>
  <c r="I30"/>
  <c r="I32"/>
  <c r="I38"/>
  <c r="I40"/>
  <c r="I49"/>
  <c r="I59"/>
  <c r="I16"/>
  <c r="I85" s="1"/>
  <c r="I106" i="26" l="1"/>
  <c r="I85" i="25"/>
  <c r="I94" s="1"/>
  <c r="I85" i="24"/>
  <c r="I100" s="1"/>
  <c r="I85" i="23"/>
  <c r="I92" s="1"/>
  <c r="I85" i="22"/>
  <c r="I124"/>
  <c r="I85" i="21"/>
  <c r="I100" s="1"/>
  <c r="I91" i="19"/>
  <c r="I126" i="18"/>
  <c r="I85" i="17" l="1"/>
  <c r="I125"/>
  <c r="I127"/>
  <c r="F124"/>
  <c r="H124" s="1"/>
  <c r="F123"/>
  <c r="H123" s="1"/>
  <c r="H122"/>
  <c r="H121"/>
  <c r="H120"/>
  <c r="H119"/>
  <c r="F118"/>
  <c r="H118" s="1"/>
  <c r="H117"/>
  <c r="H116"/>
  <c r="H114"/>
  <c r="H113"/>
  <c r="H112"/>
  <c r="G111"/>
  <c r="H111" s="1"/>
  <c r="H110"/>
  <c r="H109"/>
  <c r="H108"/>
  <c r="H107"/>
  <c r="H106"/>
  <c r="H105"/>
  <c r="F104"/>
  <c r="H104" s="1"/>
  <c r="H103"/>
  <c r="H102"/>
  <c r="H101"/>
  <c r="H100"/>
  <c r="H99"/>
  <c r="H98"/>
  <c r="H97"/>
  <c r="H96"/>
  <c r="H95"/>
  <c r="H94"/>
  <c r="H93"/>
  <c r="H92"/>
  <c r="I91"/>
  <c r="H91"/>
  <c r="I90"/>
  <c r="H90"/>
  <c r="I89"/>
  <c r="H89"/>
  <c r="I88"/>
  <c r="H88"/>
  <c r="I87"/>
  <c r="H87"/>
  <c r="E84"/>
  <c r="F84" s="1"/>
  <c r="F83"/>
  <c r="H83" s="1"/>
  <c r="H81"/>
  <c r="H79"/>
  <c r="F77"/>
  <c r="H77" s="1"/>
  <c r="H76"/>
  <c r="H75"/>
  <c r="F74"/>
  <c r="H74" s="1"/>
  <c r="H73"/>
  <c r="F71"/>
  <c r="H71" s="1"/>
  <c r="I70"/>
  <c r="H70"/>
  <c r="F69"/>
  <c r="H69" s="1"/>
  <c r="F68"/>
  <c r="H68" s="1"/>
  <c r="F67"/>
  <c r="H67" s="1"/>
  <c r="F66"/>
  <c r="H66" s="1"/>
  <c r="F65"/>
  <c r="H65" s="1"/>
  <c r="I64"/>
  <c r="H64"/>
  <c r="I63"/>
  <c r="H63"/>
  <c r="F61"/>
  <c r="H61" s="1"/>
  <c r="F59"/>
  <c r="I59" s="1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F27"/>
  <c r="H27" s="1"/>
  <c r="H35"/>
  <c r="H34"/>
  <c r="F26"/>
  <c r="I26" s="1"/>
  <c r="H33"/>
  <c r="F33"/>
  <c r="I33" s="1"/>
  <c r="F32"/>
  <c r="H32" s="1"/>
  <c r="F31"/>
  <c r="H31" s="1"/>
  <c r="F30"/>
  <c r="H30" s="1"/>
  <c r="F25"/>
  <c r="I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32" l="1"/>
  <c r="I30"/>
  <c r="I31"/>
  <c r="H17"/>
  <c r="H39"/>
  <c r="H41"/>
  <c r="H49"/>
  <c r="H59"/>
  <c r="H80" s="1"/>
  <c r="I18"/>
  <c r="H18"/>
  <c r="I84"/>
  <c r="H84"/>
  <c r="H85" s="1"/>
  <c r="I16"/>
  <c r="I20"/>
  <c r="H21"/>
  <c r="I24"/>
  <c r="H25"/>
  <c r="H26"/>
  <c r="I27"/>
  <c r="I38"/>
  <c r="I40"/>
  <c r="I56"/>
  <c r="I83"/>
  <c r="G92" i="16" l="1"/>
  <c r="G83" l="1"/>
  <c r="G58"/>
  <c r="E31"/>
  <c r="G83" i="8"/>
  <c r="G94" i="16" l="1"/>
  <c r="G90" i="8"/>
  <c r="G92" l="1"/>
  <c r="G58" l="1"/>
  <c r="E31"/>
</calcChain>
</file>

<file path=xl/sharedStrings.xml><?xml version="1.0" encoding="utf-8"?>
<sst xmlns="http://schemas.openxmlformats.org/spreadsheetml/2006/main" count="2944" uniqueCount="259">
  <si>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</si>
  <si>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</si>
  <si>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</si>
  <si>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</si>
  <si>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</si>
  <si>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</si>
  <si>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</si>
  <si>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</si>
  <si>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</si>
  <si>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</si>
  <si>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</si>
  <si>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</si>
  <si>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</si>
  <si>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</si>
  <si>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</si>
  <si>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</si>
  <si>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</si>
  <si>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</si>
  <si>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</si>
  <si>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</si>
  <si>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</si>
  <si>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</si>
  <si>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</si>
  <si>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</si>
  <si>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</si>
  <si>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</si>
  <si>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</si>
  <si>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</si>
  <si>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</si>
  <si>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</si>
  <si>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</si>
  <si>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</si>
  <si>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</si>
  <si>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</si>
  <si>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</si>
  <si>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</si>
  <si>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</si>
  <si>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</si>
  <si>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</si>
  <si>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</si>
  <si>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</si>
  <si>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</si>
  <si>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</si>
  <si>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</si>
  <si>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</si>
  <si>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</si>
  <si>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</si>
  <si>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</si>
  <si>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</si>
  <si>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</si>
  <si>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</si>
  <si>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</si>
  <si>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</si>
  <si>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</si>
  <si>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</si>
  <si>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</si>
  <si>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</si>
  <si>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</si>
  <si>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</si>
  <si>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</si>
  <si>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</si>
  <si>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</si>
  <si>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</si>
  <si>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</si>
  <si>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</si>
  <si>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</si>
  <si>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</si>
  <si>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</si>
  <si>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</si>
  <si>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</si>
  <si>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</si>
  <si>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</si>
  <si>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</si>
  <si>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</si>
  <si>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</si>
  <si>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</si>
  <si>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</si>
  <si>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</si>
  <si>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</si>
  <si>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</si>
  <si>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</si>
  <si>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</si>
  <si>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</si>
  <si>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</si>
  <si>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</si>
  <si>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</si>
  <si>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</si>
  <si>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</si>
  <si>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</si>
  <si>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</si>
  <si>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</si>
  <si>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</si>
  <si>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</si>
  <si>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</si>
  <si>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Смена дверных приборов (замки навесные)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</si>
  <si>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</si>
  <si>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</si>
  <si>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</si>
  <si>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</si>
  <si>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</si>
  <si>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</si>
  <si>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</si>
  <si>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</si>
  <si>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</si>
  <si>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</si>
  <si>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</si>
  <si>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</si>
  <si>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</si>
  <si>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</si>
  <si>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</si>
  <si>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1 раз в месяц (5 раз за сезон)</t>
  </si>
  <si>
    <t>шт</t>
  </si>
  <si>
    <t>100м3</t>
  </si>
  <si>
    <t>1000м3</t>
  </si>
  <si>
    <t>ТО внутридомового газ.оборудования</t>
  </si>
  <si>
    <t>Аварийно-диспетчерское обслуживание</t>
  </si>
  <si>
    <t>за период с 01.12.2016 г. по 31.12.2016 г.</t>
  </si>
  <si>
    <t>Прочистка каналов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</si>
  <si>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</si>
  <si>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</si>
  <si>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</si>
  <si>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</si>
  <si>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</si>
  <si>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</si>
  <si>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</si>
  <si>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</si>
  <si>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</si>
  <si>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</si>
  <si>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</si>
  <si>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</si>
  <si>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</si>
  <si>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</si>
  <si>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</si>
  <si>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</si>
  <si>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</si>
  <si>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</si>
  <si>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>3 раза в неделю 78 раз за сезон</t>
  </si>
  <si>
    <t xml:space="preserve">6 раз за сезон </t>
  </si>
  <si>
    <t>Смена плавкой вставки в электрощитке</t>
  </si>
  <si>
    <t>Замена ламп ДРЛ</t>
  </si>
  <si>
    <t xml:space="preserve">2 раза в месяц 24 раза в год </t>
  </si>
  <si>
    <t>1 раз в неделю 26 раз в сезон</t>
  </si>
  <si>
    <t>50 раз за сезон</t>
  </si>
  <si>
    <t>12 раз за сезон</t>
  </si>
  <si>
    <t>по мере необходимости</t>
  </si>
  <si>
    <t>Обслуживание прибора учета тепловой энергии</t>
  </si>
  <si>
    <t>Смена выключателей</t>
  </si>
  <si>
    <t>Смена патронов</t>
  </si>
  <si>
    <t>Смена вентилей диаметром до 20 мм (без материалов)</t>
  </si>
  <si>
    <t>1 шт</t>
  </si>
  <si>
    <t>Снятие показаний эл.счетчика коммунального назначения</t>
  </si>
  <si>
    <t>Дератизация</t>
  </si>
  <si>
    <t>12 раз в год</t>
  </si>
  <si>
    <t>Смена стекол в деревянных переплетах при площади стекла до 1,0 м2</t>
  </si>
  <si>
    <t>10 м2</t>
  </si>
  <si>
    <t xml:space="preserve">1 раз в месяц    </t>
  </si>
  <si>
    <t xml:space="preserve">1 раз в месяц  </t>
  </si>
  <si>
    <t xml:space="preserve">приемки оказанных услуг и выполненных работ по содержанию и текущему ремонту
общего имущества в многоквартирном доме №16 по ул.Советская пгт.Ярега
</t>
  </si>
  <si>
    <t>Прочистка засоров ГВС, XВC</t>
  </si>
  <si>
    <t>3м</t>
  </si>
  <si>
    <t>2. Всего за период с 01.11.2016 по 30.11.2016 выполнено работ (оказано услуг) на общую сумму: 86077,98 руб.</t>
  </si>
  <si>
    <t>Смена вентилей ПП диаметром 20 мм</t>
  </si>
  <si>
    <t>Смена трубопроводов на полипропиленовые трубы PN25 диаметром 20 мм</t>
  </si>
  <si>
    <t>Смена арматуры - вентилей и клапанов обратных муфтовых диаметром до 20 мм</t>
  </si>
  <si>
    <t>2. Всего за период с 01.12.2016 по 31.12.2016 выполнено работ (оказано услуг) на общую сумму: 92875,36 руб.</t>
  </si>
  <si>
    <t>(девяносто две тысячи восемьсот семьдесят пять рублей 36 копеек)</t>
  </si>
  <si>
    <r>
      <t xml:space="preserve">    Собственники помещений в многоквартирном доме, расположенном по адресу: пгт.Ярега, ул.Советская, д.16,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29.04.2013г.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</si>
  <si>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16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д.16</t>
    </r>
  </si>
  <si>
    <t>III. Проведение технических осмотров</t>
  </si>
  <si>
    <t>IV. Содержание общего имущества МКД</t>
  </si>
  <si>
    <t>генеральный директор Куканов Ю.Л.</t>
  </si>
  <si>
    <t>V. Прочие услуги</t>
  </si>
  <si>
    <t>III. Содержание общего имущества МКД</t>
  </si>
  <si>
    <t>IV. Прочие услуги</t>
  </si>
  <si>
    <t>АКТ №1</t>
  </si>
  <si>
    <t>ежедневно 365 раз</t>
  </si>
  <si>
    <t xml:space="preserve"> </t>
  </si>
  <si>
    <t>Осмотр кровли металлической</t>
  </si>
  <si>
    <t>Очистка края кровли от слежавшегося снега со сбрасыванием сосулек (10% от S кровли и козырьки)</t>
  </si>
  <si>
    <t>Лестничная клетка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</si>
  <si>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</si>
  <si>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</si>
  <si>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</si>
  <si>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 xml:space="preserve">Вывертывание и ввертывание радиаторной пробки.   </t>
  </si>
  <si>
    <t>1 пробка</t>
  </si>
  <si>
    <t xml:space="preserve">Смена сгонов у трубопроводов диаметром до 20 мм </t>
  </si>
  <si>
    <t>1 сгон</t>
  </si>
  <si>
    <t>Смена трубопроводов на полипропиленовые трубы PN20 диаметром 25 мм</t>
  </si>
  <si>
    <t>Смена трубопроводов на полипропиленовые трубы PN20 диаметром 20 мм</t>
  </si>
  <si>
    <t>Смена трубопроводов на полипропиленовые трубы PN25 диаметром 25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</si>
  <si>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</si>
  <si>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</si>
  <si>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Замена подводки к счётчику (колено НР 20×1/2 и муфта Dy-20 мм)</t>
  </si>
  <si>
    <t xml:space="preserve">Смена тройников у трубопроводов диаметром до 32 мм </t>
  </si>
  <si>
    <t>Смена арматуры - вентилей и клапанов обратных муфтовых диаметром до 32 мм</t>
  </si>
  <si>
    <t>Настройка таймера освещения ТО-2</t>
  </si>
  <si>
    <t>100шт</t>
  </si>
  <si>
    <t>Смена тройника диаметром 50 / 90°</t>
  </si>
  <si>
    <t>Переход чугун-пластик Ду 50 мм с манжетой</t>
  </si>
  <si>
    <t>Патрубок компенсационный Ду 100</t>
  </si>
  <si>
    <t>Манжета Ду 50 мм</t>
  </si>
  <si>
    <t xml:space="preserve">Герметизация стыков трубопроводов    </t>
  </si>
  <si>
    <t>1 место</t>
  </si>
  <si>
    <t>Смена трубопроводов на металл-полимерные трубы диамером до 25 мм</t>
  </si>
  <si>
    <t>Дезинфекция подвала</t>
  </si>
  <si>
    <t>Муфта ремонтная Ду 100</t>
  </si>
  <si>
    <t>Переход чугун-пластик Ду 100 мм с манжетой</t>
  </si>
  <si>
    <t>Демонтаж проводов из труб суммарным сечением до 16 мм2</t>
  </si>
  <si>
    <t>10 м.</t>
  </si>
  <si>
    <t>Смена отдельных участков наружной проводки</t>
  </si>
  <si>
    <t>м</t>
  </si>
  <si>
    <t>Ремонт силового предохранительного шкафа</t>
  </si>
  <si>
    <t>Смена плавкой вставки на электрощите</t>
  </si>
  <si>
    <t>Ремонт штукатурки внутренних стен по камню и бетону цементно-известковым раствором площадью до 1 м2 толщиной слоя до 20 мм</t>
  </si>
  <si>
    <t>Смена полиэтиленовых канализационных труб 50×1000 мм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</si>
  <si>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</si>
  <si>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</si>
  <si>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</si>
  <si>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Установка пружин на входных дверях</t>
  </si>
  <si>
    <t>2. Всего за период с 01.01.2016 по 31.01.2016 выполнено работ (оказано услуг) на общую сумму: 106981,07 руб.</t>
  </si>
  <si>
    <t>(сто шесть тысяч девятьсот восемьдесят один рубль 07 копеек)</t>
  </si>
  <si>
    <t>АКТ №2</t>
  </si>
  <si>
    <t>за период с 01.02.2016 г. по 29.02.2016 г.</t>
  </si>
  <si>
    <t>2. Всего за период с 01.02.2016 по 29.02.2016 выполнено работ (оказано услуг) на общую сумму: 88920,48 руб.</t>
  </si>
  <si>
    <t>(восемьдесят восемь тысяч девятьсот двадцать рублей 48 копеек)</t>
  </si>
  <si>
    <t>АКТ №3</t>
  </si>
  <si>
    <t>за период с 01.03.2016 г. по 31.03.2016 г.</t>
  </si>
  <si>
    <t>2. Всего за период с 01.03.2016 по 31.03.2016 выполнено работ (оказано услуг) на общую сумму: 86082,55 руб.</t>
  </si>
  <si>
    <t>(восемьдесят шесть тысяч восемьдесят два рубля 55 копеек)</t>
  </si>
  <si>
    <t>АКТ №4</t>
  </si>
  <si>
    <t>за период с 01.04.2016 г. по 30.04.2016 г.</t>
  </si>
  <si>
    <t>2. Всего за период с 01.04.2016 по 30.04.2016 выполнено работ (оказано услуг) на общую сумму: 94959,63 руб.</t>
  </si>
  <si>
    <t>(девяносто четыре тысячи девятьсот пятьдесят девять рублей 63 копейки)</t>
  </si>
  <si>
    <t>АКТ №5</t>
  </si>
  <si>
    <t>за период с 01.05.2016 г. по 31.05.2016 г.</t>
  </si>
  <si>
    <t>Спуск воды после промывки СО в канализацию</t>
  </si>
  <si>
    <t>2. Всего за период с 01.05.2016 по 31.05.2016 выполнено работ (оказано услуг) на общую сумму: 271017,47 руб.</t>
  </si>
  <si>
    <t>(двести семьдесят одна тысяча семнадцать рублей 47 копеек)</t>
  </si>
  <si>
    <t>АКТ №6</t>
  </si>
  <si>
    <t>за период с 01.06.2016 г. по 30.06.2016 г.</t>
  </si>
  <si>
    <t>2. Всего за период с 01.06.2016 по 30.06.2016 выполнено работ (оказано услуг) на общую сумму: 83365,81 руб.</t>
  </si>
  <si>
    <t>(восемьдесят три тысячи триста шестьдесят пять рублей 81 копейка)</t>
  </si>
  <si>
    <t>АКТ №7</t>
  </si>
  <si>
    <t>за период с 01.07.2016 г. по 31.07.2016 г.</t>
  </si>
  <si>
    <t>2. Всего за период с 01.07.2016 по 31.07.2016 выполнено работ (оказано услуг) на общую сумму: 69096,00 руб.</t>
  </si>
  <si>
    <t>(шестьдесят девять тысяч девяносто шесть рублей 00 копеек)</t>
  </si>
  <si>
    <t>АКТ №8</t>
  </si>
  <si>
    <t>за период с 01.08.2016 г. по 31.08.2016 г.</t>
  </si>
  <si>
    <t>2. Всего за период с 01.08.2016 по 31.08.2016 выполнено работ (оказано услуг) на общую сумму: 148555,31 руб.</t>
  </si>
  <si>
    <t>(сто сорок восемь тысяч пятьсот пятьдесят пять рублей 31 копейка)</t>
  </si>
  <si>
    <t>АКТ №9</t>
  </si>
  <si>
    <t>за период с 01.09.2016 г. по 30.09.2016 г.</t>
  </si>
  <si>
    <t>2. Всего за период с 01.09.2016 по 30.09.2016 выполнено работ (оказано услуг) на общую сумму: 82319,39 руб.</t>
  </si>
  <si>
    <t>(восемьдесят две тысячи триста девятнадцать рублей 39 копеек)</t>
  </si>
  <si>
    <t>АКТ №10</t>
  </si>
  <si>
    <t>за период с 01.10.2016 г. по 31.10.2016 г.</t>
  </si>
  <si>
    <t>2. Всего за период с 01.10.2016 по 31.10.2016 выполнено работ (оказано услуг) на общую сумму: 83710,85 руб.</t>
  </si>
  <si>
    <t>(восемьдесят три тысячи семьсот десять рублей 85 копеек)</t>
  </si>
  <si>
    <t>(восемьдесят шесть тысяч семьдесят семь рублей 98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</si>
</sst>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3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8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174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87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04"/>
      <c r="C6" s="104"/>
      <c r="D6" s="104"/>
      <c r="E6" s="104"/>
      <c r="F6" s="104"/>
      <c r="G6" s="104"/>
      <c r="H6" s="104"/>
      <c r="I6" s="37">
        <v>42400</v>
      </c>
    </row>
    <row r="7" spans="1:9" ht="15.75">
      <c r="B7" s="100"/>
      <c r="C7" s="100"/>
      <c r="D7" s="100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hidden="1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hidden="1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hidden="1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hidden="1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19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hidden="1" customHeight="1">
      <c r="A72" s="36"/>
      <c r="B72" s="105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hidden="1" customHeight="1">
      <c r="A73" s="36"/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v>0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05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23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24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I16+I17+I18+I20+I21+I24+I25+I26+I27+I37+I38+I39+I40+I41+I42+I49+I53+I56+I59+I63+I64+I70+I83+I84</f>
        <v>98663.501473666649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25</v>
      </c>
      <c r="B87" s="122" t="s">
        <v>180</v>
      </c>
      <c r="C87" s="36" t="s">
        <v>181</v>
      </c>
      <c r="D87" s="67"/>
      <c r="E87" s="16"/>
      <c r="F87" s="16">
        <v>1</v>
      </c>
      <c r="G87" s="16">
        <v>383.01</v>
      </c>
      <c r="H87" s="16">
        <f>F87*G87/1000</f>
        <v>0.38301000000000002</v>
      </c>
      <c r="I87" s="16">
        <f>G87</f>
        <v>383.01</v>
      </c>
    </row>
    <row r="88" spans="1:9" ht="31.5" customHeight="1">
      <c r="A88" s="36">
        <v>26</v>
      </c>
      <c r="B88" s="122" t="s">
        <v>182</v>
      </c>
      <c r="C88" s="20" t="s">
        <v>32</v>
      </c>
      <c r="D88" s="67"/>
      <c r="E88" s="16"/>
      <c r="F88" s="16">
        <v>3</v>
      </c>
      <c r="G88" s="16">
        <v>1835.8</v>
      </c>
      <c r="H88" s="16">
        <f>F88*G88/1000</f>
        <v>5.5073999999999996</v>
      </c>
      <c r="I88" s="16">
        <f>G88*2</f>
        <v>3671.6</v>
      </c>
    </row>
    <row r="89" spans="1:9" ht="31.5" customHeight="1">
      <c r="A89" s="36">
        <v>27</v>
      </c>
      <c r="B89" s="94" t="s">
        <v>88</v>
      </c>
      <c r="C89" s="20" t="s">
        <v>32</v>
      </c>
      <c r="D89" s="67"/>
      <c r="E89" s="16"/>
      <c r="F89" s="16">
        <v>7</v>
      </c>
      <c r="G89" s="16">
        <v>79.09</v>
      </c>
      <c r="H89" s="16">
        <f>F89*G89/1000</f>
        <v>0.55362999999999996</v>
      </c>
      <c r="I89" s="16">
        <f>G89</f>
        <v>79.09</v>
      </c>
    </row>
    <row r="90" spans="1:9" ht="15.75" customHeight="1">
      <c r="A90" s="36">
        <v>28</v>
      </c>
      <c r="B90" s="94" t="s">
        <v>150</v>
      </c>
      <c r="C90" s="95" t="s">
        <v>111</v>
      </c>
      <c r="D90" s="67"/>
      <c r="E90" s="16"/>
      <c r="F90" s="16">
        <v>948</v>
      </c>
      <c r="G90" s="16">
        <v>50.68</v>
      </c>
      <c r="H90" s="123">
        <f>G90*F90/1000</f>
        <v>48.044640000000001</v>
      </c>
      <c r="I90" s="16">
        <f>G90*79</f>
        <v>4003.72</v>
      </c>
    </row>
    <row r="91" spans="1:9" ht="15.75" customHeight="1">
      <c r="A91" s="36">
        <v>29</v>
      </c>
      <c r="B91" s="94" t="s">
        <v>91</v>
      </c>
      <c r="C91" s="95" t="s">
        <v>111</v>
      </c>
      <c r="D91" s="36"/>
      <c r="E91" s="23"/>
      <c r="F91" s="23">
        <v>4</v>
      </c>
      <c r="G91" s="23">
        <v>180.15</v>
      </c>
      <c r="H91" s="124">
        <f>G91*F91/1000</f>
        <v>0.72060000000000002</v>
      </c>
      <c r="I91" s="16">
        <f>G91*1</f>
        <v>180.15</v>
      </c>
    </row>
    <row r="92" spans="1:9" ht="15.75" hidden="1" customHeight="1">
      <c r="A92" s="36"/>
      <c r="B92" s="94" t="s">
        <v>183</v>
      </c>
      <c r="C92" s="99" t="s">
        <v>184</v>
      </c>
      <c r="D92" s="67"/>
      <c r="E92" s="16"/>
      <c r="F92" s="16">
        <v>1</v>
      </c>
      <c r="G92" s="16">
        <v>172.17</v>
      </c>
      <c r="H92" s="124">
        <f>G92*F92/1000</f>
        <v>0.17216999999999999</v>
      </c>
      <c r="I92" s="16">
        <v>0</v>
      </c>
    </row>
    <row r="93" spans="1:9" ht="15.75" hidden="1" customHeight="1">
      <c r="A93" s="36"/>
      <c r="B93" s="94" t="s">
        <v>185</v>
      </c>
      <c r="C93" s="95" t="s">
        <v>186</v>
      </c>
      <c r="D93" s="36"/>
      <c r="E93" s="23"/>
      <c r="F93" s="23">
        <v>2</v>
      </c>
      <c r="G93" s="23">
        <v>195.95</v>
      </c>
      <c r="H93" s="124">
        <f>G93*F93/1000</f>
        <v>0.39189999999999997</v>
      </c>
      <c r="I93" s="16">
        <v>0</v>
      </c>
    </row>
    <row r="94" spans="1:9" ht="31.5" hidden="1" customHeight="1">
      <c r="A94" s="36"/>
      <c r="B94" s="94" t="s">
        <v>163</v>
      </c>
      <c r="C94" s="95" t="s">
        <v>149</v>
      </c>
      <c r="D94" s="36"/>
      <c r="E94" s="23"/>
      <c r="F94" s="23">
        <v>5</v>
      </c>
      <c r="G94" s="23">
        <v>559.62</v>
      </c>
      <c r="H94" s="124">
        <f>G94*F94/1000</f>
        <v>2.7980999999999998</v>
      </c>
      <c r="I94" s="16">
        <v>0</v>
      </c>
    </row>
    <row r="95" spans="1:9" ht="31.5" hidden="1" customHeight="1">
      <c r="A95" s="36"/>
      <c r="B95" s="94" t="s">
        <v>187</v>
      </c>
      <c r="C95" s="20" t="s">
        <v>90</v>
      </c>
      <c r="D95" s="67"/>
      <c r="E95" s="16"/>
      <c r="F95" s="16">
        <v>38</v>
      </c>
      <c r="G95" s="16">
        <v>1206</v>
      </c>
      <c r="H95" s="123">
        <f t="shared" ref="H95:H104" si="8">G95*F95/1000</f>
        <v>45.828000000000003</v>
      </c>
      <c r="I95" s="16">
        <v>0</v>
      </c>
    </row>
    <row r="96" spans="1:9" ht="31.5" hidden="1" customHeight="1">
      <c r="A96" s="36"/>
      <c r="B96" s="94" t="s">
        <v>188</v>
      </c>
      <c r="C96" s="20" t="s">
        <v>90</v>
      </c>
      <c r="D96" s="67"/>
      <c r="E96" s="16"/>
      <c r="F96" s="16">
        <v>17</v>
      </c>
      <c r="G96" s="16">
        <v>1146</v>
      </c>
      <c r="H96" s="123">
        <f t="shared" si="8"/>
        <v>19.481999999999999</v>
      </c>
      <c r="I96" s="16">
        <v>0</v>
      </c>
    </row>
    <row r="97" spans="1:9" ht="31.5" hidden="1" customHeight="1">
      <c r="A97" s="36"/>
      <c r="B97" s="94" t="s">
        <v>189</v>
      </c>
      <c r="C97" s="20" t="s">
        <v>90</v>
      </c>
      <c r="D97" s="67"/>
      <c r="E97" s="16"/>
      <c r="F97" s="16">
        <v>2</v>
      </c>
      <c r="G97" s="16">
        <v>1272</v>
      </c>
      <c r="H97" s="123">
        <f t="shared" si="8"/>
        <v>2.544</v>
      </c>
      <c r="I97" s="16">
        <v>0</v>
      </c>
    </row>
    <row r="98" spans="1:9" ht="31.5" hidden="1" customHeight="1">
      <c r="A98" s="36"/>
      <c r="B98" s="94" t="s">
        <v>190</v>
      </c>
      <c r="C98" s="95" t="s">
        <v>191</v>
      </c>
      <c r="D98" s="67"/>
      <c r="E98" s="16"/>
      <c r="F98" s="16">
        <v>2</v>
      </c>
      <c r="G98" s="16">
        <v>51.39</v>
      </c>
      <c r="H98" s="123">
        <f t="shared" si="8"/>
        <v>0.10278</v>
      </c>
      <c r="I98" s="16">
        <v>0</v>
      </c>
    </row>
    <row r="99" spans="1:9" ht="31.5" hidden="1" customHeight="1">
      <c r="A99" s="36"/>
      <c r="B99" s="94" t="s">
        <v>192</v>
      </c>
      <c r="C99" s="95" t="s">
        <v>149</v>
      </c>
      <c r="D99" s="36"/>
      <c r="E99" s="23"/>
      <c r="F99" s="23">
        <v>1</v>
      </c>
      <c r="G99" s="23">
        <v>223.25</v>
      </c>
      <c r="H99" s="124">
        <f t="shared" si="8"/>
        <v>0.22325</v>
      </c>
      <c r="I99" s="16">
        <v>0</v>
      </c>
    </row>
    <row r="100" spans="1:9" ht="31.5" hidden="1" customHeight="1">
      <c r="A100" s="36"/>
      <c r="B100" s="94" t="s">
        <v>193</v>
      </c>
      <c r="C100" s="95" t="s">
        <v>149</v>
      </c>
      <c r="D100" s="36"/>
      <c r="E100" s="23"/>
      <c r="F100" s="23">
        <v>1</v>
      </c>
      <c r="G100" s="23">
        <v>290.67</v>
      </c>
      <c r="H100" s="124">
        <f t="shared" si="8"/>
        <v>0.29067000000000004</v>
      </c>
      <c r="I100" s="16">
        <v>0</v>
      </c>
    </row>
    <row r="101" spans="1:9" ht="31.5" hidden="1" customHeight="1">
      <c r="A101" s="36"/>
      <c r="B101" s="94" t="s">
        <v>194</v>
      </c>
      <c r="C101" s="95" t="s">
        <v>149</v>
      </c>
      <c r="D101" s="36"/>
      <c r="E101" s="23"/>
      <c r="F101" s="23">
        <v>1</v>
      </c>
      <c r="G101" s="23">
        <v>762.37</v>
      </c>
      <c r="H101" s="124">
        <f t="shared" si="8"/>
        <v>0.76236999999999999</v>
      </c>
      <c r="I101" s="16">
        <v>0</v>
      </c>
    </row>
    <row r="102" spans="1:9" ht="15.75" hidden="1" customHeight="1">
      <c r="A102" s="36"/>
      <c r="B102" s="94" t="s">
        <v>148</v>
      </c>
      <c r="C102" s="95" t="s">
        <v>149</v>
      </c>
      <c r="D102" s="36"/>
      <c r="E102" s="23"/>
      <c r="F102" s="23">
        <v>4</v>
      </c>
      <c r="G102" s="23">
        <v>476.76</v>
      </c>
      <c r="H102" s="124">
        <f t="shared" si="8"/>
        <v>1.9070400000000001</v>
      </c>
      <c r="I102" s="16">
        <v>0</v>
      </c>
    </row>
    <row r="103" spans="1:9" ht="15.75" hidden="1" customHeight="1">
      <c r="A103" s="36"/>
      <c r="B103" s="94" t="s">
        <v>195</v>
      </c>
      <c r="C103" s="95" t="s">
        <v>196</v>
      </c>
      <c r="D103" s="36"/>
      <c r="E103" s="23"/>
      <c r="F103" s="23">
        <v>0.01</v>
      </c>
      <c r="G103" s="23">
        <v>7033.13</v>
      </c>
      <c r="H103" s="124">
        <f t="shared" si="8"/>
        <v>7.0331299999999999E-2</v>
      </c>
      <c r="I103" s="16">
        <v>0</v>
      </c>
    </row>
    <row r="104" spans="1:9" ht="15.75" hidden="1" customHeight="1">
      <c r="A104" s="36"/>
      <c r="B104" s="108" t="s">
        <v>158</v>
      </c>
      <c r="C104" s="109" t="s">
        <v>159</v>
      </c>
      <c r="D104" s="67"/>
      <c r="E104" s="16"/>
      <c r="F104" s="16">
        <f>58/3</f>
        <v>19.333333333333332</v>
      </c>
      <c r="G104" s="16">
        <v>1063.47</v>
      </c>
      <c r="H104" s="123">
        <f t="shared" si="8"/>
        <v>20.560419999999997</v>
      </c>
      <c r="I104" s="16">
        <v>0</v>
      </c>
    </row>
    <row r="105" spans="1:9" ht="31.5" hidden="1" customHeight="1">
      <c r="A105" s="36"/>
      <c r="B105" s="94" t="s">
        <v>92</v>
      </c>
      <c r="C105" s="95" t="s">
        <v>40</v>
      </c>
      <c r="D105" s="67"/>
      <c r="E105" s="16"/>
      <c r="F105" s="16">
        <v>7.0000000000000007E-2</v>
      </c>
      <c r="G105" s="16">
        <v>3397.65</v>
      </c>
      <c r="H105" s="123">
        <f>G105*F105/1000</f>
        <v>0.23783550000000003</v>
      </c>
      <c r="I105" s="16">
        <v>0</v>
      </c>
    </row>
    <row r="106" spans="1:9" ht="15.75" hidden="1" customHeight="1">
      <c r="A106" s="36"/>
      <c r="B106" s="94" t="s">
        <v>214</v>
      </c>
      <c r="C106" s="95" t="s">
        <v>90</v>
      </c>
      <c r="D106" s="67"/>
      <c r="E106" s="16"/>
      <c r="F106" s="16">
        <v>4</v>
      </c>
      <c r="G106" s="16">
        <v>664.36</v>
      </c>
      <c r="H106" s="123">
        <f>G106*F106/1000</f>
        <v>2.6574400000000002</v>
      </c>
      <c r="I106" s="16">
        <v>0</v>
      </c>
    </row>
    <row r="107" spans="1:9" ht="15.75" hidden="1" customHeight="1">
      <c r="A107" s="36"/>
      <c r="B107" s="94" t="s">
        <v>197</v>
      </c>
      <c r="C107" s="95" t="s">
        <v>149</v>
      </c>
      <c r="D107" s="67"/>
      <c r="E107" s="16"/>
      <c r="F107" s="16">
        <v>1</v>
      </c>
      <c r="G107" s="16">
        <v>454.22</v>
      </c>
      <c r="H107" s="123">
        <f>G107*F107/1000</f>
        <v>0.45422000000000001</v>
      </c>
      <c r="I107" s="16">
        <v>0</v>
      </c>
    </row>
    <row r="108" spans="1:9" ht="15.75" hidden="1" customHeight="1">
      <c r="A108" s="36"/>
      <c r="B108" s="94" t="s">
        <v>198</v>
      </c>
      <c r="C108" s="95" t="s">
        <v>111</v>
      </c>
      <c r="D108" s="67"/>
      <c r="E108" s="16"/>
      <c r="F108" s="16">
        <v>1</v>
      </c>
      <c r="G108" s="16">
        <v>45.79</v>
      </c>
      <c r="H108" s="123">
        <f t="shared" ref="H108:H114" si="9">G108*F108/1000</f>
        <v>4.5789999999999997E-2</v>
      </c>
      <c r="I108" s="16">
        <v>0</v>
      </c>
    </row>
    <row r="109" spans="1:9" ht="15.75" hidden="1" customHeight="1">
      <c r="A109" s="36"/>
      <c r="B109" s="94" t="s">
        <v>199</v>
      </c>
      <c r="C109" s="95" t="s">
        <v>111</v>
      </c>
      <c r="D109" s="67"/>
      <c r="E109" s="16"/>
      <c r="F109" s="16">
        <v>2</v>
      </c>
      <c r="G109" s="16">
        <v>78.89</v>
      </c>
      <c r="H109" s="123">
        <f t="shared" si="9"/>
        <v>0.15778</v>
      </c>
      <c r="I109" s="16">
        <v>0</v>
      </c>
    </row>
    <row r="110" spans="1:9" ht="15.75" hidden="1" customHeight="1">
      <c r="A110" s="36"/>
      <c r="B110" s="94" t="s">
        <v>200</v>
      </c>
      <c r="C110" s="95" t="s">
        <v>111</v>
      </c>
      <c r="D110" s="67"/>
      <c r="E110" s="16"/>
      <c r="F110" s="16">
        <v>2</v>
      </c>
      <c r="G110" s="16">
        <v>19.059999999999999</v>
      </c>
      <c r="H110" s="123">
        <f t="shared" si="9"/>
        <v>3.8119999999999994E-2</v>
      </c>
      <c r="I110" s="16">
        <v>0</v>
      </c>
    </row>
    <row r="111" spans="1:9" ht="15.75" hidden="1" customHeight="1">
      <c r="A111" s="36"/>
      <c r="B111" s="94" t="s">
        <v>201</v>
      </c>
      <c r="C111" s="99" t="s">
        <v>202</v>
      </c>
      <c r="D111" s="67"/>
      <c r="E111" s="16"/>
      <c r="F111" s="16">
        <v>1</v>
      </c>
      <c r="G111" s="16">
        <f>228.27</f>
        <v>228.27</v>
      </c>
      <c r="H111" s="123">
        <f t="shared" si="9"/>
        <v>0.22827</v>
      </c>
      <c r="I111" s="16">
        <v>0</v>
      </c>
    </row>
    <row r="112" spans="1:9" ht="31.5" hidden="1" customHeight="1">
      <c r="A112" s="36"/>
      <c r="B112" s="94" t="s">
        <v>162</v>
      </c>
      <c r="C112" s="20" t="s">
        <v>90</v>
      </c>
      <c r="D112" s="67"/>
      <c r="E112" s="16"/>
      <c r="F112" s="16">
        <v>12</v>
      </c>
      <c r="G112" s="16">
        <v>1187</v>
      </c>
      <c r="H112" s="123">
        <f t="shared" si="9"/>
        <v>14.244</v>
      </c>
      <c r="I112" s="16">
        <v>0</v>
      </c>
    </row>
    <row r="113" spans="1:9" ht="15.75" hidden="1" customHeight="1">
      <c r="A113" s="36"/>
      <c r="B113" s="94" t="s">
        <v>215</v>
      </c>
      <c r="C113" s="95" t="s">
        <v>111</v>
      </c>
      <c r="D113" s="67"/>
      <c r="E113" s="16"/>
      <c r="F113" s="16">
        <v>2</v>
      </c>
      <c r="G113" s="16">
        <v>29282.880000000001</v>
      </c>
      <c r="H113" s="123">
        <f t="shared" si="9"/>
        <v>58.565760000000004</v>
      </c>
      <c r="I113" s="16">
        <v>0</v>
      </c>
    </row>
    <row r="114" spans="1:9" ht="31.5" hidden="1" customHeight="1">
      <c r="A114" s="36"/>
      <c r="B114" s="94" t="s">
        <v>203</v>
      </c>
      <c r="C114" s="20" t="s">
        <v>90</v>
      </c>
      <c r="D114" s="67"/>
      <c r="E114" s="16"/>
      <c r="F114" s="16">
        <v>1.5</v>
      </c>
      <c r="G114" s="16">
        <v>2121</v>
      </c>
      <c r="H114" s="123">
        <f t="shared" si="9"/>
        <v>3.1815000000000002</v>
      </c>
      <c r="I114" s="16">
        <v>0</v>
      </c>
    </row>
    <row r="115" spans="1:9" ht="15.75" hidden="1" customHeight="1">
      <c r="A115" s="36"/>
      <c r="B115" s="94" t="s">
        <v>204</v>
      </c>
      <c r="C115" s="20" t="s">
        <v>111</v>
      </c>
      <c r="D115" s="67"/>
      <c r="E115" s="16"/>
      <c r="F115" s="16">
        <v>1</v>
      </c>
      <c r="G115" s="16">
        <v>470</v>
      </c>
      <c r="H115" s="123">
        <v>0.47</v>
      </c>
      <c r="I115" s="16">
        <v>0</v>
      </c>
    </row>
    <row r="116" spans="1:9" ht="15.75" hidden="1" customHeight="1">
      <c r="A116" s="36"/>
      <c r="B116" s="94" t="s">
        <v>205</v>
      </c>
      <c r="C116" s="95" t="s">
        <v>111</v>
      </c>
      <c r="D116" s="67"/>
      <c r="E116" s="16"/>
      <c r="F116" s="16">
        <v>1</v>
      </c>
      <c r="G116" s="16">
        <v>53.17</v>
      </c>
      <c r="H116" s="123">
        <f t="shared" ref="H116:H124" si="10">G116*F116/1000</f>
        <v>5.3170000000000002E-2</v>
      </c>
      <c r="I116" s="16">
        <v>0</v>
      </c>
    </row>
    <row r="117" spans="1:9" ht="15.75" hidden="1" customHeight="1">
      <c r="A117" s="36"/>
      <c r="B117" s="94" t="s">
        <v>206</v>
      </c>
      <c r="C117" s="95" t="s">
        <v>111</v>
      </c>
      <c r="D117" s="67"/>
      <c r="E117" s="16"/>
      <c r="F117" s="16">
        <v>2</v>
      </c>
      <c r="G117" s="16">
        <v>109.73</v>
      </c>
      <c r="H117" s="123">
        <f t="shared" si="10"/>
        <v>0.21946000000000002</v>
      </c>
      <c r="I117" s="16">
        <v>0</v>
      </c>
    </row>
    <row r="118" spans="1:9" ht="31.5" hidden="1" customHeight="1">
      <c r="A118" s="36"/>
      <c r="B118" s="94" t="s">
        <v>207</v>
      </c>
      <c r="C118" s="95" t="s">
        <v>208</v>
      </c>
      <c r="D118" s="67"/>
      <c r="E118" s="16"/>
      <c r="F118" s="16">
        <f>15/10</f>
        <v>1.5</v>
      </c>
      <c r="G118" s="16">
        <v>99.06</v>
      </c>
      <c r="H118" s="123">
        <f t="shared" si="10"/>
        <v>0.14859</v>
      </c>
      <c r="I118" s="16">
        <v>0</v>
      </c>
    </row>
    <row r="119" spans="1:9" ht="15.75" hidden="1" customHeight="1">
      <c r="A119" s="36"/>
      <c r="B119" s="94" t="s">
        <v>209</v>
      </c>
      <c r="C119" s="95" t="s">
        <v>210</v>
      </c>
      <c r="D119" s="67"/>
      <c r="E119" s="16"/>
      <c r="F119" s="16">
        <v>15</v>
      </c>
      <c r="G119" s="16">
        <v>83.63</v>
      </c>
      <c r="H119" s="123">
        <f t="shared" si="10"/>
        <v>1.2544499999999998</v>
      </c>
      <c r="I119" s="16">
        <v>0</v>
      </c>
    </row>
    <row r="120" spans="1:9" ht="15.75" hidden="1" customHeight="1">
      <c r="A120" s="36"/>
      <c r="B120" s="94" t="s">
        <v>211</v>
      </c>
      <c r="C120" s="95" t="s">
        <v>111</v>
      </c>
      <c r="D120" s="67"/>
      <c r="E120" s="16"/>
      <c r="F120" s="16">
        <v>1</v>
      </c>
      <c r="G120" s="16">
        <v>2179.33</v>
      </c>
      <c r="H120" s="123">
        <f t="shared" si="10"/>
        <v>2.1793299999999998</v>
      </c>
      <c r="I120" s="16">
        <v>0</v>
      </c>
    </row>
    <row r="121" spans="1:9" ht="15.75" hidden="1" customHeight="1">
      <c r="A121" s="36"/>
      <c r="B121" s="94" t="s">
        <v>212</v>
      </c>
      <c r="C121" s="95" t="s">
        <v>111</v>
      </c>
      <c r="D121" s="67"/>
      <c r="E121" s="16"/>
      <c r="F121" s="16">
        <v>5</v>
      </c>
      <c r="G121" s="16">
        <v>1061.4100000000001</v>
      </c>
      <c r="H121" s="123">
        <f t="shared" si="10"/>
        <v>5.3070500000000003</v>
      </c>
      <c r="I121" s="16">
        <v>0</v>
      </c>
    </row>
    <row r="122" spans="1:9" ht="15.75" hidden="1" customHeight="1">
      <c r="A122" s="36"/>
      <c r="B122" s="125" t="s">
        <v>94</v>
      </c>
      <c r="C122" s="95" t="s">
        <v>111</v>
      </c>
      <c r="D122" s="67"/>
      <c r="E122" s="16"/>
      <c r="F122" s="16">
        <v>1</v>
      </c>
      <c r="G122" s="16">
        <v>179.96</v>
      </c>
      <c r="H122" s="123">
        <f t="shared" si="10"/>
        <v>0.17996000000000001</v>
      </c>
      <c r="I122" s="16">
        <v>0</v>
      </c>
    </row>
    <row r="123" spans="1:9" ht="31.5" hidden="1" customHeight="1">
      <c r="A123" s="36"/>
      <c r="B123" s="94" t="s">
        <v>213</v>
      </c>
      <c r="C123" s="95" t="s">
        <v>154</v>
      </c>
      <c r="D123" s="67"/>
      <c r="E123" s="16"/>
      <c r="F123" s="16">
        <f>0.3/10</f>
        <v>0.03</v>
      </c>
      <c r="G123" s="16">
        <v>9750.4599999999991</v>
      </c>
      <c r="H123" s="123">
        <f t="shared" si="10"/>
        <v>0.29251379999999993</v>
      </c>
      <c r="I123" s="16">
        <v>0</v>
      </c>
    </row>
    <row r="124" spans="1:9" ht="31.5" hidden="1" customHeight="1">
      <c r="A124" s="36"/>
      <c r="B124" s="94" t="s">
        <v>153</v>
      </c>
      <c r="C124" s="99" t="s">
        <v>154</v>
      </c>
      <c r="D124" s="67"/>
      <c r="E124" s="16"/>
      <c r="F124" s="16">
        <f>(0.273+0.519)/10</f>
        <v>7.9200000000000007E-2</v>
      </c>
      <c r="G124" s="16">
        <v>8916.31</v>
      </c>
      <c r="H124" s="123">
        <f t="shared" si="10"/>
        <v>0.70617175199999993</v>
      </c>
      <c r="I124" s="16">
        <v>0</v>
      </c>
    </row>
    <row r="125" spans="1:9">
      <c r="A125" s="36"/>
      <c r="B125" s="61" t="s">
        <v>54</v>
      </c>
      <c r="C125" s="57"/>
      <c r="D125" s="70"/>
      <c r="E125" s="57">
        <v>1</v>
      </c>
      <c r="F125" s="57"/>
      <c r="G125" s="57"/>
      <c r="H125" s="57"/>
      <c r="I125" s="39">
        <f>SUM(I87:I124)</f>
        <v>8317.57</v>
      </c>
    </row>
    <row r="126" spans="1:9" ht="15.75" customHeight="1">
      <c r="A126" s="36"/>
      <c r="B126" s="67" t="s">
        <v>86</v>
      </c>
      <c r="C126" s="19"/>
      <c r="D126" s="19"/>
      <c r="E126" s="58"/>
      <c r="F126" s="58"/>
      <c r="G126" s="59"/>
      <c r="H126" s="59"/>
      <c r="I126" s="22">
        <v>0</v>
      </c>
    </row>
    <row r="127" spans="1:9" ht="15.75" customHeight="1">
      <c r="A127" s="71"/>
      <c r="B127" s="62" t="s">
        <v>55</v>
      </c>
      <c r="C127" s="45"/>
      <c r="D127" s="45"/>
      <c r="E127" s="45"/>
      <c r="F127" s="45"/>
      <c r="G127" s="45"/>
      <c r="H127" s="45"/>
      <c r="I127" s="60">
        <f>I85+I125</f>
        <v>106981.07147366664</v>
      </c>
    </row>
    <row r="128" spans="1:9" ht="15.75">
      <c r="A128" s="167" t="s">
        <v>219</v>
      </c>
      <c r="B128" s="167"/>
      <c r="C128" s="167"/>
      <c r="D128" s="167"/>
      <c r="E128" s="167"/>
      <c r="F128" s="167"/>
      <c r="G128" s="167"/>
      <c r="H128" s="167"/>
      <c r="I128" s="167"/>
    </row>
    <row r="129" spans="1:9" ht="15.75" customHeight="1">
      <c r="A129" s="106"/>
      <c r="B129" s="162" t="s">
        <v>220</v>
      </c>
      <c r="C129" s="162"/>
      <c r="D129" s="162"/>
      <c r="E129" s="162"/>
      <c r="F129" s="162"/>
      <c r="G129" s="162"/>
      <c r="H129" s="121"/>
      <c r="I129" s="3"/>
    </row>
    <row r="130" spans="1:9" ht="15.75" customHeight="1">
      <c r="A130" s="103"/>
      <c r="B130" s="158" t="s">
        <v>6</v>
      </c>
      <c r="C130" s="158"/>
      <c r="D130" s="158"/>
      <c r="E130" s="158"/>
      <c r="F130" s="158"/>
      <c r="G130" s="158"/>
      <c r="H130" s="31"/>
      <c r="I130" s="5"/>
    </row>
    <row r="131" spans="1:9" ht="15.75" customHeight="1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ht="15.75" customHeight="1">
      <c r="A132" s="163" t="s">
        <v>7</v>
      </c>
      <c r="B132" s="163"/>
      <c r="C132" s="163"/>
      <c r="D132" s="163"/>
      <c r="E132" s="163"/>
      <c r="F132" s="163"/>
      <c r="G132" s="163"/>
      <c r="H132" s="163"/>
      <c r="I132" s="163"/>
    </row>
    <row r="133" spans="1:9" ht="15.75" customHeight="1">
      <c r="A133" s="163" t="s">
        <v>8</v>
      </c>
      <c r="B133" s="163"/>
      <c r="C133" s="163"/>
      <c r="D133" s="163"/>
      <c r="E133" s="163"/>
      <c r="F133" s="163"/>
      <c r="G133" s="163"/>
      <c r="H133" s="163"/>
      <c r="I133" s="163"/>
    </row>
    <row r="134" spans="1:9" ht="15.75">
      <c r="A134" s="164" t="s">
        <v>65</v>
      </c>
      <c r="B134" s="164"/>
      <c r="C134" s="164"/>
      <c r="D134" s="164"/>
      <c r="E134" s="164"/>
      <c r="F134" s="164"/>
      <c r="G134" s="164"/>
      <c r="H134" s="164"/>
      <c r="I134" s="164"/>
    </row>
    <row r="135" spans="1:9" ht="15.75" customHeight="1">
      <c r="A135" s="11"/>
    </row>
    <row r="136" spans="1:9" ht="15.75">
      <c r="A136" s="165" t="s">
        <v>9</v>
      </c>
      <c r="B136" s="165"/>
      <c r="C136" s="165"/>
      <c r="D136" s="165"/>
      <c r="E136" s="165"/>
      <c r="F136" s="165"/>
      <c r="G136" s="165"/>
      <c r="H136" s="165"/>
      <c r="I136" s="165"/>
    </row>
    <row r="137" spans="1:9" ht="15.75" customHeight="1">
      <c r="A137" s="4"/>
    </row>
    <row r="138" spans="1:9" ht="15.75">
      <c r="B138" s="100" t="s">
        <v>10</v>
      </c>
      <c r="C138" s="157" t="s">
        <v>170</v>
      </c>
      <c r="D138" s="157"/>
      <c r="E138" s="157"/>
      <c r="F138" s="119"/>
      <c r="I138" s="102"/>
    </row>
    <row r="139" spans="1:9">
      <c r="A139" s="103"/>
      <c r="C139" s="158" t="s">
        <v>11</v>
      </c>
      <c r="D139" s="158"/>
      <c r="E139" s="158"/>
      <c r="F139" s="31"/>
      <c r="I139" s="101" t="s">
        <v>12</v>
      </c>
    </row>
    <row r="140" spans="1:9" ht="15.75">
      <c r="A140" s="32"/>
      <c r="C140" s="12"/>
      <c r="D140" s="12"/>
      <c r="G140" s="12"/>
      <c r="H140" s="12"/>
    </row>
    <row r="141" spans="1:9" ht="15.75" customHeight="1">
      <c r="B141" s="100" t="s">
        <v>13</v>
      </c>
      <c r="C141" s="159"/>
      <c r="D141" s="159"/>
      <c r="E141" s="159"/>
      <c r="F141" s="120"/>
      <c r="I141" s="102"/>
    </row>
    <row r="142" spans="1:9" ht="15.75" customHeight="1">
      <c r="A142" s="103"/>
      <c r="C142" s="160" t="s">
        <v>11</v>
      </c>
      <c r="D142" s="160"/>
      <c r="E142" s="160"/>
      <c r="F142" s="103"/>
      <c r="I142" s="101" t="s">
        <v>12</v>
      </c>
    </row>
    <row r="143" spans="1:9" ht="15.75" customHeight="1">
      <c r="A143" s="4" t="s">
        <v>14</v>
      </c>
    </row>
    <row r="144" spans="1:9">
      <c r="A144" s="161" t="s">
        <v>15</v>
      </c>
      <c r="B144" s="161"/>
      <c r="C144" s="161"/>
      <c r="D144" s="161"/>
      <c r="E144" s="161"/>
      <c r="F144" s="161"/>
      <c r="G144" s="161"/>
      <c r="H144" s="161"/>
      <c r="I144" s="161"/>
    </row>
    <row r="145" spans="1:9" ht="45" customHeight="1">
      <c r="A145" s="153" t="s">
        <v>16</v>
      </c>
      <c r="B145" s="153"/>
      <c r="C145" s="153"/>
      <c r="D145" s="153"/>
      <c r="E145" s="153"/>
      <c r="F145" s="153"/>
      <c r="G145" s="153"/>
      <c r="H145" s="153"/>
      <c r="I145" s="153"/>
    </row>
    <row r="146" spans="1:9" ht="30" customHeight="1">
      <c r="A146" s="153" t="s">
        <v>17</v>
      </c>
      <c r="B146" s="153"/>
      <c r="C146" s="153"/>
      <c r="D146" s="153"/>
      <c r="E146" s="153"/>
      <c r="F146" s="153"/>
      <c r="G146" s="153"/>
      <c r="H146" s="153"/>
      <c r="I146" s="153"/>
    </row>
    <row r="147" spans="1:9" ht="30" customHeight="1">
      <c r="A147" s="153" t="s">
        <v>21</v>
      </c>
      <c r="B147" s="153"/>
      <c r="C147" s="153"/>
      <c r="D147" s="153"/>
      <c r="E147" s="153"/>
      <c r="F147" s="153"/>
      <c r="G147" s="153"/>
      <c r="H147" s="153"/>
      <c r="I147" s="153"/>
    </row>
    <row r="148" spans="1:9" ht="15" customHeight="1">
      <c r="A148" s="153" t="s">
        <v>20</v>
      </c>
      <c r="B148" s="153"/>
      <c r="C148" s="153"/>
      <c r="D148" s="153"/>
      <c r="E148" s="153"/>
      <c r="F148" s="153"/>
      <c r="G148" s="153"/>
      <c r="H148" s="153"/>
      <c r="I148" s="153"/>
    </row>
  </sheetData>
  <mergeCells count="27">
    <mergeCell ref="A14:I14"/>
    <mergeCell ref="A3:I3"/>
    <mergeCell ref="A4:I4"/>
    <mergeCell ref="A5:I5"/>
    <mergeCell ref="A8:I8"/>
    <mergeCell ref="A10:I10"/>
    <mergeCell ref="A134:I134"/>
    <mergeCell ref="A136:I136"/>
    <mergeCell ref="A15:I15"/>
    <mergeCell ref="A28:I28"/>
    <mergeCell ref="A128:I128"/>
    <mergeCell ref="A146:I146"/>
    <mergeCell ref="A147:I147"/>
    <mergeCell ref="A148:I148"/>
    <mergeCell ref="A43:I43"/>
    <mergeCell ref="A54:I54"/>
    <mergeCell ref="A82:I82"/>
    <mergeCell ref="C138:E138"/>
    <mergeCell ref="C139:E139"/>
    <mergeCell ref="C141:E141"/>
    <mergeCell ref="C142:E142"/>
    <mergeCell ref="A144:I144"/>
    <mergeCell ref="A145:I145"/>
    <mergeCell ref="B129:G129"/>
    <mergeCell ref="B130:G130"/>
    <mergeCell ref="A132:I132"/>
    <mergeCell ref="A133:I133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254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255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42674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customHeight="1">
      <c r="A50" s="36">
        <v>13</v>
      </c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f>F50/2*G50</f>
        <v>2459.6231400000001</v>
      </c>
    </row>
    <row r="51" spans="1:9" ht="31.5" customHeight="1">
      <c r="A51" s="36">
        <v>14</v>
      </c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f t="shared" ref="I51:I52" si="6">F51/2*G51</f>
        <v>1092.1959999999999</v>
      </c>
    </row>
    <row r="52" spans="1:9" ht="15.75" customHeight="1">
      <c r="A52" s="36">
        <v>15</v>
      </c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f t="shared" si="6"/>
        <v>56.521300000000004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16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7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7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7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7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7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7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7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7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7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7"/>
        <v>0.49880000000000002</v>
      </c>
      <c r="I71" s="16">
        <v>0</v>
      </c>
    </row>
    <row r="72" spans="1:9" ht="15.75" hidden="1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hidden="1" customHeight="1">
      <c r="A73" s="36"/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7"/>
        <v>8.0259199999999993</v>
      </c>
      <c r="I73" s="16">
        <v>0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7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8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7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17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18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I16+I17+I18+I20+I21+I24+I25+I26+I27+I30+I31+I33+I50+I51+I52+I59+I83+I84</f>
        <v>62994.805830888894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19</v>
      </c>
      <c r="B87" s="94" t="s">
        <v>88</v>
      </c>
      <c r="C87" s="20" t="s">
        <v>32</v>
      </c>
      <c r="D87" s="67"/>
      <c r="E87" s="16"/>
      <c r="F87" s="16">
        <v>7</v>
      </c>
      <c r="G87" s="16">
        <v>79.09</v>
      </c>
      <c r="H87" s="16">
        <f>F87*G87/1000</f>
        <v>0.55362999999999996</v>
      </c>
      <c r="I87" s="16">
        <f>G87*2</f>
        <v>158.18</v>
      </c>
    </row>
    <row r="88" spans="1:9" ht="15.75" customHeight="1">
      <c r="A88" s="36">
        <v>20</v>
      </c>
      <c r="B88" s="94" t="s">
        <v>150</v>
      </c>
      <c r="C88" s="95" t="s">
        <v>111</v>
      </c>
      <c r="D88" s="67"/>
      <c r="E88" s="16"/>
      <c r="F88" s="16">
        <v>948</v>
      </c>
      <c r="G88" s="16">
        <v>50.68</v>
      </c>
      <c r="H88" s="123">
        <f>G88*F88/1000</f>
        <v>48.044640000000001</v>
      </c>
      <c r="I88" s="16">
        <f>G88*79</f>
        <v>4003.72</v>
      </c>
    </row>
    <row r="89" spans="1:9" ht="15.75" customHeight="1">
      <c r="A89" s="36">
        <v>21</v>
      </c>
      <c r="B89" s="94" t="s">
        <v>148</v>
      </c>
      <c r="C89" s="95" t="s">
        <v>149</v>
      </c>
      <c r="D89" s="36"/>
      <c r="E89" s="23"/>
      <c r="F89" s="23">
        <v>4</v>
      </c>
      <c r="G89" s="23">
        <v>476.76</v>
      </c>
      <c r="H89" s="124">
        <f t="shared" ref="H89:H90" si="9">G89*F89/1000</f>
        <v>1.9070400000000001</v>
      </c>
      <c r="I89" s="16">
        <f>G89</f>
        <v>476.76</v>
      </c>
    </row>
    <row r="90" spans="1:9" ht="15.75" customHeight="1">
      <c r="A90" s="36">
        <v>22</v>
      </c>
      <c r="B90" s="108" t="s">
        <v>158</v>
      </c>
      <c r="C90" s="109" t="s">
        <v>159</v>
      </c>
      <c r="D90" s="67"/>
      <c r="E90" s="16"/>
      <c r="F90" s="16">
        <f>58/3</f>
        <v>19.333333333333332</v>
      </c>
      <c r="G90" s="16">
        <v>1063.47</v>
      </c>
      <c r="H90" s="123">
        <f t="shared" si="9"/>
        <v>20.560419999999997</v>
      </c>
      <c r="I90" s="16">
        <f>G90*4</f>
        <v>4253.88</v>
      </c>
    </row>
    <row r="91" spans="1:9" ht="31.5" customHeight="1">
      <c r="A91" s="36">
        <v>23</v>
      </c>
      <c r="B91" s="94" t="s">
        <v>92</v>
      </c>
      <c r="C91" s="95" t="s">
        <v>40</v>
      </c>
      <c r="D91" s="67"/>
      <c r="E91" s="16"/>
      <c r="F91" s="16">
        <v>7.0000000000000007E-2</v>
      </c>
      <c r="G91" s="16">
        <v>3397.65</v>
      </c>
      <c r="H91" s="123">
        <f>G91*F91/1000</f>
        <v>0.23783550000000003</v>
      </c>
      <c r="I91" s="16">
        <f>G91*0.02</f>
        <v>67.953000000000003</v>
      </c>
    </row>
    <row r="92" spans="1:9" ht="15.75" customHeight="1">
      <c r="A92" s="36">
        <v>24</v>
      </c>
      <c r="B92" s="94" t="s">
        <v>214</v>
      </c>
      <c r="C92" s="95" t="s">
        <v>90</v>
      </c>
      <c r="D92" s="67"/>
      <c r="E92" s="16"/>
      <c r="F92" s="16">
        <v>4</v>
      </c>
      <c r="G92" s="16">
        <v>664.36</v>
      </c>
      <c r="H92" s="123">
        <f>G92*F92/1000</f>
        <v>2.6574400000000002</v>
      </c>
      <c r="I92" s="16">
        <f>G92*2</f>
        <v>1328.72</v>
      </c>
    </row>
    <row r="93" spans="1:9" ht="15.75" customHeight="1">
      <c r="A93" s="36">
        <v>25</v>
      </c>
      <c r="B93" s="94" t="s">
        <v>199</v>
      </c>
      <c r="C93" s="95" t="s">
        <v>111</v>
      </c>
      <c r="D93" s="67"/>
      <c r="E93" s="16"/>
      <c r="F93" s="16">
        <v>2</v>
      </c>
      <c r="G93" s="16">
        <v>78.89</v>
      </c>
      <c r="H93" s="123">
        <f t="shared" ref="H93" si="10">G93*F93/1000</f>
        <v>0.15778</v>
      </c>
      <c r="I93" s="16">
        <f>G93</f>
        <v>78.89</v>
      </c>
    </row>
    <row r="94" spans="1:9" ht="15.75" customHeight="1">
      <c r="A94" s="36">
        <v>26</v>
      </c>
      <c r="B94" s="94" t="s">
        <v>204</v>
      </c>
      <c r="C94" s="20" t="s">
        <v>111</v>
      </c>
      <c r="D94" s="67"/>
      <c r="E94" s="16"/>
      <c r="F94" s="16">
        <v>1</v>
      </c>
      <c r="G94" s="16">
        <v>470</v>
      </c>
      <c r="H94" s="123">
        <v>0.47</v>
      </c>
      <c r="I94" s="16">
        <f>G94</f>
        <v>470</v>
      </c>
    </row>
    <row r="95" spans="1:9" ht="15.75" customHeight="1">
      <c r="A95" s="36">
        <v>27</v>
      </c>
      <c r="B95" s="94" t="s">
        <v>205</v>
      </c>
      <c r="C95" s="95" t="s">
        <v>111</v>
      </c>
      <c r="D95" s="67"/>
      <c r="E95" s="16"/>
      <c r="F95" s="16">
        <v>1</v>
      </c>
      <c r="G95" s="16">
        <v>53.17</v>
      </c>
      <c r="H95" s="123">
        <f t="shared" ref="H95:H103" si="11">G95*F95/1000</f>
        <v>5.3170000000000002E-2</v>
      </c>
      <c r="I95" s="16">
        <f>G95</f>
        <v>53.17</v>
      </c>
    </row>
    <row r="96" spans="1:9" ht="15.75" customHeight="1">
      <c r="A96" s="36">
        <v>28</v>
      </c>
      <c r="B96" s="94" t="s">
        <v>206</v>
      </c>
      <c r="C96" s="95" t="s">
        <v>111</v>
      </c>
      <c r="D96" s="67"/>
      <c r="E96" s="16"/>
      <c r="F96" s="16">
        <v>2</v>
      </c>
      <c r="G96" s="16">
        <v>109.73</v>
      </c>
      <c r="H96" s="123">
        <f t="shared" si="11"/>
        <v>0.21946000000000002</v>
      </c>
      <c r="I96" s="16">
        <f>G96*2</f>
        <v>219.46</v>
      </c>
    </row>
    <row r="97" spans="1:9" ht="31.5" customHeight="1">
      <c r="A97" s="36">
        <v>29</v>
      </c>
      <c r="B97" s="94" t="s">
        <v>207</v>
      </c>
      <c r="C97" s="95" t="s">
        <v>208</v>
      </c>
      <c r="D97" s="67"/>
      <c r="E97" s="16"/>
      <c r="F97" s="16">
        <f>15/10</f>
        <v>1.5</v>
      </c>
      <c r="G97" s="16">
        <v>99.06</v>
      </c>
      <c r="H97" s="123">
        <f t="shared" si="11"/>
        <v>0.14859</v>
      </c>
      <c r="I97" s="16">
        <f>G97*(15/10)</f>
        <v>148.59</v>
      </c>
    </row>
    <row r="98" spans="1:9" ht="15.75" customHeight="1">
      <c r="A98" s="36">
        <v>30</v>
      </c>
      <c r="B98" s="94" t="s">
        <v>209</v>
      </c>
      <c r="C98" s="95" t="s">
        <v>210</v>
      </c>
      <c r="D98" s="67"/>
      <c r="E98" s="16"/>
      <c r="F98" s="16">
        <v>15</v>
      </c>
      <c r="G98" s="16">
        <v>83.63</v>
      </c>
      <c r="H98" s="123">
        <f t="shared" si="11"/>
        <v>1.2544499999999998</v>
      </c>
      <c r="I98" s="16">
        <f>G98*15</f>
        <v>1254.4499999999998</v>
      </c>
    </row>
    <row r="99" spans="1:9" ht="15.75" customHeight="1">
      <c r="A99" s="36">
        <v>31</v>
      </c>
      <c r="B99" s="94" t="s">
        <v>211</v>
      </c>
      <c r="C99" s="95" t="s">
        <v>111</v>
      </c>
      <c r="D99" s="67"/>
      <c r="E99" s="16"/>
      <c r="F99" s="16">
        <v>1</v>
      </c>
      <c r="G99" s="16">
        <v>2179.33</v>
      </c>
      <c r="H99" s="123">
        <f t="shared" si="11"/>
        <v>2.1793299999999998</v>
      </c>
      <c r="I99" s="16">
        <f>G99</f>
        <v>2179.33</v>
      </c>
    </row>
    <row r="100" spans="1:9" ht="15.75" customHeight="1">
      <c r="A100" s="36">
        <v>32</v>
      </c>
      <c r="B100" s="94" t="s">
        <v>212</v>
      </c>
      <c r="C100" s="95" t="s">
        <v>111</v>
      </c>
      <c r="D100" s="67"/>
      <c r="E100" s="16"/>
      <c r="F100" s="16">
        <v>5</v>
      </c>
      <c r="G100" s="16">
        <v>1061.4100000000001</v>
      </c>
      <c r="H100" s="123">
        <f t="shared" si="11"/>
        <v>5.3070500000000003</v>
      </c>
      <c r="I100" s="16">
        <f>G100*(4+1)</f>
        <v>5307.05</v>
      </c>
    </row>
    <row r="101" spans="1:9" ht="15.75" customHeight="1">
      <c r="A101" s="36">
        <v>33</v>
      </c>
      <c r="B101" s="125" t="s">
        <v>94</v>
      </c>
      <c r="C101" s="95" t="s">
        <v>111</v>
      </c>
      <c r="D101" s="67"/>
      <c r="E101" s="16"/>
      <c r="F101" s="16">
        <v>1</v>
      </c>
      <c r="G101" s="16">
        <v>179.96</v>
      </c>
      <c r="H101" s="123">
        <f t="shared" si="11"/>
        <v>0.17996000000000001</v>
      </c>
      <c r="I101" s="16">
        <f>G101</f>
        <v>179.96</v>
      </c>
    </row>
    <row r="102" spans="1:9" ht="31.5" customHeight="1">
      <c r="A102" s="36">
        <v>34</v>
      </c>
      <c r="B102" s="94" t="s">
        <v>213</v>
      </c>
      <c r="C102" s="95" t="s">
        <v>154</v>
      </c>
      <c r="D102" s="67"/>
      <c r="E102" s="16"/>
      <c r="F102" s="16">
        <f>0.3/10</f>
        <v>0.03</v>
      </c>
      <c r="G102" s="16">
        <v>9750.4599999999991</v>
      </c>
      <c r="H102" s="123">
        <f t="shared" si="11"/>
        <v>0.29251379999999993</v>
      </c>
      <c r="I102" s="16">
        <f>G102*(0.3/10)</f>
        <v>292.51379999999995</v>
      </c>
    </row>
    <row r="103" spans="1:9" ht="31.5" customHeight="1">
      <c r="A103" s="36">
        <v>35</v>
      </c>
      <c r="B103" s="94" t="s">
        <v>153</v>
      </c>
      <c r="C103" s="99" t="s">
        <v>154</v>
      </c>
      <c r="D103" s="67"/>
      <c r="E103" s="16"/>
      <c r="F103" s="16">
        <f>(0.273+0.519)/10</f>
        <v>7.9200000000000007E-2</v>
      </c>
      <c r="G103" s="16">
        <v>8916.31</v>
      </c>
      <c r="H103" s="123">
        <f t="shared" si="11"/>
        <v>0.70617175199999993</v>
      </c>
      <c r="I103" s="16">
        <f>G103*(0.273/10)</f>
        <v>243.41526300000001</v>
      </c>
    </row>
    <row r="104" spans="1:9">
      <c r="A104" s="36"/>
      <c r="B104" s="61" t="s">
        <v>54</v>
      </c>
      <c r="C104" s="57"/>
      <c r="D104" s="70"/>
      <c r="E104" s="57">
        <v>1</v>
      </c>
      <c r="F104" s="57"/>
      <c r="G104" s="57"/>
      <c r="H104" s="57"/>
      <c r="I104" s="39">
        <f>SUM(I87:I103)</f>
        <v>20716.042062999997</v>
      </c>
    </row>
    <row r="105" spans="1:9" ht="15.75" customHeight="1">
      <c r="A105" s="36"/>
      <c r="B105" s="67" t="s">
        <v>86</v>
      </c>
      <c r="C105" s="19"/>
      <c r="D105" s="19"/>
      <c r="E105" s="58"/>
      <c r="F105" s="58"/>
      <c r="G105" s="59"/>
      <c r="H105" s="59"/>
      <c r="I105" s="22">
        <v>0</v>
      </c>
    </row>
    <row r="106" spans="1:9" ht="15.75" customHeight="1">
      <c r="A106" s="71"/>
      <c r="B106" s="62" t="s">
        <v>55</v>
      </c>
      <c r="C106" s="45"/>
      <c r="D106" s="45"/>
      <c r="E106" s="45"/>
      <c r="F106" s="45"/>
      <c r="G106" s="45"/>
      <c r="H106" s="45"/>
      <c r="I106" s="60">
        <f>I85+I104</f>
        <v>83710.847893888887</v>
      </c>
    </row>
    <row r="107" spans="1:9" ht="15.75">
      <c r="A107" s="167" t="s">
        <v>256</v>
      </c>
      <c r="B107" s="167"/>
      <c r="C107" s="167"/>
      <c r="D107" s="167"/>
      <c r="E107" s="167"/>
      <c r="F107" s="167"/>
      <c r="G107" s="167"/>
      <c r="H107" s="167"/>
      <c r="I107" s="167"/>
    </row>
    <row r="108" spans="1:9" ht="15.75" customHeight="1">
      <c r="A108" s="106"/>
      <c r="B108" s="162" t="s">
        <v>257</v>
      </c>
      <c r="C108" s="162"/>
      <c r="D108" s="162"/>
      <c r="E108" s="162"/>
      <c r="F108" s="162"/>
      <c r="G108" s="162"/>
      <c r="H108" s="121"/>
      <c r="I108" s="3"/>
    </row>
    <row r="109" spans="1:9" ht="15.75" customHeight="1">
      <c r="A109" s="112"/>
      <c r="B109" s="158" t="s">
        <v>6</v>
      </c>
      <c r="C109" s="158"/>
      <c r="D109" s="158"/>
      <c r="E109" s="158"/>
      <c r="F109" s="158"/>
      <c r="G109" s="158"/>
      <c r="H109" s="31"/>
      <c r="I109" s="5"/>
    </row>
    <row r="110" spans="1:9" ht="15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 customHeight="1">
      <c r="A111" s="163" t="s">
        <v>7</v>
      </c>
      <c r="B111" s="163"/>
      <c r="C111" s="163"/>
      <c r="D111" s="163"/>
      <c r="E111" s="163"/>
      <c r="F111" s="163"/>
      <c r="G111" s="163"/>
      <c r="H111" s="163"/>
      <c r="I111" s="163"/>
    </row>
    <row r="112" spans="1:9" ht="15.75" customHeight="1">
      <c r="A112" s="163" t="s">
        <v>8</v>
      </c>
      <c r="B112" s="163"/>
      <c r="C112" s="163"/>
      <c r="D112" s="163"/>
      <c r="E112" s="163"/>
      <c r="F112" s="163"/>
      <c r="G112" s="163"/>
      <c r="H112" s="163"/>
      <c r="I112" s="163"/>
    </row>
    <row r="113" spans="1:9" ht="15.75">
      <c r="A113" s="164" t="s">
        <v>65</v>
      </c>
      <c r="B113" s="164"/>
      <c r="C113" s="164"/>
      <c r="D113" s="164"/>
      <c r="E113" s="164"/>
      <c r="F113" s="164"/>
      <c r="G113" s="164"/>
      <c r="H113" s="164"/>
      <c r="I113" s="164"/>
    </row>
    <row r="114" spans="1:9" ht="15.75" customHeight="1">
      <c r="A114" s="11"/>
    </row>
    <row r="115" spans="1:9" ht="15.75">
      <c r="A115" s="165" t="s">
        <v>9</v>
      </c>
      <c r="B115" s="165"/>
      <c r="C115" s="165"/>
      <c r="D115" s="165"/>
      <c r="E115" s="165"/>
      <c r="F115" s="165"/>
      <c r="G115" s="165"/>
      <c r="H115" s="165"/>
      <c r="I115" s="165"/>
    </row>
    <row r="116" spans="1:9" ht="15.75" customHeight="1">
      <c r="A116" s="4"/>
    </row>
    <row r="117" spans="1:9" ht="15.75">
      <c r="B117" s="115" t="s">
        <v>10</v>
      </c>
      <c r="C117" s="157" t="s">
        <v>170</v>
      </c>
      <c r="D117" s="157"/>
      <c r="E117" s="157"/>
      <c r="F117" s="119"/>
      <c r="I117" s="116"/>
    </row>
    <row r="118" spans="1:9">
      <c r="A118" s="112"/>
      <c r="C118" s="158" t="s">
        <v>11</v>
      </c>
      <c r="D118" s="158"/>
      <c r="E118" s="158"/>
      <c r="F118" s="31"/>
      <c r="I118" s="114" t="s">
        <v>12</v>
      </c>
    </row>
    <row r="119" spans="1:9" ht="15.75">
      <c r="A119" s="32"/>
      <c r="C119" s="12"/>
      <c r="D119" s="12"/>
      <c r="G119" s="12"/>
      <c r="H119" s="12"/>
    </row>
    <row r="120" spans="1:9" ht="15.75" customHeight="1">
      <c r="B120" s="115" t="s">
        <v>13</v>
      </c>
      <c r="C120" s="159"/>
      <c r="D120" s="159"/>
      <c r="E120" s="159"/>
      <c r="F120" s="120"/>
      <c r="I120" s="116"/>
    </row>
    <row r="121" spans="1:9" ht="15.75" customHeight="1">
      <c r="A121" s="112"/>
      <c r="C121" s="160" t="s">
        <v>11</v>
      </c>
      <c r="D121" s="160"/>
      <c r="E121" s="160"/>
      <c r="F121" s="112"/>
      <c r="I121" s="114" t="s">
        <v>12</v>
      </c>
    </row>
    <row r="122" spans="1:9" ht="15.75" customHeight="1">
      <c r="A122" s="4" t="s">
        <v>14</v>
      </c>
    </row>
    <row r="123" spans="1:9">
      <c r="A123" s="161" t="s">
        <v>15</v>
      </c>
      <c r="B123" s="161"/>
      <c r="C123" s="161"/>
      <c r="D123" s="161"/>
      <c r="E123" s="161"/>
      <c r="F123" s="161"/>
      <c r="G123" s="161"/>
      <c r="H123" s="161"/>
      <c r="I123" s="161"/>
    </row>
    <row r="124" spans="1:9" ht="45" customHeight="1">
      <c r="A124" s="153" t="s">
        <v>16</v>
      </c>
      <c r="B124" s="153"/>
      <c r="C124" s="153"/>
      <c r="D124" s="153"/>
      <c r="E124" s="153"/>
      <c r="F124" s="153"/>
      <c r="G124" s="153"/>
      <c r="H124" s="153"/>
      <c r="I124" s="153"/>
    </row>
    <row r="125" spans="1:9" ht="30" customHeight="1">
      <c r="A125" s="153" t="s">
        <v>17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30" customHeight="1">
      <c r="A126" s="153" t="s">
        <v>21</v>
      </c>
      <c r="B126" s="153"/>
      <c r="C126" s="153"/>
      <c r="D126" s="153"/>
      <c r="E126" s="153"/>
      <c r="F126" s="153"/>
      <c r="G126" s="153"/>
      <c r="H126" s="153"/>
      <c r="I126" s="153"/>
    </row>
    <row r="127" spans="1:9" ht="15" customHeight="1">
      <c r="A127" s="153" t="s">
        <v>20</v>
      </c>
      <c r="B127" s="153"/>
      <c r="C127" s="153"/>
      <c r="D127" s="153"/>
      <c r="E127" s="153"/>
      <c r="F127" s="153"/>
      <c r="G127" s="153"/>
      <c r="H127" s="153"/>
      <c r="I127" s="153"/>
    </row>
  </sheetData>
  <mergeCells count="27">
    <mergeCell ref="A125:I125"/>
    <mergeCell ref="A126:I126"/>
    <mergeCell ref="A127:I127"/>
    <mergeCell ref="C117:E117"/>
    <mergeCell ref="C118:E118"/>
    <mergeCell ref="C120:E120"/>
    <mergeCell ref="C121:E121"/>
    <mergeCell ref="A123:I123"/>
    <mergeCell ref="A124:I124"/>
    <mergeCell ref="A115:I115"/>
    <mergeCell ref="A15:I15"/>
    <mergeCell ref="A28:I28"/>
    <mergeCell ref="A43:I43"/>
    <mergeCell ref="A54:I54"/>
    <mergeCell ref="A82:I82"/>
    <mergeCell ref="A107:I107"/>
    <mergeCell ref="B108:G108"/>
    <mergeCell ref="B109:G109"/>
    <mergeCell ref="A111:I111"/>
    <mergeCell ref="A112:I112"/>
    <mergeCell ref="A113:I11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3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4" t="s">
        <v>96</v>
      </c>
      <c r="G1" s="33"/>
      <c r="H1" s="1"/>
      <c r="I1" s="1"/>
      <c r="J1" s="1"/>
      <c r="K1" s="1"/>
    </row>
    <row r="2" spans="1:11" ht="15.75">
      <c r="A2" s="35" t="s">
        <v>67</v>
      </c>
      <c r="H2" s="2"/>
      <c r="I2" s="2"/>
      <c r="J2" s="2"/>
      <c r="K2" s="2"/>
    </row>
    <row r="3" spans="1:11" ht="15.75" customHeight="1">
      <c r="A3" s="169" t="s">
        <v>97</v>
      </c>
      <c r="B3" s="169"/>
      <c r="C3" s="169"/>
      <c r="D3" s="169"/>
      <c r="E3" s="169"/>
      <c r="F3" s="169"/>
      <c r="G3" s="169"/>
      <c r="H3" s="3"/>
      <c r="I3" s="3"/>
      <c r="J3" s="3"/>
    </row>
    <row r="4" spans="1:11" ht="31.5" customHeight="1">
      <c r="A4" s="170" t="s">
        <v>157</v>
      </c>
      <c r="B4" s="170"/>
      <c r="C4" s="170"/>
      <c r="D4" s="170"/>
      <c r="E4" s="170"/>
      <c r="F4" s="170"/>
      <c r="G4" s="170"/>
    </row>
    <row r="5" spans="1:11" ht="15.75">
      <c r="A5" s="169" t="s">
        <v>98</v>
      </c>
      <c r="B5" s="171"/>
      <c r="C5" s="171"/>
      <c r="D5" s="171"/>
      <c r="E5" s="171"/>
      <c r="F5" s="171"/>
      <c r="G5" s="171"/>
      <c r="H5" s="2"/>
      <c r="I5" s="2"/>
      <c r="J5" s="2"/>
      <c r="K5" s="2"/>
    </row>
    <row r="6" spans="1:11" ht="15.75">
      <c r="A6" s="2"/>
      <c r="B6" s="73"/>
      <c r="C6" s="73"/>
      <c r="D6" s="73"/>
      <c r="E6" s="73"/>
      <c r="F6" s="73"/>
      <c r="G6" s="37">
        <v>42704</v>
      </c>
      <c r="H6" s="2"/>
      <c r="I6" s="2"/>
      <c r="J6" s="2"/>
      <c r="K6" s="2"/>
    </row>
    <row r="7" spans="1:11" ht="15.75">
      <c r="B7" s="72"/>
      <c r="C7" s="72"/>
      <c r="D7" s="72"/>
      <c r="E7" s="3"/>
      <c r="F7" s="3"/>
      <c r="H7" s="3"/>
      <c r="I7" s="3"/>
      <c r="J7" s="3"/>
      <c r="K7" s="3"/>
    </row>
    <row r="8" spans="1:11" ht="78.75" customHeight="1">
      <c r="A8" s="172" t="s">
        <v>166</v>
      </c>
      <c r="B8" s="172"/>
      <c r="C8" s="172"/>
      <c r="D8" s="172"/>
      <c r="E8" s="172"/>
      <c r="F8" s="172"/>
      <c r="G8" s="17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173" t="s">
        <v>167</v>
      </c>
      <c r="B10" s="173"/>
      <c r="C10" s="173"/>
      <c r="D10" s="173"/>
      <c r="E10" s="173"/>
      <c r="F10" s="173"/>
      <c r="G10" s="173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68" t="s">
        <v>63</v>
      </c>
      <c r="B14" s="168"/>
      <c r="C14" s="168"/>
      <c r="D14" s="168"/>
      <c r="E14" s="168"/>
      <c r="F14" s="168"/>
      <c r="G14" s="168"/>
      <c r="H14" s="8"/>
      <c r="I14" s="8"/>
      <c r="J14" s="8"/>
      <c r="K14" s="8"/>
    </row>
    <row r="15" spans="1:11" ht="15" customHeight="1">
      <c r="A15" s="166" t="s">
        <v>4</v>
      </c>
      <c r="B15" s="166"/>
      <c r="C15" s="166"/>
      <c r="D15" s="166"/>
      <c r="E15" s="166"/>
      <c r="F15" s="166"/>
      <c r="G15" s="166"/>
      <c r="H15" s="8"/>
      <c r="I15" s="8"/>
      <c r="J15" s="8"/>
      <c r="K15" s="8"/>
    </row>
    <row r="16" spans="1:11" ht="31.5" customHeight="1">
      <c r="A16" s="36">
        <v>1</v>
      </c>
      <c r="B16" s="41" t="s">
        <v>120</v>
      </c>
      <c r="C16" s="55" t="s">
        <v>99</v>
      </c>
      <c r="D16" s="41" t="s">
        <v>121</v>
      </c>
      <c r="E16" s="91"/>
      <c r="F16" s="40">
        <v>175.38</v>
      </c>
      <c r="G16" s="93">
        <v>2761.92</v>
      </c>
      <c r="H16" s="8"/>
      <c r="I16" s="8"/>
      <c r="J16" s="8"/>
      <c r="K16" s="8"/>
    </row>
    <row r="17" spans="1:11" ht="31.5" customHeight="1">
      <c r="A17" s="36">
        <v>2</v>
      </c>
      <c r="B17" s="41" t="s">
        <v>122</v>
      </c>
      <c r="C17" s="55" t="s">
        <v>99</v>
      </c>
      <c r="D17" s="41" t="s">
        <v>123</v>
      </c>
      <c r="E17" s="91"/>
      <c r="F17" s="40">
        <v>175.38</v>
      </c>
      <c r="G17" s="93">
        <v>7365.12</v>
      </c>
      <c r="H17" s="8"/>
      <c r="I17" s="8"/>
      <c r="J17" s="8"/>
      <c r="K17" s="8"/>
    </row>
    <row r="18" spans="1:11" ht="31.5" customHeight="1">
      <c r="A18" s="36">
        <v>3</v>
      </c>
      <c r="B18" s="41" t="s">
        <v>124</v>
      </c>
      <c r="C18" s="55" t="s">
        <v>99</v>
      </c>
      <c r="D18" s="41" t="s">
        <v>140</v>
      </c>
      <c r="E18" s="91"/>
      <c r="F18" s="40">
        <v>504.5</v>
      </c>
      <c r="G18" s="93">
        <v>6111.51</v>
      </c>
      <c r="H18" s="8"/>
      <c r="I18" s="8"/>
      <c r="J18" s="8"/>
      <c r="K18" s="8"/>
    </row>
    <row r="19" spans="1:11" ht="15" hidden="1" customHeight="1">
      <c r="A19" s="36"/>
      <c r="B19" s="41" t="s">
        <v>125</v>
      </c>
      <c r="C19" s="55" t="s">
        <v>126</v>
      </c>
      <c r="D19" s="41" t="s">
        <v>127</v>
      </c>
      <c r="E19" s="91"/>
      <c r="F19" s="40">
        <v>170.16</v>
      </c>
      <c r="G19" s="93">
        <v>0</v>
      </c>
      <c r="H19" s="8"/>
      <c r="I19" s="8"/>
      <c r="J19" s="8"/>
      <c r="K19" s="8"/>
    </row>
    <row r="20" spans="1:11" ht="15" customHeight="1">
      <c r="A20" s="36">
        <v>4</v>
      </c>
      <c r="B20" s="41" t="s">
        <v>128</v>
      </c>
      <c r="C20" s="55" t="s">
        <v>99</v>
      </c>
      <c r="D20" s="41" t="s">
        <v>31</v>
      </c>
      <c r="E20" s="91"/>
      <c r="F20" s="40">
        <v>217.88</v>
      </c>
      <c r="G20" s="93">
        <v>127.24</v>
      </c>
      <c r="H20" s="8"/>
      <c r="I20" s="8"/>
      <c r="J20" s="8"/>
      <c r="K20" s="8"/>
    </row>
    <row r="21" spans="1:11" ht="15" customHeight="1">
      <c r="A21" s="36">
        <v>5</v>
      </c>
      <c r="B21" s="41" t="s">
        <v>129</v>
      </c>
      <c r="C21" s="55" t="s">
        <v>99</v>
      </c>
      <c r="D21" s="41" t="s">
        <v>130</v>
      </c>
      <c r="E21" s="91"/>
      <c r="F21" s="40">
        <v>216.12</v>
      </c>
      <c r="G21" s="93">
        <v>19.62</v>
      </c>
      <c r="H21" s="8"/>
      <c r="I21" s="8"/>
      <c r="J21" s="8"/>
      <c r="K21" s="8"/>
    </row>
    <row r="22" spans="1:11" ht="15" hidden="1" customHeight="1">
      <c r="A22" s="36"/>
      <c r="B22" s="41" t="s">
        <v>131</v>
      </c>
      <c r="C22" s="55" t="s">
        <v>56</v>
      </c>
      <c r="D22" s="41" t="s">
        <v>127</v>
      </c>
      <c r="E22" s="91"/>
      <c r="F22" s="40">
        <v>269.26</v>
      </c>
      <c r="G22" s="93">
        <v>0</v>
      </c>
      <c r="H22" s="8"/>
      <c r="I22" s="8"/>
      <c r="J22" s="8"/>
      <c r="K22" s="8"/>
    </row>
    <row r="23" spans="1:11" ht="15" hidden="1" customHeight="1">
      <c r="A23" s="36"/>
      <c r="B23" s="41" t="s">
        <v>132</v>
      </c>
      <c r="C23" s="55" t="s">
        <v>56</v>
      </c>
      <c r="D23" s="41" t="s">
        <v>127</v>
      </c>
      <c r="E23" s="91"/>
      <c r="F23" s="40">
        <v>44.29</v>
      </c>
      <c r="G23" s="93">
        <v>0</v>
      </c>
      <c r="H23" s="8"/>
      <c r="I23" s="8"/>
      <c r="J23" s="8"/>
      <c r="K23" s="8"/>
    </row>
    <row r="24" spans="1:11" ht="15" customHeight="1">
      <c r="A24" s="36">
        <v>6</v>
      </c>
      <c r="B24" s="41" t="s">
        <v>133</v>
      </c>
      <c r="C24" s="55" t="s">
        <v>56</v>
      </c>
      <c r="D24" s="41" t="s">
        <v>134</v>
      </c>
      <c r="E24" s="91"/>
      <c r="F24" s="40">
        <v>389.42</v>
      </c>
      <c r="G24" s="93">
        <v>124.61</v>
      </c>
      <c r="H24" s="8"/>
      <c r="I24" s="8"/>
      <c r="J24" s="8"/>
      <c r="K24" s="8"/>
    </row>
    <row r="25" spans="1:11" ht="15" customHeight="1">
      <c r="A25" s="36">
        <v>7</v>
      </c>
      <c r="B25" s="41" t="s">
        <v>135</v>
      </c>
      <c r="C25" s="55" t="s">
        <v>56</v>
      </c>
      <c r="D25" s="41" t="s">
        <v>127</v>
      </c>
      <c r="E25" s="91"/>
      <c r="F25" s="40">
        <v>520.79999999999995</v>
      </c>
      <c r="G25" s="93">
        <v>88.54</v>
      </c>
      <c r="H25" s="8"/>
      <c r="I25" s="8"/>
      <c r="J25" s="8"/>
      <c r="K25" s="8"/>
    </row>
    <row r="26" spans="1:11">
      <c r="A26" s="56">
        <v>8</v>
      </c>
      <c r="B26" s="50" t="s">
        <v>69</v>
      </c>
      <c r="C26" s="51" t="s">
        <v>34</v>
      </c>
      <c r="D26" s="50" t="s">
        <v>25</v>
      </c>
      <c r="E26" s="22">
        <v>506.1</v>
      </c>
      <c r="F26" s="40">
        <v>147.03</v>
      </c>
      <c r="G26" s="23">
        <v>447.22</v>
      </c>
      <c r="H26" s="28"/>
      <c r="I26" s="8"/>
      <c r="J26" s="8"/>
      <c r="K26" s="8"/>
    </row>
    <row r="27" spans="1:11" ht="15.75" customHeight="1">
      <c r="A27" s="56">
        <v>9</v>
      </c>
      <c r="B27" s="13" t="s">
        <v>23</v>
      </c>
      <c r="C27" s="14" t="s">
        <v>24</v>
      </c>
      <c r="D27" s="36"/>
      <c r="E27" s="22">
        <v>506.1</v>
      </c>
      <c r="F27" s="40">
        <v>4.53</v>
      </c>
      <c r="G27" s="23">
        <v>19904.82</v>
      </c>
      <c r="H27" s="29"/>
      <c r="I27" s="8"/>
      <c r="J27" s="8"/>
      <c r="K27" s="8"/>
    </row>
    <row r="28" spans="1:11" ht="15.75" customHeight="1">
      <c r="A28" s="166" t="s">
        <v>95</v>
      </c>
      <c r="B28" s="166"/>
      <c r="C28" s="166"/>
      <c r="D28" s="166"/>
      <c r="E28" s="166"/>
      <c r="F28" s="166"/>
      <c r="G28" s="166"/>
      <c r="H28" s="29"/>
      <c r="I28" s="8"/>
      <c r="J28" s="8"/>
      <c r="K28" s="8"/>
    </row>
    <row r="29" spans="1:11" ht="15.75" hidden="1" customHeight="1">
      <c r="A29" s="56"/>
      <c r="B29" s="66" t="s">
        <v>29</v>
      </c>
      <c r="C29" s="66"/>
      <c r="D29" s="66"/>
      <c r="E29" s="66"/>
      <c r="F29" s="66"/>
      <c r="G29" s="23"/>
      <c r="H29" s="29"/>
      <c r="I29" s="8"/>
      <c r="J29" s="8"/>
      <c r="K29" s="8"/>
    </row>
    <row r="30" spans="1:11" ht="31.5" hidden="1" customHeight="1">
      <c r="A30" s="56">
        <v>2</v>
      </c>
      <c r="B30" s="41" t="s">
        <v>108</v>
      </c>
      <c r="C30" s="55" t="s">
        <v>101</v>
      </c>
      <c r="D30" s="41" t="s">
        <v>141</v>
      </c>
      <c r="E30" s="17">
        <v>2.31</v>
      </c>
      <c r="F30" s="40">
        <v>155.88999999999999</v>
      </c>
      <c r="G30" s="16">
        <v>0</v>
      </c>
      <c r="H30" s="29"/>
      <c r="I30" s="8"/>
      <c r="J30" s="8"/>
      <c r="K30" s="8"/>
    </row>
    <row r="31" spans="1:11" ht="31.5" hidden="1" customHeight="1">
      <c r="A31" s="56">
        <v>3</v>
      </c>
      <c r="B31" s="41" t="s">
        <v>107</v>
      </c>
      <c r="C31" s="55" t="s">
        <v>101</v>
      </c>
      <c r="D31" s="41" t="s">
        <v>136</v>
      </c>
      <c r="E31" s="16">
        <f>0.0024*3*4.5</f>
        <v>3.2399999999999998E-2</v>
      </c>
      <c r="F31" s="40">
        <v>258.63</v>
      </c>
      <c r="G31" s="23">
        <v>0</v>
      </c>
      <c r="H31" s="29"/>
      <c r="I31" s="8"/>
      <c r="J31" s="8"/>
      <c r="K31" s="8"/>
    </row>
    <row r="32" spans="1:11" ht="15.75" hidden="1" customHeight="1">
      <c r="A32" s="56">
        <v>4</v>
      </c>
      <c r="B32" s="41" t="s">
        <v>28</v>
      </c>
      <c r="C32" s="55" t="s">
        <v>101</v>
      </c>
      <c r="D32" s="41" t="s">
        <v>57</v>
      </c>
      <c r="E32" s="21">
        <v>0</v>
      </c>
      <c r="F32" s="40">
        <v>3020.33</v>
      </c>
      <c r="G32" s="23">
        <v>0</v>
      </c>
      <c r="H32" s="29"/>
      <c r="I32" s="8"/>
      <c r="J32" s="8"/>
      <c r="K32" s="8"/>
    </row>
    <row r="33" spans="1:11" ht="15" hidden="1" customHeight="1">
      <c r="A33" s="56">
        <v>5</v>
      </c>
      <c r="B33" s="41" t="s">
        <v>106</v>
      </c>
      <c r="C33" s="55" t="s">
        <v>32</v>
      </c>
      <c r="D33" s="41" t="s">
        <v>68</v>
      </c>
      <c r="E33" s="21">
        <v>0</v>
      </c>
      <c r="F33" s="40">
        <v>56.69</v>
      </c>
      <c r="G33" s="23">
        <v>0</v>
      </c>
      <c r="H33" s="29"/>
      <c r="I33" s="8"/>
      <c r="J33" s="8"/>
      <c r="K33" s="8"/>
    </row>
    <row r="34" spans="1:11" ht="15.75" hidden="1" customHeight="1">
      <c r="A34" s="56">
        <v>4</v>
      </c>
      <c r="B34" s="41" t="s">
        <v>70</v>
      </c>
      <c r="C34" s="55" t="s">
        <v>34</v>
      </c>
      <c r="D34" s="41" t="s">
        <v>72</v>
      </c>
      <c r="E34" s="16">
        <v>3.75</v>
      </c>
      <c r="F34" s="40">
        <v>191.32</v>
      </c>
      <c r="G34" s="16">
        <v>0</v>
      </c>
      <c r="H34" s="29"/>
      <c r="I34" s="8"/>
      <c r="J34" s="8"/>
      <c r="K34" s="8"/>
    </row>
    <row r="35" spans="1:11" ht="16.5" hidden="1" customHeight="1">
      <c r="A35" s="36">
        <v>8</v>
      </c>
      <c r="B35" s="41" t="s">
        <v>71</v>
      </c>
      <c r="C35" s="55" t="s">
        <v>33</v>
      </c>
      <c r="D35" s="41" t="s">
        <v>72</v>
      </c>
      <c r="E35" s="16"/>
      <c r="F35" s="40">
        <v>1136.33</v>
      </c>
      <c r="G35" s="16">
        <v>0</v>
      </c>
      <c r="H35" s="29"/>
      <c r="I35" s="8"/>
      <c r="J35" s="8"/>
      <c r="K35" s="8"/>
    </row>
    <row r="36" spans="1:11" ht="16.5" customHeight="1">
      <c r="A36" s="56"/>
      <c r="B36" s="64" t="s">
        <v>5</v>
      </c>
      <c r="C36" s="64"/>
      <c r="D36" s="64"/>
      <c r="E36" s="16"/>
      <c r="F36" s="17"/>
      <c r="G36" s="23"/>
      <c r="H36" s="29"/>
      <c r="I36" s="8"/>
      <c r="J36" s="8"/>
      <c r="K36" s="8"/>
    </row>
    <row r="37" spans="1:11" ht="16.5" customHeight="1">
      <c r="A37" s="56">
        <v>10</v>
      </c>
      <c r="B37" s="43" t="s">
        <v>27</v>
      </c>
      <c r="C37" s="55" t="s">
        <v>33</v>
      </c>
      <c r="D37" s="41"/>
      <c r="E37" s="16"/>
      <c r="F37" s="40">
        <v>1527.22</v>
      </c>
      <c r="G37" s="23">
        <v>3818.05</v>
      </c>
      <c r="H37" s="29"/>
      <c r="I37" s="8"/>
      <c r="J37" s="8"/>
      <c r="K37" s="8"/>
    </row>
    <row r="38" spans="1:11" ht="16.5" customHeight="1">
      <c r="A38" s="42">
        <v>11</v>
      </c>
      <c r="B38" s="43" t="s">
        <v>73</v>
      </c>
      <c r="C38" s="79" t="s">
        <v>30</v>
      </c>
      <c r="D38" s="43" t="s">
        <v>142</v>
      </c>
      <c r="E38" s="16">
        <v>0</v>
      </c>
      <c r="F38" s="44">
        <v>2102.71</v>
      </c>
      <c r="G38" s="16">
        <v>14447.37</v>
      </c>
      <c r="H38" s="29"/>
      <c r="I38" s="8"/>
      <c r="J38" s="8"/>
      <c r="K38" s="8"/>
    </row>
    <row r="39" spans="1:11" ht="15.75" customHeight="1">
      <c r="A39" s="42">
        <v>12</v>
      </c>
      <c r="B39" s="41" t="s">
        <v>74</v>
      </c>
      <c r="C39" s="55" t="s">
        <v>30</v>
      </c>
      <c r="D39" s="41" t="s">
        <v>100</v>
      </c>
      <c r="E39" s="16">
        <v>0</v>
      </c>
      <c r="F39" s="40">
        <v>350.75</v>
      </c>
      <c r="G39" s="16">
        <v>1703.48</v>
      </c>
      <c r="H39" s="29"/>
      <c r="I39" s="8"/>
      <c r="J39" s="8"/>
      <c r="K39" s="8"/>
    </row>
    <row r="40" spans="1:11" ht="47.25" customHeight="1">
      <c r="A40" s="42">
        <v>13</v>
      </c>
      <c r="B40" s="41" t="s">
        <v>93</v>
      </c>
      <c r="C40" s="55" t="s">
        <v>101</v>
      </c>
      <c r="D40" s="41" t="s">
        <v>143</v>
      </c>
      <c r="E40" s="16">
        <v>0</v>
      </c>
      <c r="F40" s="40">
        <v>5803.28</v>
      </c>
      <c r="G40" s="16">
        <v>2182.0300000000002</v>
      </c>
      <c r="H40" s="29"/>
      <c r="I40" s="8"/>
      <c r="J40" s="8"/>
      <c r="K40" s="8"/>
    </row>
    <row r="41" spans="1:11" ht="15.75" customHeight="1">
      <c r="A41" s="42">
        <v>14</v>
      </c>
      <c r="B41" s="41" t="s">
        <v>102</v>
      </c>
      <c r="C41" s="55" t="s">
        <v>101</v>
      </c>
      <c r="D41" s="41" t="s">
        <v>75</v>
      </c>
      <c r="E41" s="16">
        <v>0</v>
      </c>
      <c r="F41" s="40">
        <v>428.7</v>
      </c>
      <c r="G41" s="16">
        <v>604.47</v>
      </c>
      <c r="H41" s="29"/>
      <c r="I41" s="8"/>
      <c r="J41" s="8"/>
      <c r="K41" s="8"/>
    </row>
    <row r="42" spans="1:11" ht="15.75" customHeight="1">
      <c r="A42" s="42">
        <v>15</v>
      </c>
      <c r="B42" s="43" t="s">
        <v>76</v>
      </c>
      <c r="C42" s="79" t="s">
        <v>34</v>
      </c>
      <c r="D42" s="43"/>
      <c r="E42" s="16">
        <v>0</v>
      </c>
      <c r="F42" s="44">
        <v>798</v>
      </c>
      <c r="G42" s="16">
        <v>119.7</v>
      </c>
      <c r="H42" s="29"/>
      <c r="I42" s="8"/>
      <c r="J42" s="8"/>
      <c r="K42" s="8"/>
    </row>
    <row r="43" spans="1:11" ht="15" hidden="1" customHeight="1">
      <c r="A43" s="174" t="s">
        <v>66</v>
      </c>
      <c r="B43" s="175"/>
      <c r="C43" s="175"/>
      <c r="D43" s="175"/>
      <c r="E43" s="175"/>
      <c r="F43" s="175"/>
      <c r="G43" s="176"/>
      <c r="H43" s="29"/>
      <c r="I43" s="8"/>
      <c r="J43" s="8"/>
      <c r="K43" s="8"/>
    </row>
    <row r="44" spans="1:11" ht="15" hidden="1" customHeight="1">
      <c r="A44" s="56">
        <v>15</v>
      </c>
      <c r="B44" s="41" t="s">
        <v>109</v>
      </c>
      <c r="C44" s="55" t="s">
        <v>101</v>
      </c>
      <c r="D44" s="41" t="s">
        <v>44</v>
      </c>
      <c r="E44" s="23">
        <v>0.42</v>
      </c>
      <c r="F44" s="47">
        <v>910.17</v>
      </c>
      <c r="G44" s="24">
        <v>0</v>
      </c>
      <c r="H44" s="29"/>
      <c r="I44" s="8"/>
    </row>
    <row r="45" spans="1:11" ht="15.75" hidden="1" customHeight="1">
      <c r="A45" s="56">
        <v>16</v>
      </c>
      <c r="B45" s="41" t="s">
        <v>37</v>
      </c>
      <c r="C45" s="55" t="s">
        <v>101</v>
      </c>
      <c r="D45" s="41" t="s">
        <v>44</v>
      </c>
      <c r="E45" s="23">
        <v>1.35</v>
      </c>
      <c r="F45" s="47">
        <v>579.48</v>
      </c>
      <c r="G45" s="24">
        <v>0</v>
      </c>
      <c r="H45" s="30"/>
    </row>
    <row r="46" spans="1:11" ht="15.75" hidden="1" customHeight="1">
      <c r="A46" s="56">
        <v>17</v>
      </c>
      <c r="B46" s="41" t="s">
        <v>38</v>
      </c>
      <c r="C46" s="55" t="s">
        <v>101</v>
      </c>
      <c r="D46" s="41" t="s">
        <v>44</v>
      </c>
      <c r="E46" s="23">
        <v>0.03</v>
      </c>
      <c r="F46" s="47">
        <v>579.48</v>
      </c>
      <c r="G46" s="24">
        <v>0</v>
      </c>
      <c r="H46" s="30"/>
    </row>
    <row r="47" spans="1:11" ht="15.75" hidden="1" customHeight="1">
      <c r="A47" s="56">
        <v>18</v>
      </c>
      <c r="B47" s="41" t="s">
        <v>39</v>
      </c>
      <c r="C47" s="55" t="s">
        <v>101</v>
      </c>
      <c r="D47" s="41" t="s">
        <v>44</v>
      </c>
      <c r="E47" s="23">
        <v>0.33</v>
      </c>
      <c r="F47" s="47">
        <v>606.77</v>
      </c>
      <c r="G47" s="24">
        <v>0</v>
      </c>
      <c r="H47" s="30"/>
    </row>
    <row r="48" spans="1:11" ht="15.75" hidden="1" customHeight="1">
      <c r="A48" s="56">
        <v>19</v>
      </c>
      <c r="B48" s="41" t="s">
        <v>35</v>
      </c>
      <c r="C48" s="55" t="s">
        <v>36</v>
      </c>
      <c r="D48" s="41" t="s">
        <v>44</v>
      </c>
      <c r="E48" s="23">
        <v>0.22</v>
      </c>
      <c r="F48" s="47">
        <v>72.81</v>
      </c>
      <c r="G48" s="16">
        <v>0</v>
      </c>
      <c r="H48" s="30"/>
    </row>
    <row r="49" spans="1:12" ht="31.5" hidden="1" customHeight="1">
      <c r="A49" s="56">
        <v>12</v>
      </c>
      <c r="B49" s="41" t="s">
        <v>60</v>
      </c>
      <c r="C49" s="55" t="s">
        <v>101</v>
      </c>
      <c r="D49" s="41" t="s">
        <v>110</v>
      </c>
      <c r="E49" s="23">
        <v>0.22</v>
      </c>
      <c r="F49" s="47">
        <v>1213.55</v>
      </c>
      <c r="G49" s="24">
        <v>0</v>
      </c>
      <c r="H49" s="30"/>
    </row>
    <row r="50" spans="1:12" ht="31.5" hidden="1" customHeight="1">
      <c r="A50" s="56">
        <v>14</v>
      </c>
      <c r="B50" s="41" t="s">
        <v>103</v>
      </c>
      <c r="C50" s="55" t="s">
        <v>101</v>
      </c>
      <c r="D50" s="41" t="s">
        <v>44</v>
      </c>
      <c r="E50" s="23">
        <v>0.02</v>
      </c>
      <c r="F50" s="47">
        <v>1213.55</v>
      </c>
      <c r="G50" s="24">
        <v>0</v>
      </c>
      <c r="H50" s="30"/>
    </row>
    <row r="51" spans="1:12" ht="31.5" hidden="1" customHeight="1">
      <c r="A51" s="56">
        <v>15</v>
      </c>
      <c r="B51" s="41" t="s">
        <v>104</v>
      </c>
      <c r="C51" s="55" t="s">
        <v>40</v>
      </c>
      <c r="D51" s="41" t="s">
        <v>44</v>
      </c>
      <c r="E51" s="23">
        <v>0.01</v>
      </c>
      <c r="F51" s="47">
        <v>2730.49</v>
      </c>
      <c r="G51" s="24">
        <v>0</v>
      </c>
      <c r="H51" s="30"/>
    </row>
    <row r="52" spans="1:12" ht="15.75" hidden="1" customHeight="1">
      <c r="A52" s="56">
        <v>23</v>
      </c>
      <c r="B52" s="41" t="s">
        <v>41</v>
      </c>
      <c r="C52" s="55" t="s">
        <v>42</v>
      </c>
      <c r="D52" s="41" t="s">
        <v>44</v>
      </c>
      <c r="E52" s="23">
        <v>8</v>
      </c>
      <c r="F52" s="47">
        <v>5652.13</v>
      </c>
      <c r="G52" s="16">
        <v>0</v>
      </c>
      <c r="H52" s="30"/>
      <c r="J52" s="25"/>
      <c r="K52" s="26"/>
      <c r="L52" s="27"/>
    </row>
    <row r="53" spans="1:12" ht="14.25" hidden="1" customHeight="1">
      <c r="A53" s="56">
        <v>24</v>
      </c>
      <c r="B53" s="41" t="s">
        <v>43</v>
      </c>
      <c r="C53" s="55" t="s">
        <v>111</v>
      </c>
      <c r="D53" s="41" t="s">
        <v>77</v>
      </c>
      <c r="E53" s="23">
        <v>16</v>
      </c>
      <c r="F53" s="48">
        <v>65.67</v>
      </c>
      <c r="G53" s="16">
        <v>0</v>
      </c>
      <c r="H53" s="30"/>
      <c r="J53" s="25"/>
      <c r="K53" s="26"/>
      <c r="L53" s="27"/>
    </row>
    <row r="54" spans="1:12" ht="15.75" customHeight="1">
      <c r="A54" s="177" t="s">
        <v>172</v>
      </c>
      <c r="B54" s="178"/>
      <c r="C54" s="178"/>
      <c r="D54" s="178"/>
      <c r="E54" s="178"/>
      <c r="F54" s="178"/>
      <c r="G54" s="179"/>
      <c r="H54" s="30"/>
      <c r="J54" s="25"/>
      <c r="K54" s="26"/>
      <c r="L54" s="27"/>
    </row>
    <row r="55" spans="1:12" ht="17.25" customHeight="1">
      <c r="A55" s="68"/>
      <c r="B55" s="63" t="s">
        <v>45</v>
      </c>
      <c r="C55" s="20"/>
      <c r="D55" s="19"/>
      <c r="E55" s="19"/>
      <c r="F55" s="36"/>
      <c r="G55" s="23"/>
      <c r="H55" s="30"/>
      <c r="J55" s="25"/>
      <c r="K55" s="26"/>
      <c r="L55" s="27"/>
    </row>
    <row r="56" spans="1:12" ht="31.5" customHeight="1">
      <c r="A56" s="56">
        <v>16</v>
      </c>
      <c r="B56" s="41" t="s">
        <v>118</v>
      </c>
      <c r="C56" s="55" t="s">
        <v>99</v>
      </c>
      <c r="D56" s="41" t="s">
        <v>137</v>
      </c>
      <c r="E56" s="23">
        <v>0</v>
      </c>
      <c r="F56" s="47">
        <v>1547.28</v>
      </c>
      <c r="G56" s="24">
        <v>2737.6</v>
      </c>
      <c r="H56" s="30"/>
      <c r="J56" s="25"/>
      <c r="K56" s="26"/>
      <c r="L56" s="27"/>
    </row>
    <row r="57" spans="1:12" ht="15.75" customHeight="1">
      <c r="A57" s="56"/>
      <c r="B57" s="91" t="s">
        <v>46</v>
      </c>
      <c r="C57" s="91"/>
      <c r="D57" s="91"/>
      <c r="E57" s="91"/>
      <c r="F57" s="91"/>
      <c r="G57" s="46"/>
      <c r="H57" s="30"/>
      <c r="J57" s="25"/>
      <c r="K57" s="26"/>
      <c r="L57" s="27"/>
    </row>
    <row r="58" spans="1:12" ht="15.75" hidden="1" customHeight="1">
      <c r="A58" s="56">
        <v>27</v>
      </c>
      <c r="B58" s="83" t="s">
        <v>47</v>
      </c>
      <c r="C58" s="55" t="s">
        <v>99</v>
      </c>
      <c r="D58" s="41" t="s">
        <v>57</v>
      </c>
      <c r="E58" s="84">
        <v>0</v>
      </c>
      <c r="F58" s="47">
        <v>793.61</v>
      </c>
      <c r="G58" s="24">
        <f>E58/2</f>
        <v>0</v>
      </c>
      <c r="H58" s="30"/>
      <c r="J58" s="25"/>
      <c r="K58" s="26"/>
      <c r="L58" s="27"/>
    </row>
    <row r="59" spans="1:12" ht="15.75" customHeight="1">
      <c r="A59" s="56">
        <v>17</v>
      </c>
      <c r="B59" s="41" t="s">
        <v>151</v>
      </c>
      <c r="C59" s="55" t="s">
        <v>26</v>
      </c>
      <c r="D59" s="41" t="s">
        <v>152</v>
      </c>
      <c r="E59" s="84"/>
      <c r="F59" s="97">
        <v>2.59</v>
      </c>
      <c r="G59" s="24">
        <v>841.75</v>
      </c>
      <c r="H59" s="30"/>
      <c r="J59" s="25"/>
      <c r="K59" s="26"/>
      <c r="L59" s="27"/>
    </row>
    <row r="60" spans="1:12" ht="15.75" hidden="1" customHeight="1">
      <c r="A60" s="56"/>
      <c r="B60" s="91" t="s">
        <v>48</v>
      </c>
      <c r="C60" s="20"/>
      <c r="D60" s="19"/>
      <c r="E60" s="19"/>
      <c r="F60" s="36"/>
      <c r="G60" s="23"/>
      <c r="H60" s="30"/>
      <c r="J60" s="25"/>
      <c r="K60" s="26"/>
      <c r="L60" s="27"/>
    </row>
    <row r="61" spans="1:12" ht="15" hidden="1" customHeight="1">
      <c r="A61" s="56">
        <v>17</v>
      </c>
      <c r="B61" s="81" t="s">
        <v>49</v>
      </c>
      <c r="C61" s="51" t="s">
        <v>111</v>
      </c>
      <c r="D61" s="50" t="s">
        <v>144</v>
      </c>
      <c r="E61" s="23">
        <v>0</v>
      </c>
      <c r="F61" s="47">
        <v>222.4</v>
      </c>
      <c r="G61" s="24">
        <v>0</v>
      </c>
      <c r="H61" s="30"/>
      <c r="J61" s="25"/>
      <c r="K61" s="26"/>
      <c r="L61" s="27"/>
    </row>
    <row r="62" spans="1:12" ht="15.75" hidden="1" customHeight="1">
      <c r="A62" s="36">
        <v>29</v>
      </c>
      <c r="B62" s="81" t="s">
        <v>50</v>
      </c>
      <c r="C62" s="51" t="s">
        <v>111</v>
      </c>
      <c r="D62" s="50" t="s">
        <v>144</v>
      </c>
      <c r="E62" s="23">
        <v>0</v>
      </c>
      <c r="F62" s="47">
        <v>76.25</v>
      </c>
      <c r="G62" s="24">
        <v>0</v>
      </c>
      <c r="H62" s="30"/>
      <c r="J62" s="25"/>
      <c r="K62" s="26"/>
      <c r="L62" s="27"/>
    </row>
    <row r="63" spans="1:12" ht="15.75" hidden="1" customHeight="1">
      <c r="A63" s="36">
        <v>8</v>
      </c>
      <c r="B63" s="81" t="s">
        <v>51</v>
      </c>
      <c r="C63" s="53" t="s">
        <v>112</v>
      </c>
      <c r="D63" s="50" t="s">
        <v>57</v>
      </c>
      <c r="E63" s="23">
        <v>13.47</v>
      </c>
      <c r="F63" s="47">
        <v>212.15</v>
      </c>
      <c r="G63" s="23">
        <v>0</v>
      </c>
      <c r="H63" s="30"/>
      <c r="J63" s="25"/>
      <c r="K63" s="26"/>
      <c r="L63" s="27"/>
    </row>
    <row r="64" spans="1:12" ht="15.75" hidden="1" customHeight="1">
      <c r="A64" s="36">
        <v>9</v>
      </c>
      <c r="B64" s="81" t="s">
        <v>52</v>
      </c>
      <c r="C64" s="51" t="s">
        <v>113</v>
      </c>
      <c r="D64" s="50"/>
      <c r="E64" s="23">
        <v>1.35</v>
      </c>
      <c r="F64" s="47">
        <v>165.21</v>
      </c>
      <c r="G64" s="23">
        <v>0</v>
      </c>
      <c r="H64" s="30"/>
      <c r="J64" s="25"/>
      <c r="K64" s="26"/>
      <c r="L64" s="27"/>
    </row>
    <row r="65" spans="1:20" ht="15.75" hidden="1" customHeight="1">
      <c r="A65" s="36">
        <v>10</v>
      </c>
      <c r="B65" s="81" t="s">
        <v>53</v>
      </c>
      <c r="C65" s="51" t="s">
        <v>84</v>
      </c>
      <c r="D65" s="50" t="s">
        <v>57</v>
      </c>
      <c r="E65" s="23">
        <v>0</v>
      </c>
      <c r="F65" s="47">
        <v>2074.63</v>
      </c>
      <c r="G65" s="23">
        <v>0</v>
      </c>
      <c r="H65" s="30"/>
      <c r="J65" s="25"/>
      <c r="K65" s="26"/>
      <c r="L65" s="27"/>
    </row>
    <row r="66" spans="1:20" ht="15.75" hidden="1" customHeight="1">
      <c r="A66" s="36">
        <v>11</v>
      </c>
      <c r="B66" s="69" t="s">
        <v>78</v>
      </c>
      <c r="C66" s="51" t="s">
        <v>34</v>
      </c>
      <c r="D66" s="50"/>
      <c r="E66" s="15">
        <v>0</v>
      </c>
      <c r="F66" s="47">
        <v>45.32</v>
      </c>
      <c r="G66" s="23">
        <v>0</v>
      </c>
      <c r="H66" s="30"/>
      <c r="J66" s="25"/>
      <c r="K66" s="26"/>
      <c r="L66" s="27"/>
    </row>
    <row r="67" spans="1:20" ht="15.75" hidden="1" customHeight="1">
      <c r="A67" s="36">
        <v>12</v>
      </c>
      <c r="B67" s="69" t="s">
        <v>79</v>
      </c>
      <c r="C67" s="51" t="s">
        <v>34</v>
      </c>
      <c r="D67" s="50"/>
      <c r="E67" s="15"/>
      <c r="F67" s="47">
        <v>42.28</v>
      </c>
      <c r="G67" s="23">
        <v>0</v>
      </c>
      <c r="H67" s="30"/>
      <c r="J67" s="25"/>
      <c r="K67" s="26"/>
      <c r="L67" s="27"/>
    </row>
    <row r="68" spans="1:20" ht="15.75" hidden="1" customHeight="1">
      <c r="A68" s="36">
        <v>13</v>
      </c>
      <c r="B68" s="69" t="s">
        <v>145</v>
      </c>
      <c r="C68" s="51"/>
      <c r="D68" s="50"/>
      <c r="E68" s="15"/>
      <c r="F68" s="47">
        <v>5600</v>
      </c>
      <c r="G68" s="23">
        <v>0</v>
      </c>
      <c r="H68" s="30"/>
      <c r="J68" s="25"/>
      <c r="K68" s="26"/>
      <c r="L68" s="27"/>
    </row>
    <row r="69" spans="1:20" ht="15.75" hidden="1" customHeight="1">
      <c r="A69" s="36"/>
      <c r="B69" s="50" t="s">
        <v>61</v>
      </c>
      <c r="C69" s="51" t="s">
        <v>62</v>
      </c>
      <c r="D69" s="50" t="s">
        <v>57</v>
      </c>
      <c r="E69" s="15"/>
      <c r="F69" s="47">
        <v>49.88</v>
      </c>
      <c r="G69" s="23">
        <v>0</v>
      </c>
      <c r="H69" s="30"/>
      <c r="J69" s="25"/>
      <c r="K69" s="26"/>
      <c r="L69" s="27"/>
    </row>
    <row r="70" spans="1:20" ht="15.75" hidden="1" customHeight="1">
      <c r="A70" s="68"/>
      <c r="B70" s="91" t="s">
        <v>105</v>
      </c>
      <c r="C70" s="91"/>
      <c r="D70" s="91"/>
      <c r="E70" s="91"/>
      <c r="F70" s="91"/>
      <c r="G70" s="23"/>
      <c r="H70" s="30"/>
      <c r="J70" s="25"/>
      <c r="K70" s="26"/>
      <c r="L70" s="27"/>
    </row>
    <row r="71" spans="1:20" ht="16.5" hidden="1" customHeight="1">
      <c r="A71" s="36">
        <v>36</v>
      </c>
      <c r="B71" s="83" t="s">
        <v>114</v>
      </c>
      <c r="C71" s="85"/>
      <c r="D71" s="86" t="s">
        <v>57</v>
      </c>
      <c r="E71" s="84">
        <v>0</v>
      </c>
      <c r="F71" s="49">
        <v>17508</v>
      </c>
      <c r="G71" s="23">
        <v>0</v>
      </c>
      <c r="H71" s="30"/>
      <c r="J71" s="25"/>
      <c r="K71" s="26"/>
      <c r="L71" s="27"/>
    </row>
    <row r="72" spans="1:20" ht="15" hidden="1" customHeight="1">
      <c r="A72" s="36"/>
      <c r="B72" s="64" t="s">
        <v>80</v>
      </c>
      <c r="C72" s="64"/>
      <c r="D72" s="64"/>
      <c r="E72" s="23"/>
      <c r="F72" s="36"/>
      <c r="G72" s="23"/>
      <c r="H72" s="30"/>
      <c r="J72" s="25"/>
      <c r="K72" s="26"/>
      <c r="L72" s="27"/>
    </row>
    <row r="73" spans="1:20" ht="15" hidden="1" customHeight="1">
      <c r="A73" s="36"/>
      <c r="B73" s="50" t="s">
        <v>81</v>
      </c>
      <c r="C73" s="51" t="s">
        <v>82</v>
      </c>
      <c r="D73" s="50" t="s">
        <v>72</v>
      </c>
      <c r="E73" s="23"/>
      <c r="F73" s="47">
        <v>501.62</v>
      </c>
      <c r="G73" s="23">
        <v>0</v>
      </c>
      <c r="H73" s="30"/>
      <c r="J73" s="25"/>
      <c r="K73" s="26"/>
      <c r="L73" s="27"/>
    </row>
    <row r="74" spans="1:20" ht="15" hidden="1" customHeight="1">
      <c r="A74" s="36"/>
      <c r="B74" s="50" t="s">
        <v>139</v>
      </c>
      <c r="C74" s="51" t="s">
        <v>111</v>
      </c>
      <c r="D74" s="50" t="s">
        <v>72</v>
      </c>
      <c r="E74" s="23"/>
      <c r="F74" s="47">
        <v>358.51</v>
      </c>
      <c r="G74" s="23">
        <v>0</v>
      </c>
      <c r="H74" s="30"/>
      <c r="J74" s="25"/>
      <c r="K74" s="26"/>
      <c r="L74" s="27"/>
    </row>
    <row r="75" spans="1:20" ht="15" hidden="1" customHeight="1">
      <c r="A75" s="36"/>
      <c r="B75" s="50" t="s">
        <v>146</v>
      </c>
      <c r="C75" s="51" t="s">
        <v>32</v>
      </c>
      <c r="D75" s="50" t="s">
        <v>72</v>
      </c>
      <c r="E75" s="23"/>
      <c r="F75" s="47">
        <v>99.85</v>
      </c>
      <c r="G75" s="23">
        <v>0</v>
      </c>
      <c r="H75" s="30"/>
      <c r="J75" s="25"/>
      <c r="K75" s="26"/>
      <c r="L75" s="27"/>
    </row>
    <row r="76" spans="1:20" ht="15" hidden="1" customHeight="1">
      <c r="A76" s="36"/>
      <c r="B76" s="50" t="s">
        <v>147</v>
      </c>
      <c r="C76" s="51" t="s">
        <v>32</v>
      </c>
      <c r="D76" s="50" t="s">
        <v>72</v>
      </c>
      <c r="E76" s="23"/>
      <c r="F76" s="47">
        <v>120.26</v>
      </c>
      <c r="G76" s="23">
        <v>0</v>
      </c>
      <c r="H76" s="30"/>
      <c r="J76" s="25"/>
      <c r="K76" s="26"/>
      <c r="L76" s="27"/>
    </row>
    <row r="77" spans="1:20" ht="15" hidden="1" customHeight="1">
      <c r="A77" s="36">
        <v>17</v>
      </c>
      <c r="B77" s="50" t="s">
        <v>138</v>
      </c>
      <c r="C77" s="51" t="s">
        <v>111</v>
      </c>
      <c r="D77" s="50" t="s">
        <v>72</v>
      </c>
      <c r="E77" s="23"/>
      <c r="F77" s="47">
        <v>911.85</v>
      </c>
      <c r="G77" s="23">
        <v>0</v>
      </c>
      <c r="H77" s="30"/>
      <c r="J77" s="25"/>
    </row>
    <row r="78" spans="1:20" ht="15" hidden="1" customHeight="1">
      <c r="A78" s="36"/>
      <c r="B78" s="65" t="s">
        <v>83</v>
      </c>
      <c r="C78" s="51"/>
      <c r="D78" s="36"/>
      <c r="E78" s="23"/>
      <c r="F78" s="47"/>
      <c r="G78" s="23"/>
    </row>
    <row r="79" spans="1:20" ht="15" hidden="1" customHeight="1">
      <c r="A79" s="36">
        <v>39</v>
      </c>
      <c r="B79" s="52" t="s">
        <v>117</v>
      </c>
      <c r="C79" s="53" t="s">
        <v>84</v>
      </c>
      <c r="D79" s="81"/>
      <c r="E79" s="23"/>
      <c r="F79" s="48">
        <v>2759.44</v>
      </c>
      <c r="G79" s="23">
        <v>0</v>
      </c>
    </row>
    <row r="80" spans="1:20" ht="15.75" customHeight="1">
      <c r="A80" s="180" t="s">
        <v>173</v>
      </c>
      <c r="B80" s="181"/>
      <c r="C80" s="181"/>
      <c r="D80" s="181"/>
      <c r="E80" s="181"/>
      <c r="F80" s="181"/>
      <c r="G80" s="18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9"/>
    </row>
    <row r="81" spans="1:19" ht="15.75" customHeight="1">
      <c r="A81" s="36">
        <v>18</v>
      </c>
      <c r="B81" s="41" t="s">
        <v>115</v>
      </c>
      <c r="C81" s="51" t="s">
        <v>58</v>
      </c>
      <c r="D81" s="148" t="s">
        <v>59</v>
      </c>
      <c r="E81" s="19">
        <v>327.9</v>
      </c>
      <c r="F81" s="47">
        <v>2.1</v>
      </c>
      <c r="G81" s="16">
        <v>9229.2900000000009</v>
      </c>
      <c r="H81" s="32"/>
      <c r="I81" s="32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31.5" customHeight="1">
      <c r="A82" s="36">
        <v>19</v>
      </c>
      <c r="B82" s="50" t="s">
        <v>85</v>
      </c>
      <c r="C82" s="51"/>
      <c r="D82" s="148" t="s">
        <v>59</v>
      </c>
      <c r="E82" s="19"/>
      <c r="F82" s="47">
        <v>1.63</v>
      </c>
      <c r="G82" s="16">
        <v>7163.69</v>
      </c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 ht="15.75" customHeight="1">
      <c r="A83" s="68"/>
      <c r="B83" s="54" t="s">
        <v>89</v>
      </c>
      <c r="C83" s="56"/>
      <c r="D83" s="19"/>
      <c r="E83" s="19"/>
      <c r="F83" s="23"/>
      <c r="G83" s="39">
        <f>SUM(G16+G17+G18+G20+G21+G24+G25+G26+G27+G37+G38+G39+G40+G41+G42+G56+G59+G81+G82)</f>
        <v>79798.030000000013</v>
      </c>
      <c r="H83" s="5"/>
      <c r="I83" s="5"/>
      <c r="J83" s="5"/>
      <c r="K83" s="5"/>
      <c r="L83" s="5"/>
      <c r="M83" s="5"/>
      <c r="N83" s="5"/>
      <c r="O83" s="5"/>
      <c r="P83" s="160"/>
      <c r="Q83" s="160"/>
      <c r="R83" s="160"/>
      <c r="S83" s="160"/>
    </row>
    <row r="84" spans="1:19" ht="15.75" customHeight="1">
      <c r="A84" s="68"/>
      <c r="B84" s="80" t="s">
        <v>64</v>
      </c>
      <c r="C84" s="80"/>
      <c r="D84" s="80"/>
      <c r="E84" s="80"/>
      <c r="F84" s="80"/>
      <c r="G84" s="8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15.75" customHeight="1">
      <c r="A85" s="36">
        <v>20</v>
      </c>
      <c r="B85" s="94" t="s">
        <v>148</v>
      </c>
      <c r="C85" s="96" t="s">
        <v>149</v>
      </c>
      <c r="D85" s="80"/>
      <c r="E85" s="80"/>
      <c r="F85" s="22">
        <v>476.76</v>
      </c>
      <c r="G85" s="93">
        <v>953.52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15.75" customHeight="1">
      <c r="A86" s="36">
        <v>21</v>
      </c>
      <c r="B86" s="108" t="s">
        <v>158</v>
      </c>
      <c r="C86" s="109" t="s">
        <v>159</v>
      </c>
      <c r="D86" s="80"/>
      <c r="E86" s="80"/>
      <c r="F86" s="22">
        <v>1063.47</v>
      </c>
      <c r="G86" s="93">
        <v>1063.47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31.5" customHeight="1">
      <c r="A87" s="36">
        <v>22</v>
      </c>
      <c r="B87" s="94" t="s">
        <v>88</v>
      </c>
      <c r="C87" s="20" t="s">
        <v>32</v>
      </c>
      <c r="D87" s="80"/>
      <c r="E87" s="80"/>
      <c r="F87" s="16">
        <v>79.09</v>
      </c>
      <c r="G87" s="93">
        <v>79.09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15.75" customHeight="1">
      <c r="A88" s="36">
        <v>23</v>
      </c>
      <c r="B88" s="94" t="s">
        <v>150</v>
      </c>
      <c r="C88" s="95" t="s">
        <v>111</v>
      </c>
      <c r="D88" s="80"/>
      <c r="E88" s="80"/>
      <c r="F88" s="16">
        <v>50.68</v>
      </c>
      <c r="G88" s="93">
        <v>4003.72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15.75" customHeight="1">
      <c r="A89" s="107">
        <v>24</v>
      </c>
      <c r="B89" s="94" t="s">
        <v>91</v>
      </c>
      <c r="C89" s="95" t="s">
        <v>111</v>
      </c>
      <c r="D89" s="80"/>
      <c r="E89" s="80"/>
      <c r="F89" s="23">
        <v>180.15</v>
      </c>
      <c r="G89" s="93">
        <v>180.15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15" customHeight="1">
      <c r="A90" s="36"/>
      <c r="B90" s="61" t="s">
        <v>54</v>
      </c>
      <c r="C90" s="57"/>
      <c r="D90" s="70"/>
      <c r="E90" s="57">
        <v>1</v>
      </c>
      <c r="F90" s="57"/>
      <c r="G90" s="39">
        <f>SUM(G85:G89)</f>
        <v>6279.9499999999989</v>
      </c>
    </row>
    <row r="91" spans="1:19" ht="15.75" customHeight="1">
      <c r="A91" s="36"/>
      <c r="B91" s="67" t="s">
        <v>86</v>
      </c>
      <c r="C91" s="19"/>
      <c r="D91" s="19"/>
      <c r="E91" s="58"/>
      <c r="F91" s="59"/>
      <c r="G91" s="22">
        <v>0</v>
      </c>
    </row>
    <row r="92" spans="1:19">
      <c r="A92" s="71"/>
      <c r="B92" s="62" t="s">
        <v>55</v>
      </c>
      <c r="C92" s="45"/>
      <c r="D92" s="45"/>
      <c r="E92" s="45"/>
      <c r="F92" s="45"/>
      <c r="G92" s="60">
        <f>G83+G90</f>
        <v>86077.98000000001</v>
      </c>
    </row>
    <row r="93" spans="1:19" ht="15.75">
      <c r="A93" s="167" t="s">
        <v>160</v>
      </c>
      <c r="B93" s="167"/>
      <c r="C93" s="167"/>
      <c r="D93" s="167"/>
      <c r="E93" s="167"/>
      <c r="F93" s="167"/>
      <c r="G93" s="167"/>
    </row>
    <row r="94" spans="1:19" ht="15.75">
      <c r="A94" s="78"/>
      <c r="B94" s="162" t="s">
        <v>258</v>
      </c>
      <c r="C94" s="162"/>
      <c r="D94" s="162"/>
      <c r="E94" s="162"/>
      <c r="F94" s="162"/>
      <c r="G94" s="3"/>
    </row>
    <row r="95" spans="1:19" ht="15.75" customHeight="1">
      <c r="A95" s="75"/>
      <c r="B95" s="158" t="s">
        <v>6</v>
      </c>
      <c r="C95" s="158"/>
      <c r="D95" s="158"/>
      <c r="E95" s="158"/>
      <c r="F95" s="158"/>
      <c r="G95" s="5"/>
    </row>
    <row r="96" spans="1:19">
      <c r="A96" s="10"/>
      <c r="B96" s="10"/>
      <c r="C96" s="10"/>
      <c r="D96" s="10"/>
      <c r="E96" s="10"/>
      <c r="F96" s="10"/>
      <c r="G96" s="10"/>
    </row>
    <row r="97" spans="1:7" ht="15.75">
      <c r="A97" s="163" t="s">
        <v>7</v>
      </c>
      <c r="B97" s="163"/>
      <c r="C97" s="163"/>
      <c r="D97" s="163"/>
      <c r="E97" s="163"/>
      <c r="F97" s="163"/>
      <c r="G97" s="163"/>
    </row>
    <row r="98" spans="1:7" ht="15.75" customHeight="1">
      <c r="A98" s="163" t="s">
        <v>8</v>
      </c>
      <c r="B98" s="163"/>
      <c r="C98" s="163"/>
      <c r="D98" s="163"/>
      <c r="E98" s="163"/>
      <c r="F98" s="163"/>
      <c r="G98" s="163"/>
    </row>
    <row r="99" spans="1:7" ht="15.75">
      <c r="A99" s="164" t="s">
        <v>65</v>
      </c>
      <c r="B99" s="164"/>
      <c r="C99" s="164"/>
      <c r="D99" s="164"/>
      <c r="E99" s="164"/>
      <c r="F99" s="164"/>
      <c r="G99" s="164"/>
    </row>
    <row r="100" spans="1:7" ht="15.75">
      <c r="A100" s="11"/>
    </row>
    <row r="101" spans="1:7" ht="16.5" customHeight="1">
      <c r="A101" s="165" t="s">
        <v>9</v>
      </c>
      <c r="B101" s="165"/>
      <c r="C101" s="165"/>
      <c r="D101" s="165"/>
      <c r="E101" s="165"/>
      <c r="F101" s="165"/>
      <c r="G101" s="165"/>
    </row>
    <row r="102" spans="1:7" ht="16.5" customHeight="1">
      <c r="A102" s="4"/>
    </row>
    <row r="103" spans="1:7" ht="15.75" customHeight="1">
      <c r="B103" s="74" t="s">
        <v>10</v>
      </c>
      <c r="C103" s="157" t="s">
        <v>170</v>
      </c>
      <c r="D103" s="157"/>
      <c r="E103" s="157"/>
      <c r="G103" s="76"/>
    </row>
    <row r="104" spans="1:7" ht="15.75" customHeight="1">
      <c r="A104" s="75"/>
      <c r="C104" s="158" t="s">
        <v>11</v>
      </c>
      <c r="D104" s="158"/>
      <c r="E104" s="158"/>
      <c r="G104" s="77" t="s">
        <v>12</v>
      </c>
    </row>
    <row r="105" spans="1:7" ht="15.75">
      <c r="A105" s="32"/>
      <c r="C105" s="12"/>
      <c r="D105" s="12"/>
      <c r="F105" s="12"/>
    </row>
    <row r="106" spans="1:7" ht="15.75" customHeight="1">
      <c r="B106" s="74" t="s">
        <v>13</v>
      </c>
      <c r="C106" s="159"/>
      <c r="D106" s="159"/>
      <c r="E106" s="159"/>
      <c r="G106" s="76"/>
    </row>
    <row r="107" spans="1:7">
      <c r="A107" s="75"/>
      <c r="C107" s="160" t="s">
        <v>11</v>
      </c>
      <c r="D107" s="160"/>
      <c r="E107" s="160"/>
      <c r="G107" s="77" t="s">
        <v>12</v>
      </c>
    </row>
    <row r="108" spans="1:7" ht="15.75" customHeight="1">
      <c r="A108" s="4" t="s">
        <v>14</v>
      </c>
    </row>
    <row r="109" spans="1:7">
      <c r="A109" s="161" t="s">
        <v>15</v>
      </c>
      <c r="B109" s="161"/>
      <c r="C109" s="161"/>
      <c r="D109" s="161"/>
      <c r="E109" s="161"/>
      <c r="F109" s="161"/>
      <c r="G109" s="161"/>
    </row>
    <row r="110" spans="1:7" ht="45" customHeight="1">
      <c r="A110" s="153" t="s">
        <v>16</v>
      </c>
      <c r="B110" s="153"/>
      <c r="C110" s="153"/>
      <c r="D110" s="153"/>
      <c r="E110" s="153"/>
      <c r="F110" s="153"/>
      <c r="G110" s="153"/>
    </row>
    <row r="111" spans="1:7" ht="30" customHeight="1">
      <c r="A111" s="153" t="s">
        <v>17</v>
      </c>
      <c r="B111" s="153"/>
      <c r="C111" s="153"/>
      <c r="D111" s="153"/>
      <c r="E111" s="153"/>
      <c r="F111" s="153"/>
      <c r="G111" s="153"/>
    </row>
    <row r="112" spans="1:7" ht="30" customHeight="1">
      <c r="A112" s="153" t="s">
        <v>21</v>
      </c>
      <c r="B112" s="153"/>
      <c r="C112" s="153"/>
      <c r="D112" s="153"/>
      <c r="E112" s="153"/>
      <c r="F112" s="153"/>
      <c r="G112" s="153"/>
    </row>
    <row r="113" spans="1:7" ht="15" customHeight="1">
      <c r="A113" s="153" t="s">
        <v>20</v>
      </c>
      <c r="B113" s="153"/>
      <c r="C113" s="153"/>
      <c r="D113" s="153"/>
      <c r="E113" s="153"/>
      <c r="F113" s="153"/>
      <c r="G113" s="153"/>
    </row>
  </sheetData>
  <autoFilter ref="G12:G78"/>
  <mergeCells count="28">
    <mergeCell ref="A14:G14"/>
    <mergeCell ref="A15:G15"/>
    <mergeCell ref="P83:S83"/>
    <mergeCell ref="A28:G28"/>
    <mergeCell ref="A43:G43"/>
    <mergeCell ref="A54:G54"/>
    <mergeCell ref="A80:G80"/>
    <mergeCell ref="A3:G3"/>
    <mergeCell ref="A4:G4"/>
    <mergeCell ref="A8:G8"/>
    <mergeCell ref="A10:G10"/>
    <mergeCell ref="A5:G5"/>
    <mergeCell ref="A93:G93"/>
    <mergeCell ref="B94:F94"/>
    <mergeCell ref="B95:F95"/>
    <mergeCell ref="A97:G97"/>
    <mergeCell ref="A98:G98"/>
    <mergeCell ref="A113:G113"/>
    <mergeCell ref="A99:G99"/>
    <mergeCell ref="A101:G101"/>
    <mergeCell ref="C103:E103"/>
    <mergeCell ref="C104:E104"/>
    <mergeCell ref="A110:G110"/>
    <mergeCell ref="C106:E106"/>
    <mergeCell ref="C107:E107"/>
    <mergeCell ref="A109:G109"/>
    <mergeCell ref="A111:G111"/>
    <mergeCell ref="A112:G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5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4" t="s">
        <v>96</v>
      </c>
      <c r="G1" s="33"/>
    </row>
    <row r="2" spans="1:7" ht="15.75">
      <c r="A2" s="35" t="s">
        <v>67</v>
      </c>
    </row>
    <row r="3" spans="1:7" ht="15.75">
      <c r="A3" s="169" t="s">
        <v>119</v>
      </c>
      <c r="B3" s="169"/>
      <c r="C3" s="169"/>
      <c r="D3" s="169"/>
      <c r="E3" s="169"/>
      <c r="F3" s="169"/>
      <c r="G3" s="169"/>
    </row>
    <row r="4" spans="1:7" ht="31.5" customHeight="1">
      <c r="A4" s="170" t="s">
        <v>157</v>
      </c>
      <c r="B4" s="170"/>
      <c r="C4" s="170"/>
      <c r="D4" s="170"/>
      <c r="E4" s="170"/>
      <c r="F4" s="170"/>
      <c r="G4" s="170"/>
    </row>
    <row r="5" spans="1:7" ht="15.75">
      <c r="A5" s="169" t="s">
        <v>116</v>
      </c>
      <c r="B5" s="171"/>
      <c r="C5" s="171"/>
      <c r="D5" s="171"/>
      <c r="E5" s="171"/>
      <c r="F5" s="171"/>
      <c r="G5" s="171"/>
    </row>
    <row r="6" spans="1:7" ht="15.75">
      <c r="A6" s="2"/>
      <c r="B6" s="73"/>
      <c r="C6" s="73"/>
      <c r="D6" s="73"/>
      <c r="E6" s="73"/>
      <c r="F6" s="73"/>
      <c r="G6" s="37">
        <v>42735</v>
      </c>
    </row>
    <row r="7" spans="1:7" ht="15.75">
      <c r="B7" s="72"/>
      <c r="C7" s="72"/>
      <c r="D7" s="72"/>
      <c r="E7" s="3"/>
      <c r="F7" s="3"/>
    </row>
    <row r="8" spans="1:7" ht="78.75" customHeight="1">
      <c r="A8" s="172" t="s">
        <v>166</v>
      </c>
      <c r="B8" s="172"/>
      <c r="C8" s="172"/>
      <c r="D8" s="172"/>
      <c r="E8" s="172"/>
      <c r="F8" s="172"/>
      <c r="G8" s="172"/>
    </row>
    <row r="9" spans="1:7" ht="15.75">
      <c r="A9" s="4"/>
    </row>
    <row r="10" spans="1:7" ht="47.25" customHeight="1">
      <c r="A10" s="173" t="s">
        <v>167</v>
      </c>
      <c r="B10" s="173"/>
      <c r="C10" s="173"/>
      <c r="D10" s="173"/>
      <c r="E10" s="173"/>
      <c r="F10" s="173"/>
      <c r="G10" s="173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 ht="15" customHeight="1">
      <c r="A14" s="168" t="s">
        <v>63</v>
      </c>
      <c r="B14" s="168"/>
      <c r="C14" s="168"/>
      <c r="D14" s="168"/>
      <c r="E14" s="168"/>
      <c r="F14" s="168"/>
      <c r="G14" s="168"/>
    </row>
    <row r="15" spans="1:7" ht="15" customHeight="1">
      <c r="A15" s="166" t="s">
        <v>4</v>
      </c>
      <c r="B15" s="166"/>
      <c r="C15" s="166"/>
      <c r="D15" s="166"/>
      <c r="E15" s="166"/>
      <c r="F15" s="166"/>
      <c r="G15" s="166"/>
    </row>
    <row r="16" spans="1:7" ht="31.5" customHeight="1">
      <c r="A16" s="36">
        <v>1</v>
      </c>
      <c r="B16" s="41" t="s">
        <v>120</v>
      </c>
      <c r="C16" s="55" t="s">
        <v>99</v>
      </c>
      <c r="D16" s="41" t="s">
        <v>121</v>
      </c>
      <c r="E16" s="91"/>
      <c r="F16" s="40">
        <v>175.38</v>
      </c>
      <c r="G16" s="93">
        <v>2761.92</v>
      </c>
    </row>
    <row r="17" spans="1:7" ht="31.5" customHeight="1">
      <c r="A17" s="36">
        <v>2</v>
      </c>
      <c r="B17" s="41" t="s">
        <v>122</v>
      </c>
      <c r="C17" s="55" t="s">
        <v>99</v>
      </c>
      <c r="D17" s="41" t="s">
        <v>123</v>
      </c>
      <c r="E17" s="91"/>
      <c r="F17" s="40">
        <v>175.38</v>
      </c>
      <c r="G17" s="93">
        <v>7365.12</v>
      </c>
    </row>
    <row r="18" spans="1:7" ht="31.5" customHeight="1">
      <c r="A18" s="36">
        <v>3</v>
      </c>
      <c r="B18" s="41" t="s">
        <v>124</v>
      </c>
      <c r="C18" s="55" t="s">
        <v>99</v>
      </c>
      <c r="D18" s="41" t="s">
        <v>140</v>
      </c>
      <c r="E18" s="91"/>
      <c r="F18" s="40">
        <v>504.5</v>
      </c>
      <c r="G18" s="93">
        <v>6111.51</v>
      </c>
    </row>
    <row r="19" spans="1:7" ht="15.75" hidden="1" customHeight="1">
      <c r="A19" s="36"/>
      <c r="B19" s="41" t="s">
        <v>125</v>
      </c>
      <c r="C19" s="55" t="s">
        <v>126</v>
      </c>
      <c r="D19" s="41" t="s">
        <v>127</v>
      </c>
      <c r="E19" s="91"/>
      <c r="F19" s="40">
        <v>170.16</v>
      </c>
      <c r="G19" s="93">
        <v>0</v>
      </c>
    </row>
    <row r="20" spans="1:7" ht="15.75" customHeight="1">
      <c r="A20" s="36">
        <v>4</v>
      </c>
      <c r="B20" s="41" t="s">
        <v>128</v>
      </c>
      <c r="C20" s="55" t="s">
        <v>99</v>
      </c>
      <c r="D20" s="41" t="s">
        <v>31</v>
      </c>
      <c r="E20" s="91"/>
      <c r="F20" s="40">
        <v>217.88</v>
      </c>
      <c r="G20" s="93">
        <v>127.24</v>
      </c>
    </row>
    <row r="21" spans="1:7" ht="15.75" customHeight="1">
      <c r="A21" s="36">
        <v>5</v>
      </c>
      <c r="B21" s="41" t="s">
        <v>129</v>
      </c>
      <c r="C21" s="55" t="s">
        <v>99</v>
      </c>
      <c r="D21" s="41" t="s">
        <v>31</v>
      </c>
      <c r="E21" s="91"/>
      <c r="F21" s="40">
        <v>216.12</v>
      </c>
      <c r="G21" s="93">
        <v>19.62</v>
      </c>
    </row>
    <row r="22" spans="1:7" ht="15.75" hidden="1" customHeight="1">
      <c r="A22" s="36"/>
      <c r="B22" s="41" t="s">
        <v>131</v>
      </c>
      <c r="C22" s="55" t="s">
        <v>56</v>
      </c>
      <c r="D22" s="41" t="s">
        <v>127</v>
      </c>
      <c r="E22" s="91"/>
      <c r="F22" s="40">
        <v>269.26</v>
      </c>
      <c r="G22" s="93">
        <v>0</v>
      </c>
    </row>
    <row r="23" spans="1:7" ht="15.75" hidden="1" customHeight="1">
      <c r="A23" s="36"/>
      <c r="B23" s="41" t="s">
        <v>132</v>
      </c>
      <c r="C23" s="55" t="s">
        <v>56</v>
      </c>
      <c r="D23" s="41" t="s">
        <v>127</v>
      </c>
      <c r="E23" s="91"/>
      <c r="F23" s="40">
        <v>44.29</v>
      </c>
      <c r="G23" s="93">
        <v>0</v>
      </c>
    </row>
    <row r="24" spans="1:7" ht="15.75" customHeight="1">
      <c r="A24" s="36">
        <v>6</v>
      </c>
      <c r="B24" s="41" t="s">
        <v>133</v>
      </c>
      <c r="C24" s="55" t="s">
        <v>56</v>
      </c>
      <c r="D24" s="41" t="s">
        <v>155</v>
      </c>
      <c r="E24" s="91"/>
      <c r="F24" s="40">
        <v>389.42</v>
      </c>
      <c r="G24" s="93">
        <v>124.61</v>
      </c>
    </row>
    <row r="25" spans="1:7" ht="15.75" customHeight="1">
      <c r="A25" s="36">
        <v>7</v>
      </c>
      <c r="B25" s="41" t="s">
        <v>135</v>
      </c>
      <c r="C25" s="55" t="s">
        <v>56</v>
      </c>
      <c r="D25" s="41" t="s">
        <v>156</v>
      </c>
      <c r="E25" s="91"/>
      <c r="F25" s="40">
        <v>520.79999999999995</v>
      </c>
      <c r="G25" s="93">
        <v>88.54</v>
      </c>
    </row>
    <row r="26" spans="1:7" ht="15.75" customHeight="1">
      <c r="A26" s="56">
        <v>8</v>
      </c>
      <c r="B26" s="50" t="s">
        <v>69</v>
      </c>
      <c r="C26" s="51" t="s">
        <v>34</v>
      </c>
      <c r="D26" s="50" t="s">
        <v>25</v>
      </c>
      <c r="E26" s="22">
        <v>506.1</v>
      </c>
      <c r="F26" s="40">
        <v>147.03</v>
      </c>
      <c r="G26" s="23">
        <v>447.22</v>
      </c>
    </row>
    <row r="27" spans="1:7" ht="15.75" customHeight="1">
      <c r="A27" s="56">
        <v>9</v>
      </c>
      <c r="B27" s="13" t="s">
        <v>23</v>
      </c>
      <c r="C27" s="14" t="s">
        <v>24</v>
      </c>
      <c r="D27" s="36"/>
      <c r="E27" s="22">
        <v>506.1</v>
      </c>
      <c r="F27" s="40">
        <v>4.53</v>
      </c>
      <c r="G27" s="23">
        <v>19904.82</v>
      </c>
    </row>
    <row r="28" spans="1:7" ht="15.75" customHeight="1">
      <c r="A28" s="166" t="s">
        <v>95</v>
      </c>
      <c r="B28" s="166"/>
      <c r="C28" s="166"/>
      <c r="D28" s="166"/>
      <c r="E28" s="166"/>
      <c r="F28" s="166"/>
      <c r="G28" s="166"/>
    </row>
    <row r="29" spans="1:7" ht="15.75" hidden="1" customHeight="1">
      <c r="A29" s="56"/>
      <c r="B29" s="66" t="s">
        <v>29</v>
      </c>
      <c r="C29" s="66"/>
      <c r="D29" s="66"/>
      <c r="E29" s="66"/>
      <c r="F29" s="66"/>
      <c r="G29" s="23"/>
    </row>
    <row r="30" spans="1:7" ht="31.5" hidden="1" customHeight="1">
      <c r="A30" s="56">
        <v>2</v>
      </c>
      <c r="B30" s="41" t="s">
        <v>108</v>
      </c>
      <c r="C30" s="55" t="s">
        <v>101</v>
      </c>
      <c r="D30" s="41" t="s">
        <v>141</v>
      </c>
      <c r="E30" s="17">
        <v>2.31</v>
      </c>
      <c r="F30" s="40">
        <v>155.88999999999999</v>
      </c>
      <c r="G30" s="16">
        <v>0</v>
      </c>
    </row>
    <row r="31" spans="1:7" ht="31.5" hidden="1" customHeight="1">
      <c r="A31" s="56">
        <v>3</v>
      </c>
      <c r="B31" s="41" t="s">
        <v>107</v>
      </c>
      <c r="C31" s="55" t="s">
        <v>101</v>
      </c>
      <c r="D31" s="41" t="s">
        <v>136</v>
      </c>
      <c r="E31" s="16">
        <f>0.0024*3*4.5</f>
        <v>3.2399999999999998E-2</v>
      </c>
      <c r="F31" s="40">
        <v>258.63</v>
      </c>
      <c r="G31" s="23">
        <v>0</v>
      </c>
    </row>
    <row r="32" spans="1:7" ht="15.75" hidden="1" customHeight="1">
      <c r="A32" s="56">
        <v>4</v>
      </c>
      <c r="B32" s="41" t="s">
        <v>28</v>
      </c>
      <c r="C32" s="55" t="s">
        <v>101</v>
      </c>
      <c r="D32" s="41" t="s">
        <v>57</v>
      </c>
      <c r="E32" s="21">
        <v>0</v>
      </c>
      <c r="F32" s="40">
        <v>3020.33</v>
      </c>
      <c r="G32" s="23">
        <v>0</v>
      </c>
    </row>
    <row r="33" spans="1:7" ht="15.75" hidden="1" customHeight="1">
      <c r="A33" s="56">
        <v>5</v>
      </c>
      <c r="B33" s="41" t="s">
        <v>106</v>
      </c>
      <c r="C33" s="55" t="s">
        <v>32</v>
      </c>
      <c r="D33" s="41" t="s">
        <v>68</v>
      </c>
      <c r="E33" s="21">
        <v>0</v>
      </c>
      <c r="F33" s="40">
        <v>56.69</v>
      </c>
      <c r="G33" s="23">
        <v>0</v>
      </c>
    </row>
    <row r="34" spans="1:7" ht="15.75" hidden="1" customHeight="1">
      <c r="A34" s="56">
        <v>4</v>
      </c>
      <c r="B34" s="41" t="s">
        <v>70</v>
      </c>
      <c r="C34" s="55" t="s">
        <v>34</v>
      </c>
      <c r="D34" s="41" t="s">
        <v>72</v>
      </c>
      <c r="E34" s="16">
        <v>3.75</v>
      </c>
      <c r="F34" s="40">
        <v>191.32</v>
      </c>
      <c r="G34" s="16">
        <v>0</v>
      </c>
    </row>
    <row r="35" spans="1:7" ht="15.75" hidden="1" customHeight="1">
      <c r="A35" s="36">
        <v>8</v>
      </c>
      <c r="B35" s="41" t="s">
        <v>71</v>
      </c>
      <c r="C35" s="55" t="s">
        <v>33</v>
      </c>
      <c r="D35" s="41" t="s">
        <v>72</v>
      </c>
      <c r="E35" s="16"/>
      <c r="F35" s="40">
        <v>1136.33</v>
      </c>
      <c r="G35" s="16">
        <v>0</v>
      </c>
    </row>
    <row r="36" spans="1:7" ht="15.75" customHeight="1">
      <c r="A36" s="56"/>
      <c r="B36" s="64" t="s">
        <v>5</v>
      </c>
      <c r="C36" s="64"/>
      <c r="D36" s="64"/>
      <c r="E36" s="16"/>
      <c r="F36" s="17"/>
      <c r="G36" s="23"/>
    </row>
    <row r="37" spans="1:7" ht="15.75" customHeight="1">
      <c r="A37" s="56">
        <v>10</v>
      </c>
      <c r="B37" s="43" t="s">
        <v>27</v>
      </c>
      <c r="C37" s="55" t="s">
        <v>33</v>
      </c>
      <c r="D37" s="41"/>
      <c r="E37" s="16"/>
      <c r="F37" s="40">
        <v>1527.22</v>
      </c>
      <c r="G37" s="23">
        <v>3818.05</v>
      </c>
    </row>
    <row r="38" spans="1:7" ht="15.75" customHeight="1">
      <c r="A38" s="42">
        <v>11</v>
      </c>
      <c r="B38" s="43" t="s">
        <v>73</v>
      </c>
      <c r="C38" s="79" t="s">
        <v>30</v>
      </c>
      <c r="D38" s="43" t="s">
        <v>142</v>
      </c>
      <c r="E38" s="16">
        <v>0</v>
      </c>
      <c r="F38" s="44">
        <v>2102.71</v>
      </c>
      <c r="G38" s="16">
        <v>14447.37</v>
      </c>
    </row>
    <row r="39" spans="1:7" ht="15.75" customHeight="1">
      <c r="A39" s="42">
        <v>12</v>
      </c>
      <c r="B39" s="41" t="s">
        <v>74</v>
      </c>
      <c r="C39" s="55" t="s">
        <v>30</v>
      </c>
      <c r="D39" s="41" t="s">
        <v>100</v>
      </c>
      <c r="E39" s="16">
        <v>0</v>
      </c>
      <c r="F39" s="40">
        <v>350.75</v>
      </c>
      <c r="G39" s="16">
        <v>1703.48</v>
      </c>
    </row>
    <row r="40" spans="1:7" ht="47.25" customHeight="1">
      <c r="A40" s="42">
        <v>13</v>
      </c>
      <c r="B40" s="41" t="s">
        <v>93</v>
      </c>
      <c r="C40" s="55" t="s">
        <v>101</v>
      </c>
      <c r="D40" s="41" t="s">
        <v>143</v>
      </c>
      <c r="E40" s="16">
        <v>0</v>
      </c>
      <c r="F40" s="40">
        <v>5803.28</v>
      </c>
      <c r="G40" s="16">
        <v>2182.0300000000002</v>
      </c>
    </row>
    <row r="41" spans="1:7" ht="15.75" customHeight="1">
      <c r="A41" s="42">
        <v>14</v>
      </c>
      <c r="B41" s="41" t="s">
        <v>102</v>
      </c>
      <c r="C41" s="55" t="s">
        <v>101</v>
      </c>
      <c r="D41" s="41" t="s">
        <v>75</v>
      </c>
      <c r="E41" s="16">
        <v>0</v>
      </c>
      <c r="F41" s="40">
        <v>428.7</v>
      </c>
      <c r="G41" s="16">
        <v>604.47</v>
      </c>
    </row>
    <row r="42" spans="1:7" ht="15.75" customHeight="1">
      <c r="A42" s="42">
        <v>15</v>
      </c>
      <c r="B42" s="43" t="s">
        <v>76</v>
      </c>
      <c r="C42" s="79" t="s">
        <v>34</v>
      </c>
      <c r="D42" s="43"/>
      <c r="E42" s="16">
        <v>0</v>
      </c>
      <c r="F42" s="44">
        <v>798</v>
      </c>
      <c r="G42" s="16">
        <v>119.7</v>
      </c>
    </row>
    <row r="43" spans="1:7" ht="15.75" customHeight="1">
      <c r="A43" s="177" t="s">
        <v>168</v>
      </c>
      <c r="B43" s="178"/>
      <c r="C43" s="178"/>
      <c r="D43" s="178"/>
      <c r="E43" s="178"/>
      <c r="F43" s="178"/>
      <c r="G43" s="179"/>
    </row>
    <row r="44" spans="1:7" ht="15.75" hidden="1" customHeight="1">
      <c r="A44" s="56">
        <v>15</v>
      </c>
      <c r="B44" s="41" t="s">
        <v>109</v>
      </c>
      <c r="C44" s="55" t="s">
        <v>101</v>
      </c>
      <c r="D44" s="41" t="s">
        <v>44</v>
      </c>
      <c r="E44" s="23">
        <v>0.42</v>
      </c>
      <c r="F44" s="47">
        <v>910.17</v>
      </c>
      <c r="G44" s="24">
        <v>0</v>
      </c>
    </row>
    <row r="45" spans="1:7" ht="15.75" hidden="1" customHeight="1">
      <c r="A45" s="56">
        <v>16</v>
      </c>
      <c r="B45" s="41" t="s">
        <v>37</v>
      </c>
      <c r="C45" s="55" t="s">
        <v>101</v>
      </c>
      <c r="D45" s="41" t="s">
        <v>44</v>
      </c>
      <c r="E45" s="23">
        <v>1.35</v>
      </c>
      <c r="F45" s="47">
        <v>579.48</v>
      </c>
      <c r="G45" s="24">
        <v>0</v>
      </c>
    </row>
    <row r="46" spans="1:7" ht="15.75" hidden="1" customHeight="1">
      <c r="A46" s="56">
        <v>17</v>
      </c>
      <c r="B46" s="41" t="s">
        <v>38</v>
      </c>
      <c r="C46" s="55" t="s">
        <v>101</v>
      </c>
      <c r="D46" s="41" t="s">
        <v>44</v>
      </c>
      <c r="E46" s="23">
        <v>0.03</v>
      </c>
      <c r="F46" s="47">
        <v>579.48</v>
      </c>
      <c r="G46" s="24">
        <v>0</v>
      </c>
    </row>
    <row r="47" spans="1:7" ht="15.75" hidden="1" customHeight="1">
      <c r="A47" s="56">
        <v>18</v>
      </c>
      <c r="B47" s="41" t="s">
        <v>39</v>
      </c>
      <c r="C47" s="55" t="s">
        <v>101</v>
      </c>
      <c r="D47" s="41" t="s">
        <v>44</v>
      </c>
      <c r="E47" s="23">
        <v>0.33</v>
      </c>
      <c r="F47" s="47">
        <v>606.77</v>
      </c>
      <c r="G47" s="24">
        <v>0</v>
      </c>
    </row>
    <row r="48" spans="1:7" ht="15.75" hidden="1" customHeight="1">
      <c r="A48" s="56">
        <v>19</v>
      </c>
      <c r="B48" s="41" t="s">
        <v>35</v>
      </c>
      <c r="C48" s="55" t="s">
        <v>36</v>
      </c>
      <c r="D48" s="41" t="s">
        <v>44</v>
      </c>
      <c r="E48" s="23">
        <v>0.22</v>
      </c>
      <c r="F48" s="47">
        <v>72.81</v>
      </c>
      <c r="G48" s="16">
        <v>0</v>
      </c>
    </row>
    <row r="49" spans="1:7" ht="31.5" customHeight="1">
      <c r="A49" s="56">
        <v>16</v>
      </c>
      <c r="B49" s="41" t="s">
        <v>60</v>
      </c>
      <c r="C49" s="55" t="s">
        <v>101</v>
      </c>
      <c r="D49" s="41" t="s">
        <v>110</v>
      </c>
      <c r="E49" s="23">
        <v>0.22</v>
      </c>
      <c r="F49" s="47">
        <v>1213.55</v>
      </c>
      <c r="G49" s="24">
        <v>2459.62</v>
      </c>
    </row>
    <row r="50" spans="1:7" ht="31.5" hidden="1" customHeight="1">
      <c r="A50" s="56">
        <v>14</v>
      </c>
      <c r="B50" s="41" t="s">
        <v>103</v>
      </c>
      <c r="C50" s="55" t="s">
        <v>101</v>
      </c>
      <c r="D50" s="41" t="s">
        <v>44</v>
      </c>
      <c r="E50" s="23">
        <v>0.02</v>
      </c>
      <c r="F50" s="47">
        <v>1213.55</v>
      </c>
      <c r="G50" s="24">
        <v>0</v>
      </c>
    </row>
    <row r="51" spans="1:7" ht="31.5" hidden="1" customHeight="1">
      <c r="A51" s="56">
        <v>15</v>
      </c>
      <c r="B51" s="41" t="s">
        <v>104</v>
      </c>
      <c r="C51" s="55" t="s">
        <v>40</v>
      </c>
      <c r="D51" s="41" t="s">
        <v>44</v>
      </c>
      <c r="E51" s="23">
        <v>0.01</v>
      </c>
      <c r="F51" s="47">
        <v>2730.49</v>
      </c>
      <c r="G51" s="24">
        <v>0</v>
      </c>
    </row>
    <row r="52" spans="1:7" ht="15.75" hidden="1" customHeight="1">
      <c r="A52" s="56">
        <v>23</v>
      </c>
      <c r="B52" s="41" t="s">
        <v>41</v>
      </c>
      <c r="C52" s="55" t="s">
        <v>42</v>
      </c>
      <c r="D52" s="41" t="s">
        <v>44</v>
      </c>
      <c r="E52" s="23">
        <v>8</v>
      </c>
      <c r="F52" s="47">
        <v>5652.13</v>
      </c>
      <c r="G52" s="16">
        <v>0</v>
      </c>
    </row>
    <row r="53" spans="1:7" ht="15.75" hidden="1" customHeight="1">
      <c r="A53" s="56">
        <v>24</v>
      </c>
      <c r="B53" s="41" t="s">
        <v>43</v>
      </c>
      <c r="C53" s="55" t="s">
        <v>111</v>
      </c>
      <c r="D53" s="41" t="s">
        <v>77</v>
      </c>
      <c r="E53" s="23">
        <v>16</v>
      </c>
      <c r="F53" s="48">
        <v>65.67</v>
      </c>
      <c r="G53" s="16">
        <v>0</v>
      </c>
    </row>
    <row r="54" spans="1:7" ht="15.75" customHeight="1">
      <c r="A54" s="177" t="s">
        <v>169</v>
      </c>
      <c r="B54" s="178"/>
      <c r="C54" s="178"/>
      <c r="D54" s="178"/>
      <c r="E54" s="178"/>
      <c r="F54" s="178"/>
      <c r="G54" s="179"/>
    </row>
    <row r="55" spans="1:7" ht="15.75" customHeight="1">
      <c r="A55" s="68"/>
      <c r="B55" s="63" t="s">
        <v>45</v>
      </c>
      <c r="C55" s="20"/>
      <c r="D55" s="19"/>
      <c r="E55" s="19"/>
      <c r="F55" s="36"/>
      <c r="G55" s="23"/>
    </row>
    <row r="56" spans="1:7" ht="31.5" customHeight="1">
      <c r="A56" s="56">
        <v>17</v>
      </c>
      <c r="B56" s="41" t="s">
        <v>118</v>
      </c>
      <c r="C56" s="55" t="s">
        <v>99</v>
      </c>
      <c r="D56" s="41" t="s">
        <v>137</v>
      </c>
      <c r="E56" s="23">
        <v>0</v>
      </c>
      <c r="F56" s="47">
        <v>1547.28</v>
      </c>
      <c r="G56" s="24">
        <v>2737.6</v>
      </c>
    </row>
    <row r="57" spans="1:7" ht="15.75" customHeight="1">
      <c r="A57" s="56"/>
      <c r="B57" s="91" t="s">
        <v>46</v>
      </c>
      <c r="C57" s="91"/>
      <c r="D57" s="91"/>
      <c r="E57" s="91"/>
      <c r="F57" s="91"/>
      <c r="G57" s="46"/>
    </row>
    <row r="58" spans="1:7" ht="15.75" hidden="1" customHeight="1">
      <c r="A58" s="56">
        <v>27</v>
      </c>
      <c r="B58" s="83" t="s">
        <v>47</v>
      </c>
      <c r="C58" s="55" t="s">
        <v>99</v>
      </c>
      <c r="D58" s="41" t="s">
        <v>57</v>
      </c>
      <c r="E58" s="84">
        <v>0</v>
      </c>
      <c r="F58" s="47">
        <v>793.61</v>
      </c>
      <c r="G58" s="24">
        <f>E58/2</f>
        <v>0</v>
      </c>
    </row>
    <row r="59" spans="1:7" ht="15.75" customHeight="1">
      <c r="A59" s="56">
        <v>18</v>
      </c>
      <c r="B59" s="41" t="s">
        <v>151</v>
      </c>
      <c r="C59" s="55" t="s">
        <v>26</v>
      </c>
      <c r="D59" s="41" t="s">
        <v>152</v>
      </c>
      <c r="E59" s="84"/>
      <c r="F59" s="97">
        <v>2.59</v>
      </c>
      <c r="G59" s="24">
        <v>841.75</v>
      </c>
    </row>
    <row r="60" spans="1:7" ht="15.75" hidden="1" customHeight="1">
      <c r="A60" s="56"/>
      <c r="B60" s="91" t="s">
        <v>48</v>
      </c>
      <c r="C60" s="20"/>
      <c r="D60" s="19"/>
      <c r="E60" s="19"/>
      <c r="F60" s="36"/>
      <c r="G60" s="23"/>
    </row>
    <row r="61" spans="1:7" ht="15.75" hidden="1" customHeight="1">
      <c r="A61" s="56">
        <v>17</v>
      </c>
      <c r="B61" s="81" t="s">
        <v>49</v>
      </c>
      <c r="C61" s="51" t="s">
        <v>111</v>
      </c>
      <c r="D61" s="50" t="s">
        <v>144</v>
      </c>
      <c r="E61" s="23">
        <v>0</v>
      </c>
      <c r="F61" s="47">
        <v>222.4</v>
      </c>
      <c r="G61" s="24">
        <v>0</v>
      </c>
    </row>
    <row r="62" spans="1:7" ht="15.75" hidden="1" customHeight="1">
      <c r="A62" s="36">
        <v>29</v>
      </c>
      <c r="B62" s="81" t="s">
        <v>50</v>
      </c>
      <c r="C62" s="51" t="s">
        <v>111</v>
      </c>
      <c r="D62" s="50" t="s">
        <v>144</v>
      </c>
      <c r="E62" s="23">
        <v>0</v>
      </c>
      <c r="F62" s="47">
        <v>76.25</v>
      </c>
      <c r="G62" s="24">
        <v>0</v>
      </c>
    </row>
    <row r="63" spans="1:7" ht="15.75" hidden="1" customHeight="1">
      <c r="A63" s="36">
        <v>8</v>
      </c>
      <c r="B63" s="81" t="s">
        <v>51</v>
      </c>
      <c r="C63" s="53" t="s">
        <v>112</v>
      </c>
      <c r="D63" s="50" t="s">
        <v>57</v>
      </c>
      <c r="E63" s="23">
        <v>13.47</v>
      </c>
      <c r="F63" s="47">
        <v>212.15</v>
      </c>
      <c r="G63" s="23">
        <v>0</v>
      </c>
    </row>
    <row r="64" spans="1:7" ht="15.75" hidden="1" customHeight="1">
      <c r="A64" s="36">
        <v>9</v>
      </c>
      <c r="B64" s="81" t="s">
        <v>52</v>
      </c>
      <c r="C64" s="51" t="s">
        <v>113</v>
      </c>
      <c r="D64" s="50"/>
      <c r="E64" s="23">
        <v>1.35</v>
      </c>
      <c r="F64" s="47">
        <v>165.21</v>
      </c>
      <c r="G64" s="23">
        <v>0</v>
      </c>
    </row>
    <row r="65" spans="1:7" ht="15.75" hidden="1" customHeight="1">
      <c r="A65" s="36">
        <v>10</v>
      </c>
      <c r="B65" s="81" t="s">
        <v>53</v>
      </c>
      <c r="C65" s="51" t="s">
        <v>84</v>
      </c>
      <c r="D65" s="50" t="s">
        <v>57</v>
      </c>
      <c r="E65" s="23">
        <v>0</v>
      </c>
      <c r="F65" s="47">
        <v>2074.63</v>
      </c>
      <c r="G65" s="23">
        <v>0</v>
      </c>
    </row>
    <row r="66" spans="1:7" ht="15.75" hidden="1" customHeight="1">
      <c r="A66" s="36">
        <v>11</v>
      </c>
      <c r="B66" s="69" t="s">
        <v>78</v>
      </c>
      <c r="C66" s="51" t="s">
        <v>34</v>
      </c>
      <c r="D66" s="50"/>
      <c r="E66" s="15">
        <v>0</v>
      </c>
      <c r="F66" s="47">
        <v>45.32</v>
      </c>
      <c r="G66" s="23">
        <v>0</v>
      </c>
    </row>
    <row r="67" spans="1:7" ht="15.75" hidden="1" customHeight="1">
      <c r="A67" s="36">
        <v>12</v>
      </c>
      <c r="B67" s="69" t="s">
        <v>79</v>
      </c>
      <c r="C67" s="51" t="s">
        <v>34</v>
      </c>
      <c r="D67" s="50"/>
      <c r="E67" s="15"/>
      <c r="F67" s="47">
        <v>42.28</v>
      </c>
      <c r="G67" s="23">
        <v>0</v>
      </c>
    </row>
    <row r="68" spans="1:7" ht="15.75" hidden="1" customHeight="1">
      <c r="A68" s="36">
        <v>13</v>
      </c>
      <c r="B68" s="69" t="s">
        <v>145</v>
      </c>
      <c r="C68" s="51"/>
      <c r="D68" s="50"/>
      <c r="E68" s="15"/>
      <c r="F68" s="47">
        <v>5600</v>
      </c>
      <c r="G68" s="23">
        <v>0</v>
      </c>
    </row>
    <row r="69" spans="1:7" ht="15.75" hidden="1" customHeight="1">
      <c r="A69" s="36"/>
      <c r="B69" s="50" t="s">
        <v>61</v>
      </c>
      <c r="C69" s="51" t="s">
        <v>62</v>
      </c>
      <c r="D69" s="50" t="s">
        <v>57</v>
      </c>
      <c r="E69" s="15"/>
      <c r="F69" s="47">
        <v>49.88</v>
      </c>
      <c r="G69" s="23">
        <v>0</v>
      </c>
    </row>
    <row r="70" spans="1:7" ht="15.75" hidden="1" customHeight="1">
      <c r="A70" s="68"/>
      <c r="B70" s="91" t="s">
        <v>105</v>
      </c>
      <c r="C70" s="91"/>
      <c r="D70" s="91"/>
      <c r="E70" s="91"/>
      <c r="F70" s="91"/>
      <c r="G70" s="23"/>
    </row>
    <row r="71" spans="1:7" ht="15.75" hidden="1" customHeight="1">
      <c r="A71" s="36">
        <v>36</v>
      </c>
      <c r="B71" s="83" t="s">
        <v>114</v>
      </c>
      <c r="C71" s="85"/>
      <c r="D71" s="86" t="s">
        <v>57</v>
      </c>
      <c r="E71" s="84">
        <v>0</v>
      </c>
      <c r="F71" s="49">
        <v>17508</v>
      </c>
      <c r="G71" s="23">
        <v>0</v>
      </c>
    </row>
    <row r="72" spans="1:7" ht="15.75" hidden="1" customHeight="1">
      <c r="A72" s="36"/>
      <c r="B72" s="64" t="s">
        <v>80</v>
      </c>
      <c r="C72" s="64"/>
      <c r="D72" s="64"/>
      <c r="E72" s="23"/>
      <c r="F72" s="36"/>
      <c r="G72" s="23"/>
    </row>
    <row r="73" spans="1:7" ht="15.75" hidden="1" customHeight="1">
      <c r="A73" s="36"/>
      <c r="B73" s="50" t="s">
        <v>81</v>
      </c>
      <c r="C73" s="51" t="s">
        <v>82</v>
      </c>
      <c r="D73" s="50" t="s">
        <v>72</v>
      </c>
      <c r="E73" s="23"/>
      <c r="F73" s="47">
        <v>501.62</v>
      </c>
      <c r="G73" s="23">
        <v>0</v>
      </c>
    </row>
    <row r="74" spans="1:7" ht="15.75" hidden="1" customHeight="1">
      <c r="A74" s="36"/>
      <c r="B74" s="50" t="s">
        <v>139</v>
      </c>
      <c r="C74" s="51" t="s">
        <v>111</v>
      </c>
      <c r="D74" s="50" t="s">
        <v>72</v>
      </c>
      <c r="E74" s="23"/>
      <c r="F74" s="47">
        <v>358.51</v>
      </c>
      <c r="G74" s="23">
        <v>0</v>
      </c>
    </row>
    <row r="75" spans="1:7" ht="15.75" hidden="1" customHeight="1">
      <c r="A75" s="36"/>
      <c r="B75" s="50" t="s">
        <v>146</v>
      </c>
      <c r="C75" s="51" t="s">
        <v>32</v>
      </c>
      <c r="D75" s="50" t="s">
        <v>72</v>
      </c>
      <c r="E75" s="23"/>
      <c r="F75" s="47">
        <v>99.85</v>
      </c>
      <c r="G75" s="23">
        <v>0</v>
      </c>
    </row>
    <row r="76" spans="1:7" ht="15.75" hidden="1" customHeight="1">
      <c r="A76" s="36"/>
      <c r="B76" s="50" t="s">
        <v>147</v>
      </c>
      <c r="C76" s="51" t="s">
        <v>32</v>
      </c>
      <c r="D76" s="50" t="s">
        <v>72</v>
      </c>
      <c r="E76" s="23"/>
      <c r="F76" s="47">
        <v>120.26</v>
      </c>
      <c r="G76" s="23">
        <v>0</v>
      </c>
    </row>
    <row r="77" spans="1:7" ht="15.75" hidden="1" customHeight="1">
      <c r="A77" s="36">
        <v>17</v>
      </c>
      <c r="B77" s="50" t="s">
        <v>138</v>
      </c>
      <c r="C77" s="51" t="s">
        <v>111</v>
      </c>
      <c r="D77" s="50" t="s">
        <v>72</v>
      </c>
      <c r="E77" s="23"/>
      <c r="F77" s="47">
        <v>911.85</v>
      </c>
      <c r="G77" s="23">
        <v>0</v>
      </c>
    </row>
    <row r="78" spans="1:7" ht="15.75" hidden="1" customHeight="1">
      <c r="A78" s="36"/>
      <c r="B78" s="65" t="s">
        <v>83</v>
      </c>
      <c r="C78" s="51"/>
      <c r="D78" s="36"/>
      <c r="E78" s="23"/>
      <c r="F78" s="47"/>
      <c r="G78" s="23"/>
    </row>
    <row r="79" spans="1:7" ht="15.75" hidden="1" customHeight="1">
      <c r="A79" s="36">
        <v>39</v>
      </c>
      <c r="B79" s="52" t="s">
        <v>117</v>
      </c>
      <c r="C79" s="53" t="s">
        <v>84</v>
      </c>
      <c r="D79" s="81"/>
      <c r="E79" s="23"/>
      <c r="F79" s="48">
        <v>2759.44</v>
      </c>
      <c r="G79" s="23">
        <v>0</v>
      </c>
    </row>
    <row r="80" spans="1:7" ht="15" customHeight="1">
      <c r="A80" s="180" t="s">
        <v>171</v>
      </c>
      <c r="B80" s="181"/>
      <c r="C80" s="181"/>
      <c r="D80" s="181"/>
      <c r="E80" s="181"/>
      <c r="F80" s="181"/>
      <c r="G80" s="182"/>
    </row>
    <row r="81" spans="1:7" ht="15" customHeight="1">
      <c r="A81" s="36">
        <v>19</v>
      </c>
      <c r="B81" s="41" t="s">
        <v>115</v>
      </c>
      <c r="C81" s="51" t="s">
        <v>58</v>
      </c>
      <c r="D81" s="82" t="s">
        <v>59</v>
      </c>
      <c r="E81" s="19">
        <v>327.9</v>
      </c>
      <c r="F81" s="47">
        <v>2.1</v>
      </c>
      <c r="G81" s="16">
        <v>9229.2900000000009</v>
      </c>
    </row>
    <row r="82" spans="1:7" ht="30">
      <c r="A82" s="36">
        <v>20</v>
      </c>
      <c r="B82" s="50" t="s">
        <v>85</v>
      </c>
      <c r="C82" s="51"/>
      <c r="D82" s="82" t="s">
        <v>59</v>
      </c>
      <c r="E82" s="19"/>
      <c r="F82" s="47">
        <v>1.63</v>
      </c>
      <c r="G82" s="16">
        <v>7163.69</v>
      </c>
    </row>
    <row r="83" spans="1:7" ht="15.75" customHeight="1">
      <c r="A83" s="68"/>
      <c r="B83" s="54" t="s">
        <v>89</v>
      </c>
      <c r="C83" s="56"/>
      <c r="D83" s="19"/>
      <c r="E83" s="19"/>
      <c r="F83" s="23"/>
      <c r="G83" s="39">
        <f>SUM(G16+G17+G18+G20+G21+G24+G25+G26+G27+G37+G38+G39+G40+G41+G42+G49+G56+G59+G81+G82)</f>
        <v>82257.650000000023</v>
      </c>
    </row>
    <row r="84" spans="1:7">
      <c r="A84" s="68"/>
      <c r="B84" s="80" t="s">
        <v>64</v>
      </c>
      <c r="C84" s="80"/>
      <c r="D84" s="80"/>
      <c r="E84" s="80"/>
      <c r="F84" s="80"/>
      <c r="G84" s="80"/>
    </row>
    <row r="85" spans="1:7" ht="30">
      <c r="A85" s="36">
        <v>21</v>
      </c>
      <c r="B85" s="94" t="s">
        <v>162</v>
      </c>
      <c r="C85" s="51" t="s">
        <v>90</v>
      </c>
      <c r="D85" s="80"/>
      <c r="E85" s="80"/>
      <c r="F85" s="93">
        <v>1187</v>
      </c>
      <c r="G85" s="93">
        <v>4748</v>
      </c>
    </row>
    <row r="86" spans="1:7">
      <c r="A86" s="36">
        <v>22</v>
      </c>
      <c r="B86" s="94" t="s">
        <v>161</v>
      </c>
      <c r="C86" s="95" t="s">
        <v>149</v>
      </c>
      <c r="D86" s="80"/>
      <c r="E86" s="80"/>
      <c r="F86" s="36">
        <v>730.54</v>
      </c>
      <c r="G86" s="36">
        <v>730.54</v>
      </c>
    </row>
    <row r="87" spans="1:7" ht="30">
      <c r="A87" s="36">
        <v>23</v>
      </c>
      <c r="B87" s="94" t="s">
        <v>163</v>
      </c>
      <c r="C87" s="96" t="s">
        <v>149</v>
      </c>
      <c r="D87" s="80"/>
      <c r="E87" s="80"/>
      <c r="F87" s="36">
        <v>559.62</v>
      </c>
      <c r="G87" s="36">
        <v>559.62</v>
      </c>
    </row>
    <row r="88" spans="1:7" ht="31.5" customHeight="1">
      <c r="A88" s="36">
        <v>24</v>
      </c>
      <c r="B88" s="94" t="s">
        <v>88</v>
      </c>
      <c r="C88" s="20" t="s">
        <v>32</v>
      </c>
      <c r="D88" s="80"/>
      <c r="E88" s="80"/>
      <c r="F88" s="16">
        <v>79.09</v>
      </c>
      <c r="G88" s="93">
        <v>79.09</v>
      </c>
    </row>
    <row r="89" spans="1:7" ht="15.75" customHeight="1">
      <c r="A89" s="110">
        <v>25</v>
      </c>
      <c r="B89" s="94" t="s">
        <v>150</v>
      </c>
      <c r="C89" s="95" t="s">
        <v>111</v>
      </c>
      <c r="D89" s="80"/>
      <c r="E89" s="80"/>
      <c r="F89" s="16">
        <v>50.68</v>
      </c>
      <c r="G89" s="93">
        <v>4003.72</v>
      </c>
    </row>
    <row r="90" spans="1:7" ht="31.5" customHeight="1">
      <c r="A90" s="110">
        <v>26</v>
      </c>
      <c r="B90" s="94" t="s">
        <v>92</v>
      </c>
      <c r="C90" s="98" t="s">
        <v>40</v>
      </c>
      <c r="D90" s="80"/>
      <c r="E90" s="80"/>
      <c r="F90" s="47">
        <v>3397.65</v>
      </c>
      <c r="G90" s="93">
        <v>33.979999999999997</v>
      </c>
    </row>
    <row r="91" spans="1:7" ht="31.5" customHeight="1">
      <c r="A91" s="110">
        <v>27</v>
      </c>
      <c r="B91" s="94" t="s">
        <v>153</v>
      </c>
      <c r="C91" s="99" t="s">
        <v>154</v>
      </c>
      <c r="D91" s="80"/>
      <c r="E91" s="80"/>
      <c r="F91" s="47">
        <v>8916.31</v>
      </c>
      <c r="G91" s="93">
        <v>462.76</v>
      </c>
    </row>
    <row r="92" spans="1:7">
      <c r="A92" s="36"/>
      <c r="B92" s="61" t="s">
        <v>54</v>
      </c>
      <c r="C92" s="57"/>
      <c r="D92" s="70"/>
      <c r="E92" s="57">
        <v>1</v>
      </c>
      <c r="F92" s="57"/>
      <c r="G92" s="39">
        <f>SUM(G85:G91)</f>
        <v>10617.71</v>
      </c>
    </row>
    <row r="93" spans="1:7" ht="15.75" customHeight="1">
      <c r="A93" s="36"/>
      <c r="B93" s="67" t="s">
        <v>86</v>
      </c>
      <c r="C93" s="19"/>
      <c r="D93" s="19"/>
      <c r="E93" s="58"/>
      <c r="F93" s="59"/>
      <c r="G93" s="22">
        <v>0</v>
      </c>
    </row>
    <row r="94" spans="1:7" ht="15.75" customHeight="1">
      <c r="A94" s="71"/>
      <c r="B94" s="62" t="s">
        <v>55</v>
      </c>
      <c r="C94" s="45"/>
      <c r="D94" s="45"/>
      <c r="E94" s="45"/>
      <c r="F94" s="45"/>
      <c r="G94" s="60">
        <f>G83+G92</f>
        <v>92875.360000000015</v>
      </c>
    </row>
    <row r="95" spans="1:7" ht="15.75">
      <c r="A95" s="167" t="s">
        <v>164</v>
      </c>
      <c r="B95" s="167"/>
      <c r="C95" s="167"/>
      <c r="D95" s="167"/>
      <c r="E95" s="167"/>
      <c r="F95" s="167"/>
      <c r="G95" s="167"/>
    </row>
    <row r="96" spans="1:7" ht="15.75" customHeight="1">
      <c r="A96" s="92"/>
      <c r="B96" s="162" t="s">
        <v>165</v>
      </c>
      <c r="C96" s="162"/>
      <c r="D96" s="162"/>
      <c r="E96" s="162"/>
      <c r="F96" s="162"/>
      <c r="G96" s="3"/>
    </row>
    <row r="97" spans="1:7" ht="15.75" customHeight="1">
      <c r="A97" s="90"/>
      <c r="B97" s="158" t="s">
        <v>6</v>
      </c>
      <c r="C97" s="158"/>
      <c r="D97" s="158"/>
      <c r="E97" s="158"/>
      <c r="F97" s="158"/>
      <c r="G97" s="5"/>
    </row>
    <row r="98" spans="1:7" ht="15.75" customHeight="1">
      <c r="A98" s="10"/>
      <c r="B98" s="10"/>
      <c r="C98" s="10"/>
      <c r="D98" s="10"/>
      <c r="E98" s="10"/>
      <c r="F98" s="10"/>
      <c r="G98" s="10"/>
    </row>
    <row r="99" spans="1:7" ht="15.75" customHeight="1">
      <c r="A99" s="163" t="s">
        <v>7</v>
      </c>
      <c r="B99" s="163"/>
      <c r="C99" s="163"/>
      <c r="D99" s="163"/>
      <c r="E99" s="163"/>
      <c r="F99" s="163"/>
      <c r="G99" s="163"/>
    </row>
    <row r="100" spans="1:7" ht="15.75" customHeight="1">
      <c r="A100" s="163" t="s">
        <v>8</v>
      </c>
      <c r="B100" s="163"/>
      <c r="C100" s="163"/>
      <c r="D100" s="163"/>
      <c r="E100" s="163"/>
      <c r="F100" s="163"/>
      <c r="G100" s="163"/>
    </row>
    <row r="101" spans="1:7" ht="15.75">
      <c r="A101" s="164" t="s">
        <v>65</v>
      </c>
      <c r="B101" s="164"/>
      <c r="C101" s="164"/>
      <c r="D101" s="164"/>
      <c r="E101" s="164"/>
      <c r="F101" s="164"/>
      <c r="G101" s="164"/>
    </row>
    <row r="102" spans="1:7" ht="15.75" customHeight="1">
      <c r="A102" s="11"/>
    </row>
    <row r="103" spans="1:7" ht="15.75">
      <c r="A103" s="165" t="s">
        <v>9</v>
      </c>
      <c r="B103" s="165"/>
      <c r="C103" s="165"/>
      <c r="D103" s="165"/>
      <c r="E103" s="165"/>
      <c r="F103" s="165"/>
      <c r="G103" s="165"/>
    </row>
    <row r="104" spans="1:7" ht="15.75" customHeight="1">
      <c r="A104" s="4"/>
    </row>
    <row r="105" spans="1:7" ht="15.75">
      <c r="B105" s="87" t="s">
        <v>10</v>
      </c>
      <c r="C105" s="157" t="s">
        <v>170</v>
      </c>
      <c r="D105" s="157"/>
      <c r="E105" s="157"/>
      <c r="G105" s="89"/>
    </row>
    <row r="106" spans="1:7">
      <c r="A106" s="90"/>
      <c r="C106" s="158" t="s">
        <v>11</v>
      </c>
      <c r="D106" s="158"/>
      <c r="E106" s="158"/>
      <c r="G106" s="88" t="s">
        <v>12</v>
      </c>
    </row>
    <row r="107" spans="1:7" ht="15.75">
      <c r="A107" s="32"/>
      <c r="C107" s="12"/>
      <c r="D107" s="12"/>
      <c r="F107" s="12"/>
    </row>
    <row r="108" spans="1:7" ht="15.75" customHeight="1">
      <c r="B108" s="87" t="s">
        <v>13</v>
      </c>
      <c r="C108" s="159"/>
      <c r="D108" s="159"/>
      <c r="E108" s="159"/>
      <c r="G108" s="89"/>
    </row>
    <row r="109" spans="1:7" ht="15.75" customHeight="1">
      <c r="A109" s="90"/>
      <c r="C109" s="160" t="s">
        <v>11</v>
      </c>
      <c r="D109" s="160"/>
      <c r="E109" s="160"/>
      <c r="G109" s="88" t="s">
        <v>12</v>
      </c>
    </row>
    <row r="110" spans="1:7" ht="15.75" customHeight="1">
      <c r="A110" s="4" t="s">
        <v>14</v>
      </c>
    </row>
    <row r="111" spans="1:7">
      <c r="A111" s="161" t="s">
        <v>15</v>
      </c>
      <c r="B111" s="161"/>
      <c r="C111" s="161"/>
      <c r="D111" s="161"/>
      <c r="E111" s="161"/>
      <c r="F111" s="161"/>
      <c r="G111" s="161"/>
    </row>
    <row r="112" spans="1:7" ht="45" customHeight="1">
      <c r="A112" s="153" t="s">
        <v>16</v>
      </c>
      <c r="B112" s="153"/>
      <c r="C112" s="153"/>
      <c r="D112" s="153"/>
      <c r="E112" s="153"/>
      <c r="F112" s="153"/>
      <c r="G112" s="153"/>
    </row>
    <row r="113" spans="1:7" ht="30" customHeight="1">
      <c r="A113" s="153" t="s">
        <v>17</v>
      </c>
      <c r="B113" s="153"/>
      <c r="C113" s="153"/>
      <c r="D113" s="153"/>
      <c r="E113" s="153"/>
      <c r="F113" s="153"/>
      <c r="G113" s="153"/>
    </row>
    <row r="114" spans="1:7" ht="30" customHeight="1">
      <c r="A114" s="153" t="s">
        <v>21</v>
      </c>
      <c r="B114" s="153"/>
      <c r="C114" s="153"/>
      <c r="D114" s="153"/>
      <c r="E114" s="153"/>
      <c r="F114" s="153"/>
      <c r="G114" s="153"/>
    </row>
    <row r="115" spans="1:7" ht="15" customHeight="1">
      <c r="A115" s="153" t="s">
        <v>20</v>
      </c>
      <c r="B115" s="153"/>
      <c r="C115" s="153"/>
      <c r="D115" s="153"/>
      <c r="E115" s="153"/>
      <c r="F115" s="153"/>
      <c r="G115" s="153"/>
    </row>
  </sheetData>
  <mergeCells count="27">
    <mergeCell ref="A114:G114"/>
    <mergeCell ref="A115:G115"/>
    <mergeCell ref="A111:G111"/>
    <mergeCell ref="A112:G112"/>
    <mergeCell ref="A113:G113"/>
    <mergeCell ref="A3:G3"/>
    <mergeCell ref="A4:G4"/>
    <mergeCell ref="A5:G5"/>
    <mergeCell ref="A8:G8"/>
    <mergeCell ref="A10:G10"/>
    <mergeCell ref="A14:G14"/>
    <mergeCell ref="A28:G28"/>
    <mergeCell ref="A43:G43"/>
    <mergeCell ref="A54:G54"/>
    <mergeCell ref="A95:G95"/>
    <mergeCell ref="C108:E108"/>
    <mergeCell ref="C109:E109"/>
    <mergeCell ref="C105:E105"/>
    <mergeCell ref="C106:E106"/>
    <mergeCell ref="A15:G15"/>
    <mergeCell ref="B96:F96"/>
    <mergeCell ref="B97:F97"/>
    <mergeCell ref="A103:G103"/>
    <mergeCell ref="A99:G99"/>
    <mergeCell ref="A100:G100"/>
    <mergeCell ref="A101:G101"/>
    <mergeCell ref="A80:G8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221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222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42429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hidden="1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hidden="1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hidden="1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hidden="1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customHeight="1">
      <c r="A56" s="36">
        <v>17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18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hidden="1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hidden="1" customHeight="1">
      <c r="A73" s="36"/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v>0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19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20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I16+I17+I18+I20+I21+I24+I25+I26+I27+I37+I38+I39+I40+I41+I42+I49+I56+I59+I83+I84</f>
        <v>82257.651473666672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21</v>
      </c>
      <c r="B87" s="122" t="s">
        <v>182</v>
      </c>
      <c r="C87" s="20" t="s">
        <v>32</v>
      </c>
      <c r="D87" s="67"/>
      <c r="E87" s="16"/>
      <c r="F87" s="16">
        <v>3</v>
      </c>
      <c r="G87" s="16">
        <v>1835.8</v>
      </c>
      <c r="H87" s="16">
        <f>F87*G87/1000</f>
        <v>5.5073999999999996</v>
      </c>
      <c r="I87" s="16">
        <f>G87</f>
        <v>1835.8</v>
      </c>
    </row>
    <row r="88" spans="1:9" ht="31.5" customHeight="1">
      <c r="A88" s="36">
        <v>22</v>
      </c>
      <c r="B88" s="94" t="s">
        <v>88</v>
      </c>
      <c r="C88" s="20" t="s">
        <v>32</v>
      </c>
      <c r="D88" s="67"/>
      <c r="E88" s="16"/>
      <c r="F88" s="16">
        <v>7</v>
      </c>
      <c r="G88" s="16">
        <v>79.09</v>
      </c>
      <c r="H88" s="16">
        <f>F88*G88/1000</f>
        <v>0.55362999999999996</v>
      </c>
      <c r="I88" s="16">
        <f t="shared" ref="I88:I91" si="8">G88</f>
        <v>79.09</v>
      </c>
    </row>
    <row r="89" spans="1:9" ht="15.75" customHeight="1">
      <c r="A89" s="36">
        <v>23</v>
      </c>
      <c r="B89" s="94" t="s">
        <v>150</v>
      </c>
      <c r="C89" s="95" t="s">
        <v>111</v>
      </c>
      <c r="D89" s="67"/>
      <c r="E89" s="16"/>
      <c r="F89" s="16">
        <v>948</v>
      </c>
      <c r="G89" s="16">
        <v>50.68</v>
      </c>
      <c r="H89" s="123">
        <f>G89*F89/1000</f>
        <v>48.044640000000001</v>
      </c>
      <c r="I89" s="16">
        <f>G89*79</f>
        <v>4003.72</v>
      </c>
    </row>
    <row r="90" spans="1:9" ht="15.75" customHeight="1">
      <c r="A90" s="36">
        <v>24</v>
      </c>
      <c r="B90" s="94" t="s">
        <v>91</v>
      </c>
      <c r="C90" s="95" t="s">
        <v>111</v>
      </c>
      <c r="D90" s="36"/>
      <c r="E90" s="23"/>
      <c r="F90" s="23">
        <v>4</v>
      </c>
      <c r="G90" s="23">
        <v>180.15</v>
      </c>
      <c r="H90" s="124">
        <f>G90*F90/1000</f>
        <v>0.72060000000000002</v>
      </c>
      <c r="I90" s="16">
        <f t="shared" si="8"/>
        <v>180.15</v>
      </c>
    </row>
    <row r="91" spans="1:9" ht="15.75" customHeight="1">
      <c r="A91" s="36">
        <v>25</v>
      </c>
      <c r="B91" s="94" t="s">
        <v>183</v>
      </c>
      <c r="C91" s="99" t="s">
        <v>184</v>
      </c>
      <c r="D91" s="67"/>
      <c r="E91" s="16"/>
      <c r="F91" s="16">
        <v>1</v>
      </c>
      <c r="G91" s="16">
        <v>172.17</v>
      </c>
      <c r="H91" s="124">
        <f>G91*F91/1000</f>
        <v>0.17216999999999999</v>
      </c>
      <c r="I91" s="16">
        <f t="shared" si="8"/>
        <v>172.17</v>
      </c>
    </row>
    <row r="92" spans="1:9" ht="15.75" customHeight="1">
      <c r="A92" s="36">
        <v>26</v>
      </c>
      <c r="B92" s="94" t="s">
        <v>185</v>
      </c>
      <c r="C92" s="95" t="s">
        <v>186</v>
      </c>
      <c r="D92" s="36"/>
      <c r="E92" s="23"/>
      <c r="F92" s="23">
        <v>2</v>
      </c>
      <c r="G92" s="23">
        <v>195.95</v>
      </c>
      <c r="H92" s="124">
        <f>G92*F92/1000</f>
        <v>0.39189999999999997</v>
      </c>
      <c r="I92" s="16">
        <f>G92*2</f>
        <v>391.9</v>
      </c>
    </row>
    <row r="93" spans="1:9" ht="31.5" hidden="1" customHeight="1">
      <c r="A93" s="36"/>
      <c r="B93" s="94" t="s">
        <v>163</v>
      </c>
      <c r="C93" s="95" t="s">
        <v>149</v>
      </c>
      <c r="D93" s="36"/>
      <c r="E93" s="23"/>
      <c r="F93" s="23">
        <v>5</v>
      </c>
      <c r="G93" s="23">
        <v>559.62</v>
      </c>
      <c r="H93" s="124">
        <f>G93*F93/1000</f>
        <v>2.7980999999999998</v>
      </c>
      <c r="I93" s="16">
        <v>0</v>
      </c>
    </row>
    <row r="94" spans="1:9" ht="31.5" hidden="1" customHeight="1">
      <c r="A94" s="36"/>
      <c r="B94" s="94" t="s">
        <v>187</v>
      </c>
      <c r="C94" s="20" t="s">
        <v>90</v>
      </c>
      <c r="D94" s="67"/>
      <c r="E94" s="16"/>
      <c r="F94" s="16">
        <v>38</v>
      </c>
      <c r="G94" s="16">
        <v>1206</v>
      </c>
      <c r="H94" s="123">
        <f t="shared" ref="H94:H103" si="9">G94*F94/1000</f>
        <v>45.828000000000003</v>
      </c>
      <c r="I94" s="16">
        <v>0</v>
      </c>
    </row>
    <row r="95" spans="1:9" ht="31.5" hidden="1" customHeight="1">
      <c r="A95" s="36"/>
      <c r="B95" s="94" t="s">
        <v>188</v>
      </c>
      <c r="C95" s="20" t="s">
        <v>90</v>
      </c>
      <c r="D95" s="67"/>
      <c r="E95" s="16"/>
      <c r="F95" s="16">
        <v>17</v>
      </c>
      <c r="G95" s="16">
        <v>1146</v>
      </c>
      <c r="H95" s="123">
        <f t="shared" si="9"/>
        <v>19.481999999999999</v>
      </c>
      <c r="I95" s="16">
        <v>0</v>
      </c>
    </row>
    <row r="96" spans="1:9" ht="31.5" hidden="1" customHeight="1">
      <c r="A96" s="36"/>
      <c r="B96" s="94" t="s">
        <v>189</v>
      </c>
      <c r="C96" s="20" t="s">
        <v>90</v>
      </c>
      <c r="D96" s="67"/>
      <c r="E96" s="16"/>
      <c r="F96" s="16">
        <v>2</v>
      </c>
      <c r="G96" s="16">
        <v>1272</v>
      </c>
      <c r="H96" s="123">
        <f t="shared" si="9"/>
        <v>2.544</v>
      </c>
      <c r="I96" s="16">
        <v>0</v>
      </c>
    </row>
    <row r="97" spans="1:9" ht="31.5" hidden="1" customHeight="1">
      <c r="A97" s="36"/>
      <c r="B97" s="94" t="s">
        <v>190</v>
      </c>
      <c r="C97" s="95" t="s">
        <v>191</v>
      </c>
      <c r="D97" s="67"/>
      <c r="E97" s="16"/>
      <c r="F97" s="16">
        <v>2</v>
      </c>
      <c r="G97" s="16">
        <v>51.39</v>
      </c>
      <c r="H97" s="123">
        <f t="shared" si="9"/>
        <v>0.10278</v>
      </c>
      <c r="I97" s="16">
        <v>0</v>
      </c>
    </row>
    <row r="98" spans="1:9" ht="31.5" hidden="1" customHeight="1">
      <c r="A98" s="36"/>
      <c r="B98" s="94" t="s">
        <v>192</v>
      </c>
      <c r="C98" s="95" t="s">
        <v>149</v>
      </c>
      <c r="D98" s="36"/>
      <c r="E98" s="23"/>
      <c r="F98" s="23">
        <v>1</v>
      </c>
      <c r="G98" s="23">
        <v>223.25</v>
      </c>
      <c r="H98" s="124">
        <f t="shared" si="9"/>
        <v>0.22325</v>
      </c>
      <c r="I98" s="16">
        <v>0</v>
      </c>
    </row>
    <row r="99" spans="1:9" ht="31.5" hidden="1" customHeight="1">
      <c r="A99" s="36"/>
      <c r="B99" s="94" t="s">
        <v>193</v>
      </c>
      <c r="C99" s="95" t="s">
        <v>149</v>
      </c>
      <c r="D99" s="36"/>
      <c r="E99" s="23"/>
      <c r="F99" s="23">
        <v>1</v>
      </c>
      <c r="G99" s="23">
        <v>290.67</v>
      </c>
      <c r="H99" s="124">
        <f t="shared" si="9"/>
        <v>0.29067000000000004</v>
      </c>
      <c r="I99" s="16">
        <v>0</v>
      </c>
    </row>
    <row r="100" spans="1:9" ht="31.5" hidden="1" customHeight="1">
      <c r="A100" s="36"/>
      <c r="B100" s="94" t="s">
        <v>194</v>
      </c>
      <c r="C100" s="95" t="s">
        <v>149</v>
      </c>
      <c r="D100" s="36"/>
      <c r="E100" s="23"/>
      <c r="F100" s="23">
        <v>1</v>
      </c>
      <c r="G100" s="23">
        <v>762.37</v>
      </c>
      <c r="H100" s="124">
        <f t="shared" si="9"/>
        <v>0.76236999999999999</v>
      </c>
      <c r="I100" s="16">
        <v>0</v>
      </c>
    </row>
    <row r="101" spans="1:9" ht="15.75" hidden="1" customHeight="1">
      <c r="A101" s="36"/>
      <c r="B101" s="94" t="s">
        <v>148</v>
      </c>
      <c r="C101" s="95" t="s">
        <v>149</v>
      </c>
      <c r="D101" s="36"/>
      <c r="E101" s="23"/>
      <c r="F101" s="23">
        <v>4</v>
      </c>
      <c r="G101" s="23">
        <v>476.76</v>
      </c>
      <c r="H101" s="124">
        <f t="shared" si="9"/>
        <v>1.9070400000000001</v>
      </c>
      <c r="I101" s="16">
        <v>0</v>
      </c>
    </row>
    <row r="102" spans="1:9" ht="15.75" hidden="1" customHeight="1">
      <c r="A102" s="36"/>
      <c r="B102" s="94" t="s">
        <v>195</v>
      </c>
      <c r="C102" s="95" t="s">
        <v>196</v>
      </c>
      <c r="D102" s="36"/>
      <c r="E102" s="23"/>
      <c r="F102" s="23">
        <v>0.01</v>
      </c>
      <c r="G102" s="23">
        <v>7033.13</v>
      </c>
      <c r="H102" s="124">
        <f t="shared" si="9"/>
        <v>7.0331299999999999E-2</v>
      </c>
      <c r="I102" s="16">
        <v>0</v>
      </c>
    </row>
    <row r="103" spans="1:9" ht="15.75" hidden="1" customHeight="1">
      <c r="A103" s="36"/>
      <c r="B103" s="108" t="s">
        <v>158</v>
      </c>
      <c r="C103" s="109" t="s">
        <v>159</v>
      </c>
      <c r="D103" s="67"/>
      <c r="E103" s="16"/>
      <c r="F103" s="16">
        <f>58/3</f>
        <v>19.333333333333332</v>
      </c>
      <c r="G103" s="16">
        <v>1063.47</v>
      </c>
      <c r="H103" s="123">
        <f t="shared" si="9"/>
        <v>20.560419999999997</v>
      </c>
      <c r="I103" s="16">
        <v>0</v>
      </c>
    </row>
    <row r="104" spans="1:9" ht="31.5" hidden="1" customHeight="1">
      <c r="A104" s="36"/>
      <c r="B104" s="94" t="s">
        <v>92</v>
      </c>
      <c r="C104" s="95" t="s">
        <v>40</v>
      </c>
      <c r="D104" s="67"/>
      <c r="E104" s="16"/>
      <c r="F104" s="16">
        <v>7.0000000000000007E-2</v>
      </c>
      <c r="G104" s="16">
        <v>3397.65</v>
      </c>
      <c r="H104" s="123">
        <f>G104*F104/1000</f>
        <v>0.23783550000000003</v>
      </c>
      <c r="I104" s="16">
        <v>0</v>
      </c>
    </row>
    <row r="105" spans="1:9" ht="15.75" hidden="1" customHeight="1">
      <c r="A105" s="36"/>
      <c r="B105" s="94" t="s">
        <v>214</v>
      </c>
      <c r="C105" s="95" t="s">
        <v>90</v>
      </c>
      <c r="D105" s="67"/>
      <c r="E105" s="16"/>
      <c r="F105" s="16">
        <v>4</v>
      </c>
      <c r="G105" s="16">
        <v>664.36</v>
      </c>
      <c r="H105" s="123">
        <f>G105*F105/1000</f>
        <v>2.6574400000000002</v>
      </c>
      <c r="I105" s="16">
        <v>0</v>
      </c>
    </row>
    <row r="106" spans="1:9" ht="15.75" hidden="1" customHeight="1">
      <c r="A106" s="36"/>
      <c r="B106" s="94" t="s">
        <v>197</v>
      </c>
      <c r="C106" s="95" t="s">
        <v>149</v>
      </c>
      <c r="D106" s="67"/>
      <c r="E106" s="16"/>
      <c r="F106" s="16">
        <v>1</v>
      </c>
      <c r="G106" s="16">
        <v>454.22</v>
      </c>
      <c r="H106" s="123">
        <f>G106*F106/1000</f>
        <v>0.45422000000000001</v>
      </c>
      <c r="I106" s="16">
        <v>0</v>
      </c>
    </row>
    <row r="107" spans="1:9" ht="15.75" hidden="1" customHeight="1">
      <c r="A107" s="36"/>
      <c r="B107" s="94" t="s">
        <v>198</v>
      </c>
      <c r="C107" s="95" t="s">
        <v>111</v>
      </c>
      <c r="D107" s="67"/>
      <c r="E107" s="16"/>
      <c r="F107" s="16">
        <v>1</v>
      </c>
      <c r="G107" s="16">
        <v>45.79</v>
      </c>
      <c r="H107" s="123">
        <f t="shared" ref="H107:H113" si="10">G107*F107/1000</f>
        <v>4.5789999999999997E-2</v>
      </c>
      <c r="I107" s="16">
        <v>0</v>
      </c>
    </row>
    <row r="108" spans="1:9" ht="15.75" hidden="1" customHeight="1">
      <c r="A108" s="36"/>
      <c r="B108" s="94" t="s">
        <v>199</v>
      </c>
      <c r="C108" s="95" t="s">
        <v>111</v>
      </c>
      <c r="D108" s="67"/>
      <c r="E108" s="16"/>
      <c r="F108" s="16">
        <v>2</v>
      </c>
      <c r="G108" s="16">
        <v>78.89</v>
      </c>
      <c r="H108" s="123">
        <f t="shared" si="10"/>
        <v>0.15778</v>
      </c>
      <c r="I108" s="16">
        <v>0</v>
      </c>
    </row>
    <row r="109" spans="1:9" ht="15.75" hidden="1" customHeight="1">
      <c r="A109" s="36"/>
      <c r="B109" s="94" t="s">
        <v>200</v>
      </c>
      <c r="C109" s="95" t="s">
        <v>111</v>
      </c>
      <c r="D109" s="67"/>
      <c r="E109" s="16"/>
      <c r="F109" s="16">
        <v>2</v>
      </c>
      <c r="G109" s="16">
        <v>19.059999999999999</v>
      </c>
      <c r="H109" s="123">
        <f t="shared" si="10"/>
        <v>3.8119999999999994E-2</v>
      </c>
      <c r="I109" s="16">
        <v>0</v>
      </c>
    </row>
    <row r="110" spans="1:9" ht="15.75" hidden="1" customHeight="1">
      <c r="A110" s="36"/>
      <c r="B110" s="94" t="s">
        <v>201</v>
      </c>
      <c r="C110" s="99" t="s">
        <v>202</v>
      </c>
      <c r="D110" s="67"/>
      <c r="E110" s="16"/>
      <c r="F110" s="16">
        <v>1</v>
      </c>
      <c r="G110" s="16">
        <f>228.27</f>
        <v>228.27</v>
      </c>
      <c r="H110" s="123">
        <f t="shared" si="10"/>
        <v>0.22827</v>
      </c>
      <c r="I110" s="16">
        <v>0</v>
      </c>
    </row>
    <row r="111" spans="1:9" ht="31.5" hidden="1" customHeight="1">
      <c r="A111" s="36"/>
      <c r="B111" s="94" t="s">
        <v>162</v>
      </c>
      <c r="C111" s="20" t="s">
        <v>90</v>
      </c>
      <c r="D111" s="67"/>
      <c r="E111" s="16"/>
      <c r="F111" s="16">
        <v>12</v>
      </c>
      <c r="G111" s="16">
        <v>1187</v>
      </c>
      <c r="H111" s="123">
        <f t="shared" si="10"/>
        <v>14.244</v>
      </c>
      <c r="I111" s="16">
        <v>0</v>
      </c>
    </row>
    <row r="112" spans="1:9" ht="15.75" hidden="1" customHeight="1">
      <c r="A112" s="36"/>
      <c r="B112" s="94" t="s">
        <v>215</v>
      </c>
      <c r="C112" s="95" t="s">
        <v>111</v>
      </c>
      <c r="D112" s="67"/>
      <c r="E112" s="16"/>
      <c r="F112" s="16">
        <v>2</v>
      </c>
      <c r="G112" s="16">
        <v>29282.880000000001</v>
      </c>
      <c r="H112" s="123">
        <f t="shared" si="10"/>
        <v>58.565760000000004</v>
      </c>
      <c r="I112" s="16">
        <v>0</v>
      </c>
    </row>
    <row r="113" spans="1:9" ht="31.5" hidden="1" customHeight="1">
      <c r="A113" s="36"/>
      <c r="B113" s="94" t="s">
        <v>203</v>
      </c>
      <c r="C113" s="20" t="s">
        <v>90</v>
      </c>
      <c r="D113" s="67"/>
      <c r="E113" s="16"/>
      <c r="F113" s="16">
        <v>1.5</v>
      </c>
      <c r="G113" s="16">
        <v>2121</v>
      </c>
      <c r="H113" s="123">
        <f t="shared" si="10"/>
        <v>3.1815000000000002</v>
      </c>
      <c r="I113" s="16">
        <v>0</v>
      </c>
    </row>
    <row r="114" spans="1:9" ht="15.75" hidden="1" customHeight="1">
      <c r="A114" s="36"/>
      <c r="B114" s="94" t="s">
        <v>204</v>
      </c>
      <c r="C114" s="20" t="s">
        <v>111</v>
      </c>
      <c r="D114" s="67"/>
      <c r="E114" s="16"/>
      <c r="F114" s="16">
        <v>1</v>
      </c>
      <c r="G114" s="16">
        <v>470</v>
      </c>
      <c r="H114" s="123">
        <v>0.47</v>
      </c>
      <c r="I114" s="16">
        <v>0</v>
      </c>
    </row>
    <row r="115" spans="1:9" ht="15.75" hidden="1" customHeight="1">
      <c r="A115" s="36"/>
      <c r="B115" s="94" t="s">
        <v>205</v>
      </c>
      <c r="C115" s="95" t="s">
        <v>111</v>
      </c>
      <c r="D115" s="67"/>
      <c r="E115" s="16"/>
      <c r="F115" s="16">
        <v>1</v>
      </c>
      <c r="G115" s="16">
        <v>53.17</v>
      </c>
      <c r="H115" s="123">
        <f t="shared" ref="H115:H123" si="11">G115*F115/1000</f>
        <v>5.3170000000000002E-2</v>
      </c>
      <c r="I115" s="16">
        <v>0</v>
      </c>
    </row>
    <row r="116" spans="1:9" ht="15.75" hidden="1" customHeight="1">
      <c r="A116" s="36"/>
      <c r="B116" s="94" t="s">
        <v>206</v>
      </c>
      <c r="C116" s="95" t="s">
        <v>111</v>
      </c>
      <c r="D116" s="67"/>
      <c r="E116" s="16"/>
      <c r="F116" s="16">
        <v>2</v>
      </c>
      <c r="G116" s="16">
        <v>109.73</v>
      </c>
      <c r="H116" s="123">
        <f t="shared" si="11"/>
        <v>0.21946000000000002</v>
      </c>
      <c r="I116" s="16">
        <v>0</v>
      </c>
    </row>
    <row r="117" spans="1:9" ht="31.5" hidden="1" customHeight="1">
      <c r="A117" s="36"/>
      <c r="B117" s="94" t="s">
        <v>207</v>
      </c>
      <c r="C117" s="95" t="s">
        <v>208</v>
      </c>
      <c r="D117" s="67"/>
      <c r="E117" s="16"/>
      <c r="F117" s="16">
        <f>15/10</f>
        <v>1.5</v>
      </c>
      <c r="G117" s="16">
        <v>99.06</v>
      </c>
      <c r="H117" s="123">
        <f t="shared" si="11"/>
        <v>0.14859</v>
      </c>
      <c r="I117" s="16">
        <v>0</v>
      </c>
    </row>
    <row r="118" spans="1:9" ht="15.75" hidden="1" customHeight="1">
      <c r="A118" s="36"/>
      <c r="B118" s="94" t="s">
        <v>209</v>
      </c>
      <c r="C118" s="95" t="s">
        <v>210</v>
      </c>
      <c r="D118" s="67"/>
      <c r="E118" s="16"/>
      <c r="F118" s="16">
        <v>15</v>
      </c>
      <c r="G118" s="16">
        <v>83.63</v>
      </c>
      <c r="H118" s="123">
        <f t="shared" si="11"/>
        <v>1.2544499999999998</v>
      </c>
      <c r="I118" s="16">
        <v>0</v>
      </c>
    </row>
    <row r="119" spans="1:9" ht="15.75" hidden="1" customHeight="1">
      <c r="A119" s="36"/>
      <c r="B119" s="94" t="s">
        <v>211</v>
      </c>
      <c r="C119" s="95" t="s">
        <v>111</v>
      </c>
      <c r="D119" s="67"/>
      <c r="E119" s="16"/>
      <c r="F119" s="16">
        <v>1</v>
      </c>
      <c r="G119" s="16">
        <v>2179.33</v>
      </c>
      <c r="H119" s="123">
        <f t="shared" si="11"/>
        <v>2.1793299999999998</v>
      </c>
      <c r="I119" s="16">
        <v>0</v>
      </c>
    </row>
    <row r="120" spans="1:9" ht="15.75" hidden="1" customHeight="1">
      <c r="A120" s="36"/>
      <c r="B120" s="94" t="s">
        <v>212</v>
      </c>
      <c r="C120" s="95" t="s">
        <v>111</v>
      </c>
      <c r="D120" s="67"/>
      <c r="E120" s="16"/>
      <c r="F120" s="16">
        <v>5</v>
      </c>
      <c r="G120" s="16">
        <v>1061.4100000000001</v>
      </c>
      <c r="H120" s="123">
        <f t="shared" si="11"/>
        <v>5.3070500000000003</v>
      </c>
      <c r="I120" s="16">
        <v>0</v>
      </c>
    </row>
    <row r="121" spans="1:9" ht="15.75" hidden="1" customHeight="1">
      <c r="A121" s="36"/>
      <c r="B121" s="125" t="s">
        <v>94</v>
      </c>
      <c r="C121" s="95" t="s">
        <v>111</v>
      </c>
      <c r="D121" s="67"/>
      <c r="E121" s="16"/>
      <c r="F121" s="16">
        <v>1</v>
      </c>
      <c r="G121" s="16">
        <v>179.96</v>
      </c>
      <c r="H121" s="123">
        <f t="shared" si="11"/>
        <v>0.17996000000000001</v>
      </c>
      <c r="I121" s="16">
        <v>0</v>
      </c>
    </row>
    <row r="122" spans="1:9" ht="31.5" hidden="1" customHeight="1">
      <c r="A122" s="36"/>
      <c r="B122" s="94" t="s">
        <v>213</v>
      </c>
      <c r="C122" s="95" t="s">
        <v>154</v>
      </c>
      <c r="D122" s="67"/>
      <c r="E122" s="16"/>
      <c r="F122" s="16">
        <f>0.3/10</f>
        <v>0.03</v>
      </c>
      <c r="G122" s="16">
        <v>9750.4599999999991</v>
      </c>
      <c r="H122" s="123">
        <f t="shared" si="11"/>
        <v>0.29251379999999993</v>
      </c>
      <c r="I122" s="16">
        <v>0</v>
      </c>
    </row>
    <row r="123" spans="1:9" ht="31.5" hidden="1" customHeight="1">
      <c r="A123" s="36"/>
      <c r="B123" s="94" t="s">
        <v>153</v>
      </c>
      <c r="C123" s="99" t="s">
        <v>154</v>
      </c>
      <c r="D123" s="67"/>
      <c r="E123" s="16"/>
      <c r="F123" s="16">
        <f>(0.273+0.519)/10</f>
        <v>7.9200000000000007E-2</v>
      </c>
      <c r="G123" s="16">
        <v>8916.31</v>
      </c>
      <c r="H123" s="123">
        <f t="shared" si="11"/>
        <v>0.70617175199999993</v>
      </c>
      <c r="I123" s="16">
        <v>0</v>
      </c>
    </row>
    <row r="124" spans="1:9">
      <c r="A124" s="36"/>
      <c r="B124" s="61" t="s">
        <v>54</v>
      </c>
      <c r="C124" s="57"/>
      <c r="D124" s="70"/>
      <c r="E124" s="57">
        <v>1</v>
      </c>
      <c r="F124" s="57"/>
      <c r="G124" s="57"/>
      <c r="H124" s="57"/>
      <c r="I124" s="39">
        <f>SUM(I87:I123)</f>
        <v>6662.829999999999</v>
      </c>
    </row>
    <row r="125" spans="1:9" ht="15.75" customHeight="1">
      <c r="A125" s="36"/>
      <c r="B125" s="67" t="s">
        <v>86</v>
      </c>
      <c r="C125" s="19"/>
      <c r="D125" s="19"/>
      <c r="E125" s="58"/>
      <c r="F125" s="58"/>
      <c r="G125" s="59"/>
      <c r="H125" s="59"/>
      <c r="I125" s="22">
        <v>0</v>
      </c>
    </row>
    <row r="126" spans="1:9" ht="15.75" customHeight="1">
      <c r="A126" s="71"/>
      <c r="B126" s="62" t="s">
        <v>55</v>
      </c>
      <c r="C126" s="45"/>
      <c r="D126" s="45"/>
      <c r="E126" s="45"/>
      <c r="F126" s="45"/>
      <c r="G126" s="45"/>
      <c r="H126" s="45"/>
      <c r="I126" s="60">
        <f>I85+I124</f>
        <v>88920.481473666674</v>
      </c>
    </row>
    <row r="127" spans="1:9" ht="15.75">
      <c r="A127" s="167" t="s">
        <v>223</v>
      </c>
      <c r="B127" s="167"/>
      <c r="C127" s="167"/>
      <c r="D127" s="167"/>
      <c r="E127" s="167"/>
      <c r="F127" s="167"/>
      <c r="G127" s="167"/>
      <c r="H127" s="167"/>
      <c r="I127" s="167"/>
    </row>
    <row r="128" spans="1:9" ht="15.75" customHeight="1">
      <c r="A128" s="106"/>
      <c r="B128" s="162" t="s">
        <v>224</v>
      </c>
      <c r="C128" s="162"/>
      <c r="D128" s="162"/>
      <c r="E128" s="162"/>
      <c r="F128" s="162"/>
      <c r="G128" s="162"/>
      <c r="H128" s="121"/>
      <c r="I128" s="3"/>
    </row>
    <row r="129" spans="1:9" ht="15.75" customHeight="1">
      <c r="A129" s="112"/>
      <c r="B129" s="158" t="s">
        <v>6</v>
      </c>
      <c r="C129" s="158"/>
      <c r="D129" s="158"/>
      <c r="E129" s="158"/>
      <c r="F129" s="158"/>
      <c r="G129" s="158"/>
      <c r="H129" s="31"/>
      <c r="I129" s="5"/>
    </row>
    <row r="130" spans="1:9" ht="15.75" customHeight="1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5.75" customHeight="1">
      <c r="A131" s="163" t="s">
        <v>7</v>
      </c>
      <c r="B131" s="163"/>
      <c r="C131" s="163"/>
      <c r="D131" s="163"/>
      <c r="E131" s="163"/>
      <c r="F131" s="163"/>
      <c r="G131" s="163"/>
      <c r="H131" s="163"/>
      <c r="I131" s="163"/>
    </row>
    <row r="132" spans="1:9" ht="15.75" customHeight="1">
      <c r="A132" s="163" t="s">
        <v>8</v>
      </c>
      <c r="B132" s="163"/>
      <c r="C132" s="163"/>
      <c r="D132" s="163"/>
      <c r="E132" s="163"/>
      <c r="F132" s="163"/>
      <c r="G132" s="163"/>
      <c r="H132" s="163"/>
      <c r="I132" s="163"/>
    </row>
    <row r="133" spans="1:9" ht="15.75">
      <c r="A133" s="164" t="s">
        <v>65</v>
      </c>
      <c r="B133" s="164"/>
      <c r="C133" s="164"/>
      <c r="D133" s="164"/>
      <c r="E133" s="164"/>
      <c r="F133" s="164"/>
      <c r="G133" s="164"/>
      <c r="H133" s="164"/>
      <c r="I133" s="164"/>
    </row>
    <row r="134" spans="1:9" ht="15.75" customHeight="1">
      <c r="A134" s="11"/>
    </row>
    <row r="135" spans="1:9" ht="15.75">
      <c r="A135" s="165" t="s">
        <v>9</v>
      </c>
      <c r="B135" s="165"/>
      <c r="C135" s="165"/>
      <c r="D135" s="165"/>
      <c r="E135" s="165"/>
      <c r="F135" s="165"/>
      <c r="G135" s="165"/>
      <c r="H135" s="165"/>
      <c r="I135" s="165"/>
    </row>
    <row r="136" spans="1:9" ht="15.75" customHeight="1">
      <c r="A136" s="4"/>
    </row>
    <row r="137" spans="1:9" ht="15.75">
      <c r="B137" s="115" t="s">
        <v>10</v>
      </c>
      <c r="C137" s="157" t="s">
        <v>170</v>
      </c>
      <c r="D137" s="157"/>
      <c r="E137" s="157"/>
      <c r="F137" s="119"/>
      <c r="I137" s="116"/>
    </row>
    <row r="138" spans="1:9">
      <c r="A138" s="112"/>
      <c r="C138" s="158" t="s">
        <v>11</v>
      </c>
      <c r="D138" s="158"/>
      <c r="E138" s="158"/>
      <c r="F138" s="31"/>
      <c r="I138" s="114" t="s">
        <v>12</v>
      </c>
    </row>
    <row r="139" spans="1:9" ht="15.75">
      <c r="A139" s="32"/>
      <c r="C139" s="12"/>
      <c r="D139" s="12"/>
      <c r="G139" s="12"/>
      <c r="H139" s="12"/>
    </row>
    <row r="140" spans="1:9" ht="15.75" customHeight="1">
      <c r="B140" s="115" t="s">
        <v>13</v>
      </c>
      <c r="C140" s="159"/>
      <c r="D140" s="159"/>
      <c r="E140" s="159"/>
      <c r="F140" s="120"/>
      <c r="I140" s="116"/>
    </row>
    <row r="141" spans="1:9" ht="15.75" customHeight="1">
      <c r="A141" s="112"/>
      <c r="C141" s="160" t="s">
        <v>11</v>
      </c>
      <c r="D141" s="160"/>
      <c r="E141" s="160"/>
      <c r="F141" s="112"/>
      <c r="I141" s="114" t="s">
        <v>12</v>
      </c>
    </row>
    <row r="142" spans="1:9" ht="15.75" customHeight="1">
      <c r="A142" s="4" t="s">
        <v>14</v>
      </c>
    </row>
    <row r="143" spans="1:9">
      <c r="A143" s="161" t="s">
        <v>15</v>
      </c>
      <c r="B143" s="161"/>
      <c r="C143" s="161"/>
      <c r="D143" s="161"/>
      <c r="E143" s="161"/>
      <c r="F143" s="161"/>
      <c r="G143" s="161"/>
      <c r="H143" s="161"/>
      <c r="I143" s="161"/>
    </row>
    <row r="144" spans="1:9" ht="45" customHeight="1">
      <c r="A144" s="153" t="s">
        <v>16</v>
      </c>
      <c r="B144" s="153"/>
      <c r="C144" s="153"/>
      <c r="D144" s="153"/>
      <c r="E144" s="153"/>
      <c r="F144" s="153"/>
      <c r="G144" s="153"/>
      <c r="H144" s="153"/>
      <c r="I144" s="153"/>
    </row>
    <row r="145" spans="1:9" ht="30" customHeight="1">
      <c r="A145" s="153" t="s">
        <v>17</v>
      </c>
      <c r="B145" s="153"/>
      <c r="C145" s="153"/>
      <c r="D145" s="153"/>
      <c r="E145" s="153"/>
      <c r="F145" s="153"/>
      <c r="G145" s="153"/>
      <c r="H145" s="153"/>
      <c r="I145" s="153"/>
    </row>
    <row r="146" spans="1:9" ht="30" customHeight="1">
      <c r="A146" s="153" t="s">
        <v>21</v>
      </c>
      <c r="B146" s="153"/>
      <c r="C146" s="153"/>
      <c r="D146" s="153"/>
      <c r="E146" s="153"/>
      <c r="F146" s="153"/>
      <c r="G146" s="153"/>
      <c r="H146" s="153"/>
      <c r="I146" s="153"/>
    </row>
    <row r="147" spans="1:9" ht="15" customHeight="1">
      <c r="A147" s="153" t="s">
        <v>20</v>
      </c>
      <c r="B147" s="153"/>
      <c r="C147" s="153"/>
      <c r="D147" s="153"/>
      <c r="E147" s="153"/>
      <c r="F147" s="153"/>
      <c r="G147" s="153"/>
      <c r="H147" s="153"/>
      <c r="I147" s="153"/>
    </row>
  </sheetData>
  <mergeCells count="27">
    <mergeCell ref="A145:I145"/>
    <mergeCell ref="A146:I146"/>
    <mergeCell ref="A147:I147"/>
    <mergeCell ref="C137:E137"/>
    <mergeCell ref="C138:E138"/>
    <mergeCell ref="C140:E140"/>
    <mergeCell ref="C141:E141"/>
    <mergeCell ref="A143:I143"/>
    <mergeCell ref="A144:I144"/>
    <mergeCell ref="A135:I135"/>
    <mergeCell ref="A15:I15"/>
    <mergeCell ref="A28:I28"/>
    <mergeCell ref="A43:I43"/>
    <mergeCell ref="A54:I54"/>
    <mergeCell ref="A82:I82"/>
    <mergeCell ref="A127:I127"/>
    <mergeCell ref="B128:G128"/>
    <mergeCell ref="B129:G129"/>
    <mergeCell ref="A131:I131"/>
    <mergeCell ref="A132:I132"/>
    <mergeCell ref="A133:I13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225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226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42460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hidden="1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hidden="1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hidden="1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hidden="1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hidden="1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172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customHeight="1">
      <c r="A56" s="36">
        <v>16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17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customHeight="1">
      <c r="A73" s="36">
        <v>18</v>
      </c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f>G73*1.2</f>
        <v>601.94399999999996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173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19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20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I16+I17+I18+I20+I21+I24+I25+I26+I27+I37+I38+I39+I40+I41+I42+I56+I59+I73+I83+I84</f>
        <v>80399.972333666665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21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31.5" customHeight="1">
      <c r="A88" s="36">
        <v>22</v>
      </c>
      <c r="B88" s="94" t="s">
        <v>163</v>
      </c>
      <c r="C88" s="95" t="s">
        <v>149</v>
      </c>
      <c r="D88" s="36"/>
      <c r="E88" s="23"/>
      <c r="F88" s="23">
        <v>5</v>
      </c>
      <c r="G88" s="23">
        <v>559.62</v>
      </c>
      <c r="H88" s="124">
        <f>G88*F88/1000</f>
        <v>2.7980999999999998</v>
      </c>
      <c r="I88" s="16">
        <f>G88*3</f>
        <v>1678.8600000000001</v>
      </c>
    </row>
    <row r="89" spans="1:9">
      <c r="A89" s="36"/>
      <c r="B89" s="61" t="s">
        <v>54</v>
      </c>
      <c r="C89" s="57"/>
      <c r="D89" s="70"/>
      <c r="E89" s="57">
        <v>1</v>
      </c>
      <c r="F89" s="57"/>
      <c r="G89" s="57"/>
      <c r="H89" s="57"/>
      <c r="I89" s="39">
        <f>SUM(I87:I88)</f>
        <v>5682.58</v>
      </c>
    </row>
    <row r="90" spans="1:9" ht="15.75" customHeight="1">
      <c r="A90" s="36"/>
      <c r="B90" s="67" t="s">
        <v>86</v>
      </c>
      <c r="C90" s="19"/>
      <c r="D90" s="19"/>
      <c r="E90" s="58"/>
      <c r="F90" s="58"/>
      <c r="G90" s="59"/>
      <c r="H90" s="59"/>
      <c r="I90" s="22">
        <v>0</v>
      </c>
    </row>
    <row r="91" spans="1:9" ht="15.75" customHeight="1">
      <c r="A91" s="71"/>
      <c r="B91" s="62" t="s">
        <v>55</v>
      </c>
      <c r="C91" s="45"/>
      <c r="D91" s="45"/>
      <c r="E91" s="45"/>
      <c r="F91" s="45"/>
      <c r="G91" s="45"/>
      <c r="H91" s="45"/>
      <c r="I91" s="60">
        <f>I85+I89</f>
        <v>86082.552333666667</v>
      </c>
    </row>
    <row r="92" spans="1:9" ht="15.75">
      <c r="A92" s="167" t="s">
        <v>227</v>
      </c>
      <c r="B92" s="167"/>
      <c r="C92" s="167"/>
      <c r="D92" s="167"/>
      <c r="E92" s="167"/>
      <c r="F92" s="167"/>
      <c r="G92" s="167"/>
      <c r="H92" s="167"/>
      <c r="I92" s="167"/>
    </row>
    <row r="93" spans="1:9" ht="15.75" customHeight="1">
      <c r="A93" s="106"/>
      <c r="B93" s="162" t="s">
        <v>228</v>
      </c>
      <c r="C93" s="162"/>
      <c r="D93" s="162"/>
      <c r="E93" s="162"/>
      <c r="F93" s="162"/>
      <c r="G93" s="162"/>
      <c r="H93" s="121"/>
      <c r="I93" s="3"/>
    </row>
    <row r="94" spans="1:9" ht="15.75" customHeight="1">
      <c r="A94" s="112"/>
      <c r="B94" s="158" t="s">
        <v>6</v>
      </c>
      <c r="C94" s="158"/>
      <c r="D94" s="158"/>
      <c r="E94" s="158"/>
      <c r="F94" s="158"/>
      <c r="G94" s="158"/>
      <c r="H94" s="31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63" t="s">
        <v>7</v>
      </c>
      <c r="B96" s="163"/>
      <c r="C96" s="163"/>
      <c r="D96" s="163"/>
      <c r="E96" s="163"/>
      <c r="F96" s="163"/>
      <c r="G96" s="163"/>
      <c r="H96" s="163"/>
      <c r="I96" s="163"/>
    </row>
    <row r="97" spans="1:9" ht="15.75" customHeight="1">
      <c r="A97" s="163" t="s">
        <v>8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>
      <c r="A98" s="164" t="s">
        <v>65</v>
      </c>
      <c r="B98" s="164"/>
      <c r="C98" s="164"/>
      <c r="D98" s="164"/>
      <c r="E98" s="164"/>
      <c r="F98" s="164"/>
      <c r="G98" s="164"/>
      <c r="H98" s="164"/>
      <c r="I98" s="164"/>
    </row>
    <row r="99" spans="1:9" ht="15.75" customHeight="1">
      <c r="A99" s="11"/>
    </row>
    <row r="100" spans="1:9" ht="15.75">
      <c r="A100" s="165" t="s">
        <v>9</v>
      </c>
      <c r="B100" s="165"/>
      <c r="C100" s="165"/>
      <c r="D100" s="165"/>
      <c r="E100" s="165"/>
      <c r="F100" s="165"/>
      <c r="G100" s="165"/>
      <c r="H100" s="165"/>
      <c r="I100" s="165"/>
    </row>
    <row r="101" spans="1:9" ht="15.75" customHeight="1">
      <c r="A101" s="4"/>
    </row>
    <row r="102" spans="1:9" ht="15.75">
      <c r="B102" s="115" t="s">
        <v>10</v>
      </c>
      <c r="C102" s="157" t="s">
        <v>170</v>
      </c>
      <c r="D102" s="157"/>
      <c r="E102" s="157"/>
      <c r="F102" s="119"/>
      <c r="I102" s="116"/>
    </row>
    <row r="103" spans="1:9">
      <c r="A103" s="112"/>
      <c r="C103" s="158" t="s">
        <v>11</v>
      </c>
      <c r="D103" s="158"/>
      <c r="E103" s="158"/>
      <c r="F103" s="31"/>
      <c r="I103" s="114" t="s">
        <v>12</v>
      </c>
    </row>
    <row r="104" spans="1:9" ht="15.75">
      <c r="A104" s="32"/>
      <c r="C104" s="12"/>
      <c r="D104" s="12"/>
      <c r="G104" s="12"/>
      <c r="H104" s="12"/>
    </row>
    <row r="105" spans="1:9" ht="15.75" customHeight="1">
      <c r="B105" s="115" t="s">
        <v>13</v>
      </c>
      <c r="C105" s="159"/>
      <c r="D105" s="159"/>
      <c r="E105" s="159"/>
      <c r="F105" s="120"/>
      <c r="I105" s="116"/>
    </row>
    <row r="106" spans="1:9" ht="15.75" customHeight="1">
      <c r="A106" s="112"/>
      <c r="C106" s="160" t="s">
        <v>11</v>
      </c>
      <c r="D106" s="160"/>
      <c r="E106" s="160"/>
      <c r="F106" s="112"/>
      <c r="I106" s="114" t="s">
        <v>12</v>
      </c>
    </row>
    <row r="107" spans="1:9" ht="15.75" customHeight="1">
      <c r="A107" s="4" t="s">
        <v>14</v>
      </c>
    </row>
    <row r="108" spans="1:9">
      <c r="A108" s="161" t="s">
        <v>15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45" customHeight="1">
      <c r="A109" s="153" t="s">
        <v>16</v>
      </c>
      <c r="B109" s="153"/>
      <c r="C109" s="153"/>
      <c r="D109" s="153"/>
      <c r="E109" s="153"/>
      <c r="F109" s="153"/>
      <c r="G109" s="153"/>
      <c r="H109" s="153"/>
      <c r="I109" s="153"/>
    </row>
    <row r="110" spans="1:9" ht="30" customHeight="1">
      <c r="A110" s="153" t="s">
        <v>17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30" customHeight="1">
      <c r="A111" s="153" t="s">
        <v>21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15" customHeight="1">
      <c r="A112" s="153" t="s">
        <v>20</v>
      </c>
      <c r="B112" s="153"/>
      <c r="C112" s="153"/>
      <c r="D112" s="153"/>
      <c r="E112" s="153"/>
      <c r="F112" s="153"/>
      <c r="G112" s="153"/>
      <c r="H112" s="153"/>
      <c r="I112" s="153"/>
    </row>
  </sheetData>
  <mergeCells count="27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3:I43"/>
    <mergeCell ref="A54:I54"/>
    <mergeCell ref="A82:I82"/>
    <mergeCell ref="A92:I92"/>
    <mergeCell ref="B93:G93"/>
    <mergeCell ref="B94:G94"/>
    <mergeCell ref="A96:I96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229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230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42490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hidden="1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hidden="1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hidden="1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hidden="1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customHeight="1">
      <c r="A53" s="36">
        <v>16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customHeight="1">
      <c r="A56" s="36">
        <v>17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18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customHeight="1">
      <c r="A73" s="36">
        <v>19</v>
      </c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f>G73*0.7</f>
        <v>351.13399999999996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customHeight="1">
      <c r="A75" s="36">
        <v>20</v>
      </c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f>G75*3</f>
        <v>299.54999999999995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21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22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I16+I17+I18+I20+I21+I24+I25+I26+I27+I37+I38+I39+I40+I41+I42+I53+I56+I59+I73+I75+I83+I84</f>
        <v>90955.912333666667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23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15.75" hidden="1" customHeight="1">
      <c r="A88" s="36"/>
      <c r="B88" s="94" t="s">
        <v>183</v>
      </c>
      <c r="C88" s="99" t="s">
        <v>184</v>
      </c>
      <c r="D88" s="67"/>
      <c r="E88" s="16"/>
      <c r="F88" s="16">
        <v>1</v>
      </c>
      <c r="G88" s="16">
        <v>172.17</v>
      </c>
      <c r="H88" s="124">
        <f>G88*F88/1000</f>
        <v>0.17216999999999999</v>
      </c>
      <c r="I88" s="16">
        <v>0</v>
      </c>
    </row>
    <row r="89" spans="1:9" ht="15.75" hidden="1" customHeight="1">
      <c r="A89" s="36"/>
      <c r="B89" s="94" t="s">
        <v>185</v>
      </c>
      <c r="C89" s="95" t="s">
        <v>186</v>
      </c>
      <c r="D89" s="36"/>
      <c r="E89" s="23"/>
      <c r="F89" s="23">
        <v>2</v>
      </c>
      <c r="G89" s="23">
        <v>195.95</v>
      </c>
      <c r="H89" s="124">
        <f>G89*F89/1000</f>
        <v>0.39189999999999997</v>
      </c>
      <c r="I89" s="16">
        <v>0</v>
      </c>
    </row>
    <row r="90" spans="1:9" ht="31.5" hidden="1" customHeight="1">
      <c r="A90" s="36"/>
      <c r="B90" s="94" t="s">
        <v>163</v>
      </c>
      <c r="C90" s="95" t="s">
        <v>149</v>
      </c>
      <c r="D90" s="36"/>
      <c r="E90" s="23"/>
      <c r="F90" s="23">
        <v>5</v>
      </c>
      <c r="G90" s="23">
        <v>559.62</v>
      </c>
      <c r="H90" s="124">
        <f>G90*F90/1000</f>
        <v>2.7980999999999998</v>
      </c>
      <c r="I90" s="16">
        <v>0</v>
      </c>
    </row>
    <row r="91" spans="1:9" ht="31.5" hidden="1" customHeight="1">
      <c r="A91" s="36"/>
      <c r="B91" s="94" t="s">
        <v>187</v>
      </c>
      <c r="C91" s="20" t="s">
        <v>90</v>
      </c>
      <c r="D91" s="67"/>
      <c r="E91" s="16"/>
      <c r="F91" s="16">
        <v>38</v>
      </c>
      <c r="G91" s="16">
        <v>1206</v>
      </c>
      <c r="H91" s="123">
        <f t="shared" ref="H91:H100" si="8">G91*F91/1000</f>
        <v>45.828000000000003</v>
      </c>
      <c r="I91" s="16">
        <v>0</v>
      </c>
    </row>
    <row r="92" spans="1:9" ht="31.5" hidden="1" customHeight="1">
      <c r="A92" s="36"/>
      <c r="B92" s="94" t="s">
        <v>188</v>
      </c>
      <c r="C92" s="20" t="s">
        <v>90</v>
      </c>
      <c r="D92" s="67"/>
      <c r="E92" s="16"/>
      <c r="F92" s="16">
        <v>17</v>
      </c>
      <c r="G92" s="16">
        <v>1146</v>
      </c>
      <c r="H92" s="123">
        <f t="shared" si="8"/>
        <v>19.481999999999999</v>
      </c>
      <c r="I92" s="16">
        <v>0</v>
      </c>
    </row>
    <row r="93" spans="1:9" ht="31.5" hidden="1" customHeight="1">
      <c r="A93" s="36"/>
      <c r="B93" s="94" t="s">
        <v>189</v>
      </c>
      <c r="C93" s="20" t="s">
        <v>90</v>
      </c>
      <c r="D93" s="67"/>
      <c r="E93" s="16"/>
      <c r="F93" s="16">
        <v>2</v>
      </c>
      <c r="G93" s="16">
        <v>1272</v>
      </c>
      <c r="H93" s="123">
        <f t="shared" si="8"/>
        <v>2.544</v>
      </c>
      <c r="I93" s="16">
        <v>0</v>
      </c>
    </row>
    <row r="94" spans="1:9" ht="31.5" hidden="1" customHeight="1">
      <c r="A94" s="36"/>
      <c r="B94" s="94" t="s">
        <v>190</v>
      </c>
      <c r="C94" s="95" t="s">
        <v>191</v>
      </c>
      <c r="D94" s="67"/>
      <c r="E94" s="16"/>
      <c r="F94" s="16">
        <v>2</v>
      </c>
      <c r="G94" s="16">
        <v>51.39</v>
      </c>
      <c r="H94" s="123">
        <f t="shared" si="8"/>
        <v>0.10278</v>
      </c>
      <c r="I94" s="16">
        <v>0</v>
      </c>
    </row>
    <row r="95" spans="1:9" ht="31.5" hidden="1" customHeight="1">
      <c r="A95" s="36"/>
      <c r="B95" s="94" t="s">
        <v>192</v>
      </c>
      <c r="C95" s="95" t="s">
        <v>149</v>
      </c>
      <c r="D95" s="36"/>
      <c r="E95" s="23"/>
      <c r="F95" s="23">
        <v>1</v>
      </c>
      <c r="G95" s="23">
        <v>223.25</v>
      </c>
      <c r="H95" s="124">
        <f t="shared" si="8"/>
        <v>0.22325</v>
      </c>
      <c r="I95" s="16">
        <v>0</v>
      </c>
    </row>
    <row r="96" spans="1:9" ht="31.5" hidden="1" customHeight="1">
      <c r="A96" s="36"/>
      <c r="B96" s="94" t="s">
        <v>193</v>
      </c>
      <c r="C96" s="95" t="s">
        <v>149</v>
      </c>
      <c r="D96" s="36"/>
      <c r="E96" s="23"/>
      <c r="F96" s="23">
        <v>1</v>
      </c>
      <c r="G96" s="23">
        <v>290.67</v>
      </c>
      <c r="H96" s="124">
        <f t="shared" si="8"/>
        <v>0.29067000000000004</v>
      </c>
      <c r="I96" s="16">
        <v>0</v>
      </c>
    </row>
    <row r="97" spans="1:9" ht="31.5" hidden="1" customHeight="1">
      <c r="A97" s="36"/>
      <c r="B97" s="94" t="s">
        <v>194</v>
      </c>
      <c r="C97" s="95" t="s">
        <v>149</v>
      </c>
      <c r="D97" s="36"/>
      <c r="E97" s="23"/>
      <c r="F97" s="23">
        <v>1</v>
      </c>
      <c r="G97" s="23">
        <v>762.37</v>
      </c>
      <c r="H97" s="124">
        <f t="shared" si="8"/>
        <v>0.76236999999999999</v>
      </c>
      <c r="I97" s="16">
        <v>0</v>
      </c>
    </row>
    <row r="98" spans="1:9" ht="15.75" hidden="1" customHeight="1">
      <c r="A98" s="36"/>
      <c r="B98" s="94" t="s">
        <v>148</v>
      </c>
      <c r="C98" s="95" t="s">
        <v>149</v>
      </c>
      <c r="D98" s="36"/>
      <c r="E98" s="23"/>
      <c r="F98" s="23">
        <v>4</v>
      </c>
      <c r="G98" s="23">
        <v>476.76</v>
      </c>
      <c r="H98" s="124">
        <f t="shared" si="8"/>
        <v>1.9070400000000001</v>
      </c>
      <c r="I98" s="16">
        <v>0</v>
      </c>
    </row>
    <row r="99" spans="1:9" ht="15.75" hidden="1" customHeight="1">
      <c r="A99" s="36"/>
      <c r="B99" s="94" t="s">
        <v>195</v>
      </c>
      <c r="C99" s="95" t="s">
        <v>196</v>
      </c>
      <c r="D99" s="36"/>
      <c r="E99" s="23"/>
      <c r="F99" s="23">
        <v>0.01</v>
      </c>
      <c r="G99" s="23">
        <v>7033.13</v>
      </c>
      <c r="H99" s="124">
        <f t="shared" si="8"/>
        <v>7.0331299999999999E-2</v>
      </c>
      <c r="I99" s="16">
        <v>0</v>
      </c>
    </row>
    <row r="100" spans="1:9" ht="15.75" hidden="1" customHeight="1">
      <c r="A100" s="36"/>
      <c r="B100" s="108" t="s">
        <v>158</v>
      </c>
      <c r="C100" s="109" t="s">
        <v>159</v>
      </c>
      <c r="D100" s="67"/>
      <c r="E100" s="16"/>
      <c r="F100" s="16">
        <f>58/3</f>
        <v>19.333333333333332</v>
      </c>
      <c r="G100" s="16">
        <v>1063.47</v>
      </c>
      <c r="H100" s="123">
        <f t="shared" si="8"/>
        <v>20.560419999999997</v>
      </c>
      <c r="I100" s="16">
        <v>0</v>
      </c>
    </row>
    <row r="101" spans="1:9" ht="31.5" hidden="1" customHeight="1">
      <c r="A101" s="36"/>
      <c r="B101" s="94" t="s">
        <v>92</v>
      </c>
      <c r="C101" s="95" t="s">
        <v>40</v>
      </c>
      <c r="D101" s="67"/>
      <c r="E101" s="16"/>
      <c r="F101" s="16">
        <v>7.0000000000000007E-2</v>
      </c>
      <c r="G101" s="16">
        <v>3397.65</v>
      </c>
      <c r="H101" s="123">
        <f>G101*F101/1000</f>
        <v>0.23783550000000003</v>
      </c>
      <c r="I101" s="16">
        <v>0</v>
      </c>
    </row>
    <row r="102" spans="1:9" ht="15.75" hidden="1" customHeight="1">
      <c r="A102" s="36"/>
      <c r="B102" s="94" t="s">
        <v>214</v>
      </c>
      <c r="C102" s="95" t="s">
        <v>90</v>
      </c>
      <c r="D102" s="67"/>
      <c r="E102" s="16"/>
      <c r="F102" s="16">
        <v>4</v>
      </c>
      <c r="G102" s="16">
        <v>664.36</v>
      </c>
      <c r="H102" s="123">
        <f>G102*F102/1000</f>
        <v>2.6574400000000002</v>
      </c>
      <c r="I102" s="16">
        <v>0</v>
      </c>
    </row>
    <row r="103" spans="1:9" ht="15.75" hidden="1" customHeight="1">
      <c r="A103" s="36"/>
      <c r="B103" s="94" t="s">
        <v>197</v>
      </c>
      <c r="C103" s="95" t="s">
        <v>149</v>
      </c>
      <c r="D103" s="67"/>
      <c r="E103" s="16"/>
      <c r="F103" s="16">
        <v>1</v>
      </c>
      <c r="G103" s="16">
        <v>454.22</v>
      </c>
      <c r="H103" s="123">
        <f>G103*F103/1000</f>
        <v>0.45422000000000001</v>
      </c>
      <c r="I103" s="16">
        <v>0</v>
      </c>
    </row>
    <row r="104" spans="1:9" ht="15.75" hidden="1" customHeight="1">
      <c r="A104" s="36"/>
      <c r="B104" s="94" t="s">
        <v>198</v>
      </c>
      <c r="C104" s="95" t="s">
        <v>111</v>
      </c>
      <c r="D104" s="67"/>
      <c r="E104" s="16"/>
      <c r="F104" s="16">
        <v>1</v>
      </c>
      <c r="G104" s="16">
        <v>45.79</v>
      </c>
      <c r="H104" s="123">
        <f t="shared" ref="H104:H110" si="9">G104*F104/1000</f>
        <v>4.5789999999999997E-2</v>
      </c>
      <c r="I104" s="16">
        <v>0</v>
      </c>
    </row>
    <row r="105" spans="1:9" ht="15.75" hidden="1" customHeight="1">
      <c r="A105" s="36"/>
      <c r="B105" s="94" t="s">
        <v>199</v>
      </c>
      <c r="C105" s="95" t="s">
        <v>111</v>
      </c>
      <c r="D105" s="67"/>
      <c r="E105" s="16"/>
      <c r="F105" s="16">
        <v>2</v>
      </c>
      <c r="G105" s="16">
        <v>78.89</v>
      </c>
      <c r="H105" s="123">
        <f t="shared" si="9"/>
        <v>0.15778</v>
      </c>
      <c r="I105" s="16">
        <v>0</v>
      </c>
    </row>
    <row r="106" spans="1:9" ht="15.75" hidden="1" customHeight="1">
      <c r="A106" s="36"/>
      <c r="B106" s="94" t="s">
        <v>200</v>
      </c>
      <c r="C106" s="95" t="s">
        <v>111</v>
      </c>
      <c r="D106" s="67"/>
      <c r="E106" s="16"/>
      <c r="F106" s="16">
        <v>2</v>
      </c>
      <c r="G106" s="16">
        <v>19.059999999999999</v>
      </c>
      <c r="H106" s="123">
        <f t="shared" si="9"/>
        <v>3.8119999999999994E-2</v>
      </c>
      <c r="I106" s="16">
        <v>0</v>
      </c>
    </row>
    <row r="107" spans="1:9" ht="15.75" hidden="1" customHeight="1">
      <c r="A107" s="36"/>
      <c r="B107" s="94" t="s">
        <v>201</v>
      </c>
      <c r="C107" s="99" t="s">
        <v>202</v>
      </c>
      <c r="D107" s="67"/>
      <c r="E107" s="16"/>
      <c r="F107" s="16">
        <v>1</v>
      </c>
      <c r="G107" s="16">
        <f>228.27</f>
        <v>228.27</v>
      </c>
      <c r="H107" s="123">
        <f t="shared" si="9"/>
        <v>0.22827</v>
      </c>
      <c r="I107" s="16">
        <v>0</v>
      </c>
    </row>
    <row r="108" spans="1:9" ht="31.5" hidden="1" customHeight="1">
      <c r="A108" s="36"/>
      <c r="B108" s="94" t="s">
        <v>162</v>
      </c>
      <c r="C108" s="20" t="s">
        <v>90</v>
      </c>
      <c r="D108" s="67"/>
      <c r="E108" s="16"/>
      <c r="F108" s="16">
        <v>12</v>
      </c>
      <c r="G108" s="16">
        <v>1187</v>
      </c>
      <c r="H108" s="123">
        <f t="shared" si="9"/>
        <v>14.244</v>
      </c>
      <c r="I108" s="16">
        <v>0</v>
      </c>
    </row>
    <row r="109" spans="1:9" ht="15.75" hidden="1" customHeight="1">
      <c r="A109" s="36"/>
      <c r="B109" s="94" t="s">
        <v>215</v>
      </c>
      <c r="C109" s="95" t="s">
        <v>111</v>
      </c>
      <c r="D109" s="67"/>
      <c r="E109" s="16"/>
      <c r="F109" s="16">
        <v>2</v>
      </c>
      <c r="G109" s="16">
        <v>29282.880000000001</v>
      </c>
      <c r="H109" s="123">
        <f t="shared" si="9"/>
        <v>58.565760000000004</v>
      </c>
      <c r="I109" s="16">
        <v>0</v>
      </c>
    </row>
    <row r="110" spans="1:9" ht="31.5" hidden="1" customHeight="1">
      <c r="A110" s="36"/>
      <c r="B110" s="94" t="s">
        <v>203</v>
      </c>
      <c r="C110" s="20" t="s">
        <v>90</v>
      </c>
      <c r="D110" s="67"/>
      <c r="E110" s="16"/>
      <c r="F110" s="16">
        <v>1.5</v>
      </c>
      <c r="G110" s="16">
        <v>2121</v>
      </c>
      <c r="H110" s="123">
        <f t="shared" si="9"/>
        <v>3.1815000000000002</v>
      </c>
      <c r="I110" s="16">
        <v>0</v>
      </c>
    </row>
    <row r="111" spans="1:9" ht="15.75" hidden="1" customHeight="1">
      <c r="A111" s="36"/>
      <c r="B111" s="94" t="s">
        <v>204</v>
      </c>
      <c r="C111" s="20" t="s">
        <v>111</v>
      </c>
      <c r="D111" s="67"/>
      <c r="E111" s="16"/>
      <c r="F111" s="16">
        <v>1</v>
      </c>
      <c r="G111" s="16">
        <v>470</v>
      </c>
      <c r="H111" s="123">
        <v>0.47</v>
      </c>
      <c r="I111" s="16">
        <v>0</v>
      </c>
    </row>
    <row r="112" spans="1:9" ht="15.75" hidden="1" customHeight="1">
      <c r="A112" s="36"/>
      <c r="B112" s="94" t="s">
        <v>205</v>
      </c>
      <c r="C112" s="95" t="s">
        <v>111</v>
      </c>
      <c r="D112" s="67"/>
      <c r="E112" s="16"/>
      <c r="F112" s="16">
        <v>1</v>
      </c>
      <c r="G112" s="16">
        <v>53.17</v>
      </c>
      <c r="H112" s="123">
        <f t="shared" ref="H112:H120" si="10">G112*F112/1000</f>
        <v>5.3170000000000002E-2</v>
      </c>
      <c r="I112" s="16">
        <v>0</v>
      </c>
    </row>
    <row r="113" spans="1:9" ht="15.75" hidden="1" customHeight="1">
      <c r="A113" s="36"/>
      <c r="B113" s="94" t="s">
        <v>206</v>
      </c>
      <c r="C113" s="95" t="s">
        <v>111</v>
      </c>
      <c r="D113" s="67"/>
      <c r="E113" s="16"/>
      <c r="F113" s="16">
        <v>2</v>
      </c>
      <c r="G113" s="16">
        <v>109.73</v>
      </c>
      <c r="H113" s="123">
        <f t="shared" si="10"/>
        <v>0.21946000000000002</v>
      </c>
      <c r="I113" s="16">
        <v>0</v>
      </c>
    </row>
    <row r="114" spans="1:9" ht="31.5" hidden="1" customHeight="1">
      <c r="A114" s="36"/>
      <c r="B114" s="94" t="s">
        <v>207</v>
      </c>
      <c r="C114" s="95" t="s">
        <v>208</v>
      </c>
      <c r="D114" s="67"/>
      <c r="E114" s="16"/>
      <c r="F114" s="16">
        <f>15/10</f>
        <v>1.5</v>
      </c>
      <c r="G114" s="16">
        <v>99.06</v>
      </c>
      <c r="H114" s="123">
        <f t="shared" si="10"/>
        <v>0.14859</v>
      </c>
      <c r="I114" s="16">
        <v>0</v>
      </c>
    </row>
    <row r="115" spans="1:9" ht="15.75" hidden="1" customHeight="1">
      <c r="A115" s="36"/>
      <c r="B115" s="94" t="s">
        <v>209</v>
      </c>
      <c r="C115" s="95" t="s">
        <v>210</v>
      </c>
      <c r="D115" s="67"/>
      <c r="E115" s="16"/>
      <c r="F115" s="16">
        <v>15</v>
      </c>
      <c r="G115" s="16">
        <v>83.63</v>
      </c>
      <c r="H115" s="123">
        <f t="shared" si="10"/>
        <v>1.2544499999999998</v>
      </c>
      <c r="I115" s="16">
        <v>0</v>
      </c>
    </row>
    <row r="116" spans="1:9" ht="15.75" hidden="1" customHeight="1">
      <c r="A116" s="36"/>
      <c r="B116" s="94" t="s">
        <v>211</v>
      </c>
      <c r="C116" s="95" t="s">
        <v>111</v>
      </c>
      <c r="D116" s="67"/>
      <c r="E116" s="16"/>
      <c r="F116" s="16">
        <v>1</v>
      </c>
      <c r="G116" s="16">
        <v>2179.33</v>
      </c>
      <c r="H116" s="123">
        <f t="shared" si="10"/>
        <v>2.1793299999999998</v>
      </c>
      <c r="I116" s="16">
        <v>0</v>
      </c>
    </row>
    <row r="117" spans="1:9" ht="15.75" hidden="1" customHeight="1">
      <c r="A117" s="36"/>
      <c r="B117" s="94" t="s">
        <v>212</v>
      </c>
      <c r="C117" s="95" t="s">
        <v>111</v>
      </c>
      <c r="D117" s="67"/>
      <c r="E117" s="16"/>
      <c r="F117" s="16">
        <v>5</v>
      </c>
      <c r="G117" s="16">
        <v>1061.4100000000001</v>
      </c>
      <c r="H117" s="123">
        <f t="shared" si="10"/>
        <v>5.3070500000000003</v>
      </c>
      <c r="I117" s="16">
        <v>0</v>
      </c>
    </row>
    <row r="118" spans="1:9" ht="15.75" hidden="1" customHeight="1">
      <c r="A118" s="36"/>
      <c r="B118" s="125" t="s">
        <v>94</v>
      </c>
      <c r="C118" s="95" t="s">
        <v>111</v>
      </c>
      <c r="D118" s="67"/>
      <c r="E118" s="16"/>
      <c r="F118" s="16">
        <v>1</v>
      </c>
      <c r="G118" s="16">
        <v>179.96</v>
      </c>
      <c r="H118" s="123">
        <f t="shared" si="10"/>
        <v>0.17996000000000001</v>
      </c>
      <c r="I118" s="16">
        <v>0</v>
      </c>
    </row>
    <row r="119" spans="1:9" ht="31.5" hidden="1" customHeight="1">
      <c r="A119" s="36"/>
      <c r="B119" s="94" t="s">
        <v>213</v>
      </c>
      <c r="C119" s="95" t="s">
        <v>154</v>
      </c>
      <c r="D119" s="67"/>
      <c r="E119" s="16"/>
      <c r="F119" s="16">
        <f>0.3/10</f>
        <v>0.03</v>
      </c>
      <c r="G119" s="16">
        <v>9750.4599999999991</v>
      </c>
      <c r="H119" s="123">
        <f t="shared" si="10"/>
        <v>0.29251379999999993</v>
      </c>
      <c r="I119" s="16">
        <v>0</v>
      </c>
    </row>
    <row r="120" spans="1:9" ht="31.5" hidden="1" customHeight="1">
      <c r="A120" s="36"/>
      <c r="B120" s="94" t="s">
        <v>153</v>
      </c>
      <c r="C120" s="99" t="s">
        <v>154</v>
      </c>
      <c r="D120" s="67"/>
      <c r="E120" s="16"/>
      <c r="F120" s="16">
        <f>(0.273+0.519)/10</f>
        <v>7.9200000000000007E-2</v>
      </c>
      <c r="G120" s="16">
        <v>8916.31</v>
      </c>
      <c r="H120" s="123">
        <f t="shared" si="10"/>
        <v>0.70617175199999993</v>
      </c>
      <c r="I120" s="16">
        <v>0</v>
      </c>
    </row>
    <row r="121" spans="1:9">
      <c r="A121" s="36"/>
      <c r="B121" s="61" t="s">
        <v>54</v>
      </c>
      <c r="C121" s="57"/>
      <c r="D121" s="70"/>
      <c r="E121" s="57">
        <v>1</v>
      </c>
      <c r="F121" s="57"/>
      <c r="G121" s="57"/>
      <c r="H121" s="57"/>
      <c r="I121" s="39">
        <f>SUM(I87:I120)</f>
        <v>4003.72</v>
      </c>
    </row>
    <row r="122" spans="1:9" ht="15.75" customHeight="1">
      <c r="A122" s="36"/>
      <c r="B122" s="67" t="s">
        <v>86</v>
      </c>
      <c r="C122" s="19"/>
      <c r="D122" s="19"/>
      <c r="E122" s="58"/>
      <c r="F122" s="58"/>
      <c r="G122" s="59"/>
      <c r="H122" s="59"/>
      <c r="I122" s="22">
        <v>0</v>
      </c>
    </row>
    <row r="123" spans="1:9" ht="15.75" customHeight="1">
      <c r="A123" s="71"/>
      <c r="B123" s="62" t="s">
        <v>55</v>
      </c>
      <c r="C123" s="45"/>
      <c r="D123" s="45"/>
      <c r="E123" s="45"/>
      <c r="F123" s="45"/>
      <c r="G123" s="45"/>
      <c r="H123" s="45"/>
      <c r="I123" s="60">
        <f>I85+I121</f>
        <v>94959.632333666668</v>
      </c>
    </row>
    <row r="124" spans="1:9" ht="15.75">
      <c r="A124" s="167" t="s">
        <v>231</v>
      </c>
      <c r="B124" s="167"/>
      <c r="C124" s="167"/>
      <c r="D124" s="167"/>
      <c r="E124" s="167"/>
      <c r="F124" s="167"/>
      <c r="G124" s="167"/>
      <c r="H124" s="167"/>
      <c r="I124" s="167"/>
    </row>
    <row r="125" spans="1:9" ht="15.75" customHeight="1">
      <c r="A125" s="106"/>
      <c r="B125" s="162" t="s">
        <v>232</v>
      </c>
      <c r="C125" s="162"/>
      <c r="D125" s="162"/>
      <c r="E125" s="162"/>
      <c r="F125" s="162"/>
      <c r="G125" s="162"/>
      <c r="H125" s="121"/>
      <c r="I125" s="3"/>
    </row>
    <row r="126" spans="1:9" ht="15.75" customHeight="1">
      <c r="A126" s="112"/>
      <c r="B126" s="158" t="s">
        <v>6</v>
      </c>
      <c r="C126" s="158"/>
      <c r="D126" s="158"/>
      <c r="E126" s="158"/>
      <c r="F126" s="158"/>
      <c r="G126" s="158"/>
      <c r="H126" s="31"/>
      <c r="I126" s="5"/>
    </row>
    <row r="127" spans="1:9" ht="15.75" customHeight="1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5.75" customHeight="1">
      <c r="A128" s="163" t="s">
        <v>7</v>
      </c>
      <c r="B128" s="163"/>
      <c r="C128" s="163"/>
      <c r="D128" s="163"/>
      <c r="E128" s="163"/>
      <c r="F128" s="163"/>
      <c r="G128" s="163"/>
      <c r="H128" s="163"/>
      <c r="I128" s="163"/>
    </row>
    <row r="129" spans="1:9" ht="15.75" customHeight="1">
      <c r="A129" s="163" t="s">
        <v>8</v>
      </c>
      <c r="B129" s="163"/>
      <c r="C129" s="163"/>
      <c r="D129" s="163"/>
      <c r="E129" s="163"/>
      <c r="F129" s="163"/>
      <c r="G129" s="163"/>
      <c r="H129" s="163"/>
      <c r="I129" s="163"/>
    </row>
    <row r="130" spans="1:9" ht="15.75">
      <c r="A130" s="164" t="s">
        <v>65</v>
      </c>
      <c r="B130" s="164"/>
      <c r="C130" s="164"/>
      <c r="D130" s="164"/>
      <c r="E130" s="164"/>
      <c r="F130" s="164"/>
      <c r="G130" s="164"/>
      <c r="H130" s="164"/>
      <c r="I130" s="164"/>
    </row>
    <row r="131" spans="1:9" ht="15.75" customHeight="1">
      <c r="A131" s="11"/>
    </row>
    <row r="132" spans="1:9" ht="15.75">
      <c r="A132" s="165" t="s">
        <v>9</v>
      </c>
      <c r="B132" s="165"/>
      <c r="C132" s="165"/>
      <c r="D132" s="165"/>
      <c r="E132" s="165"/>
      <c r="F132" s="165"/>
      <c r="G132" s="165"/>
      <c r="H132" s="165"/>
      <c r="I132" s="165"/>
    </row>
    <row r="133" spans="1:9" ht="15.75" customHeight="1">
      <c r="A133" s="4"/>
    </row>
    <row r="134" spans="1:9" ht="15.75">
      <c r="B134" s="115" t="s">
        <v>10</v>
      </c>
      <c r="C134" s="157" t="s">
        <v>170</v>
      </c>
      <c r="D134" s="157"/>
      <c r="E134" s="157"/>
      <c r="F134" s="119"/>
      <c r="I134" s="116"/>
    </row>
    <row r="135" spans="1:9">
      <c r="A135" s="112"/>
      <c r="C135" s="158" t="s">
        <v>11</v>
      </c>
      <c r="D135" s="158"/>
      <c r="E135" s="158"/>
      <c r="F135" s="31"/>
      <c r="I135" s="114" t="s">
        <v>12</v>
      </c>
    </row>
    <row r="136" spans="1:9" ht="15.75">
      <c r="A136" s="32"/>
      <c r="C136" s="12"/>
      <c r="D136" s="12"/>
      <c r="G136" s="12"/>
      <c r="H136" s="12"/>
    </row>
    <row r="137" spans="1:9" ht="15.75" customHeight="1">
      <c r="B137" s="115" t="s">
        <v>13</v>
      </c>
      <c r="C137" s="159"/>
      <c r="D137" s="159"/>
      <c r="E137" s="159"/>
      <c r="F137" s="120"/>
      <c r="I137" s="116"/>
    </row>
    <row r="138" spans="1:9" ht="15.75" customHeight="1">
      <c r="A138" s="112"/>
      <c r="C138" s="160" t="s">
        <v>11</v>
      </c>
      <c r="D138" s="160"/>
      <c r="E138" s="160"/>
      <c r="F138" s="112"/>
      <c r="I138" s="114" t="s">
        <v>12</v>
      </c>
    </row>
    <row r="139" spans="1:9" ht="15.75" customHeight="1">
      <c r="A139" s="4" t="s">
        <v>14</v>
      </c>
    </row>
    <row r="140" spans="1:9">
      <c r="A140" s="161" t="s">
        <v>15</v>
      </c>
      <c r="B140" s="161"/>
      <c r="C140" s="161"/>
      <c r="D140" s="161"/>
      <c r="E140" s="161"/>
      <c r="F140" s="161"/>
      <c r="G140" s="161"/>
      <c r="H140" s="161"/>
      <c r="I140" s="161"/>
    </row>
    <row r="141" spans="1:9" ht="45" customHeight="1">
      <c r="A141" s="153" t="s">
        <v>16</v>
      </c>
      <c r="B141" s="153"/>
      <c r="C141" s="153"/>
      <c r="D141" s="153"/>
      <c r="E141" s="153"/>
      <c r="F141" s="153"/>
      <c r="G141" s="153"/>
      <c r="H141" s="153"/>
      <c r="I141" s="153"/>
    </row>
    <row r="142" spans="1:9" ht="30" customHeight="1">
      <c r="A142" s="153" t="s">
        <v>17</v>
      </c>
      <c r="B142" s="153"/>
      <c r="C142" s="153"/>
      <c r="D142" s="153"/>
      <c r="E142" s="153"/>
      <c r="F142" s="153"/>
      <c r="G142" s="153"/>
      <c r="H142" s="153"/>
      <c r="I142" s="153"/>
    </row>
    <row r="143" spans="1:9" ht="30" customHeight="1">
      <c r="A143" s="153" t="s">
        <v>21</v>
      </c>
      <c r="B143" s="153"/>
      <c r="C143" s="153"/>
      <c r="D143" s="153"/>
      <c r="E143" s="153"/>
      <c r="F143" s="153"/>
      <c r="G143" s="153"/>
      <c r="H143" s="153"/>
      <c r="I143" s="153"/>
    </row>
    <row r="144" spans="1:9" ht="15" customHeight="1">
      <c r="A144" s="153" t="s">
        <v>20</v>
      </c>
      <c r="B144" s="153"/>
      <c r="C144" s="153"/>
      <c r="D144" s="153"/>
      <c r="E144" s="153"/>
      <c r="F144" s="153"/>
      <c r="G144" s="153"/>
      <c r="H144" s="153"/>
      <c r="I144" s="153"/>
    </row>
  </sheetData>
  <mergeCells count="27">
    <mergeCell ref="A142:I142"/>
    <mergeCell ref="A143:I143"/>
    <mergeCell ref="A144:I144"/>
    <mergeCell ref="C134:E134"/>
    <mergeCell ref="C135:E135"/>
    <mergeCell ref="C137:E137"/>
    <mergeCell ref="C138:E138"/>
    <mergeCell ref="A140:I140"/>
    <mergeCell ref="A141:I141"/>
    <mergeCell ref="A132:I132"/>
    <mergeCell ref="A15:I15"/>
    <mergeCell ref="A28:I28"/>
    <mergeCell ref="A43:I43"/>
    <mergeCell ref="A54:I54"/>
    <mergeCell ref="A82:I82"/>
    <mergeCell ref="A124:I124"/>
    <mergeCell ref="B125:G125"/>
    <mergeCell ref="B126:G126"/>
    <mergeCell ref="A128:I128"/>
    <mergeCell ref="A129:I129"/>
    <mergeCell ref="A130:I130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233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234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42521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customHeight="1">
      <c r="A19" s="36">
        <v>4</v>
      </c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f>F19/2*G19</f>
        <v>326.7072</v>
      </c>
    </row>
    <row r="20" spans="1:9" ht="15.75" customHeight="1">
      <c r="A20" s="36">
        <v>5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6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customHeight="1">
      <c r="A22" s="36">
        <v>7</v>
      </c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f>F22*G22</f>
        <v>1922.5163999999997</v>
      </c>
    </row>
    <row r="23" spans="1:9" ht="15.75" customHeight="1">
      <c r="A23" s="36">
        <v>8</v>
      </c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f>F23*G23</f>
        <v>42.784140000000001</v>
      </c>
    </row>
    <row r="24" spans="1:9" ht="15.75" customHeight="1">
      <c r="A24" s="36">
        <v>9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10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11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12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13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14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customHeight="1">
      <c r="A32" s="36">
        <v>15</v>
      </c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16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customHeight="1">
      <c r="A44" s="36">
        <v>17</v>
      </c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f t="shared" ref="I44:I47" si="6">F44/2*G44</f>
        <v>1464.7365809999999</v>
      </c>
    </row>
    <row r="45" spans="1:9" ht="15.75" customHeight="1">
      <c r="A45" s="36">
        <v>18</v>
      </c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f t="shared" si="6"/>
        <v>429.97415999999998</v>
      </c>
    </row>
    <row r="46" spans="1:9" ht="15.75" customHeight="1">
      <c r="A46" s="36">
        <v>19</v>
      </c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f t="shared" si="6"/>
        <v>2891.4950988000001</v>
      </c>
    </row>
    <row r="47" spans="1:9" ht="15.75" customHeight="1">
      <c r="A47" s="36">
        <v>20</v>
      </c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f t="shared" si="6"/>
        <v>1610.4950016999999</v>
      </c>
    </row>
    <row r="48" spans="1:9" ht="15.75" customHeight="1">
      <c r="A48" s="36">
        <v>21</v>
      </c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f>F48/2*G48</f>
        <v>93.582693000000006</v>
      </c>
    </row>
    <row r="49" spans="1:9" ht="15.75" customHeight="1">
      <c r="A49" s="36">
        <v>22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customHeight="1">
      <c r="A50" s="36">
        <v>23</v>
      </c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f>F50/2*G50</f>
        <v>2459.6231400000001</v>
      </c>
    </row>
    <row r="51" spans="1:9" ht="31.5" customHeight="1">
      <c r="A51" s="36">
        <v>24</v>
      </c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f t="shared" ref="I51:I52" si="7">F51/2*G51</f>
        <v>1092.1959999999999</v>
      </c>
    </row>
    <row r="52" spans="1:9" ht="15.75" customHeight="1">
      <c r="A52" s="36">
        <v>25</v>
      </c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f t="shared" si="7"/>
        <v>56.521300000000004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26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8">SUM(F61*G61/1000)</f>
        <v>0.95099999999999996</v>
      </c>
      <c r="I61" s="16">
        <v>0</v>
      </c>
    </row>
    <row r="62" spans="1:9" ht="15.75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customHeight="1">
      <c r="A63" s="36">
        <v>27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8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8"/>
        <v>0.38124999999999998</v>
      </c>
      <c r="I64" s="16">
        <f>G64</f>
        <v>76.25</v>
      </c>
    </row>
    <row r="65" spans="1:9" ht="15.75" customHeight="1">
      <c r="A65" s="36">
        <v>28</v>
      </c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8"/>
        <v>51.049654499999995</v>
      </c>
      <c r="I65" s="16">
        <f>F65*G65</f>
        <v>51049.654499999997</v>
      </c>
    </row>
    <row r="66" spans="1:9" ht="15.75" customHeight="1">
      <c r="A66" s="36">
        <v>29</v>
      </c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8"/>
        <v>3.97544823</v>
      </c>
      <c r="I66" s="16">
        <f t="shared" ref="I66:I69" si="9">F66*G66</f>
        <v>3975.44823</v>
      </c>
    </row>
    <row r="67" spans="1:9" ht="15.75" customHeight="1">
      <c r="A67" s="36">
        <v>30</v>
      </c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8"/>
        <v>56.637399000000002</v>
      </c>
      <c r="I67" s="16">
        <f t="shared" si="9"/>
        <v>56637.399000000005</v>
      </c>
    </row>
    <row r="68" spans="1:9" ht="15.75" customHeight="1">
      <c r="A68" s="36">
        <v>31</v>
      </c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8"/>
        <v>0.96984799999999993</v>
      </c>
      <c r="I68" s="16">
        <f t="shared" si="9"/>
        <v>969.84799999999996</v>
      </c>
    </row>
    <row r="69" spans="1:9" ht="15.75" customHeight="1">
      <c r="A69" s="36">
        <v>32</v>
      </c>
      <c r="B69" s="143" t="s">
        <v>235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8"/>
        <v>0.90479199999999993</v>
      </c>
      <c r="I69" s="16">
        <f t="shared" si="9"/>
        <v>904.79199999999992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8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8"/>
        <v>0.49880000000000002</v>
      </c>
      <c r="I71" s="16">
        <v>0</v>
      </c>
    </row>
    <row r="72" spans="1:9" ht="15.75" hidden="1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hidden="1" customHeight="1">
      <c r="A73" s="36"/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8"/>
        <v>8.0259199999999993</v>
      </c>
      <c r="I73" s="16">
        <v>0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8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10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8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33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34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I16+I17+I18+I19+I20+I21+I22+I23+I24+I25+I26+I27+I30+I31+I32+I33+I44+I45+I46+I47+I48+I49+I50+I51+I52+I59+I63+I65+I66+I67+I68+I69+I83+I84</f>
        <v>196673.97209838885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35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31.5" customHeight="1">
      <c r="A88" s="36">
        <v>36</v>
      </c>
      <c r="B88" s="94" t="s">
        <v>163</v>
      </c>
      <c r="C88" s="95" t="s">
        <v>149</v>
      </c>
      <c r="D88" s="36"/>
      <c r="E88" s="23"/>
      <c r="F88" s="23">
        <v>5</v>
      </c>
      <c r="G88" s="23">
        <v>559.62</v>
      </c>
      <c r="H88" s="124">
        <f>G88*F88/1000</f>
        <v>2.7980999999999998</v>
      </c>
      <c r="I88" s="16">
        <f>G88</f>
        <v>559.62</v>
      </c>
    </row>
    <row r="89" spans="1:9" ht="31.5" customHeight="1">
      <c r="A89" s="36">
        <v>37</v>
      </c>
      <c r="B89" s="94" t="s">
        <v>187</v>
      </c>
      <c r="C89" s="20" t="s">
        <v>90</v>
      </c>
      <c r="D89" s="67"/>
      <c r="E89" s="16"/>
      <c r="F89" s="16">
        <v>38</v>
      </c>
      <c r="G89" s="16">
        <v>1206</v>
      </c>
      <c r="H89" s="123">
        <f t="shared" ref="H89:H97" si="11">G89*F89/1000</f>
        <v>45.828000000000003</v>
      </c>
      <c r="I89" s="16">
        <f>G89*(28+10)</f>
        <v>45828</v>
      </c>
    </row>
    <row r="90" spans="1:9" ht="31.5" customHeight="1">
      <c r="A90" s="36">
        <v>38</v>
      </c>
      <c r="B90" s="94" t="s">
        <v>188</v>
      </c>
      <c r="C90" s="20" t="s">
        <v>90</v>
      </c>
      <c r="D90" s="67"/>
      <c r="E90" s="16"/>
      <c r="F90" s="16">
        <v>17</v>
      </c>
      <c r="G90" s="16">
        <v>1146</v>
      </c>
      <c r="H90" s="123">
        <f t="shared" si="11"/>
        <v>19.481999999999999</v>
      </c>
      <c r="I90" s="16">
        <f>G90*(4+10+3)</f>
        <v>19482</v>
      </c>
    </row>
    <row r="91" spans="1:9" ht="31.5" customHeight="1">
      <c r="A91" s="36">
        <v>39</v>
      </c>
      <c r="B91" s="94" t="s">
        <v>189</v>
      </c>
      <c r="C91" s="20" t="s">
        <v>90</v>
      </c>
      <c r="D91" s="67"/>
      <c r="E91" s="16"/>
      <c r="F91" s="16">
        <v>2</v>
      </c>
      <c r="G91" s="16">
        <v>1272</v>
      </c>
      <c r="H91" s="123">
        <f t="shared" si="11"/>
        <v>2.544</v>
      </c>
      <c r="I91" s="16">
        <f>G91*2</f>
        <v>2544</v>
      </c>
    </row>
    <row r="92" spans="1:9" ht="31.5" customHeight="1">
      <c r="A92" s="36">
        <v>40</v>
      </c>
      <c r="B92" s="94" t="s">
        <v>190</v>
      </c>
      <c r="C92" s="95" t="s">
        <v>191</v>
      </c>
      <c r="D92" s="67"/>
      <c r="E92" s="16"/>
      <c r="F92" s="16">
        <v>2</v>
      </c>
      <c r="G92" s="16">
        <v>51.39</v>
      </c>
      <c r="H92" s="123">
        <f t="shared" si="11"/>
        <v>0.10278</v>
      </c>
      <c r="I92" s="16">
        <f>G92*2</f>
        <v>102.78</v>
      </c>
    </row>
    <row r="93" spans="1:9" ht="31.5" customHeight="1">
      <c r="A93" s="36">
        <v>41</v>
      </c>
      <c r="B93" s="94" t="s">
        <v>192</v>
      </c>
      <c r="C93" s="95" t="s">
        <v>149</v>
      </c>
      <c r="D93" s="36"/>
      <c r="E93" s="23"/>
      <c r="F93" s="23">
        <v>1</v>
      </c>
      <c r="G93" s="23">
        <v>223.25</v>
      </c>
      <c r="H93" s="124">
        <f t="shared" si="11"/>
        <v>0.22325</v>
      </c>
      <c r="I93" s="16">
        <f>G93</f>
        <v>223.25</v>
      </c>
    </row>
    <row r="94" spans="1:9" ht="15.75" customHeight="1">
      <c r="A94" s="36">
        <v>42</v>
      </c>
      <c r="B94" s="94" t="s">
        <v>193</v>
      </c>
      <c r="C94" s="95" t="s">
        <v>149</v>
      </c>
      <c r="D94" s="36"/>
      <c r="E94" s="23"/>
      <c r="F94" s="23">
        <v>1</v>
      </c>
      <c r="G94" s="23">
        <v>290.67</v>
      </c>
      <c r="H94" s="124">
        <f t="shared" si="11"/>
        <v>0.29067000000000004</v>
      </c>
      <c r="I94" s="16">
        <f t="shared" ref="I94:I96" si="12">G94</f>
        <v>290.67</v>
      </c>
    </row>
    <row r="95" spans="1:9" ht="31.5" customHeight="1">
      <c r="A95" s="36">
        <v>43</v>
      </c>
      <c r="B95" s="94" t="s">
        <v>194</v>
      </c>
      <c r="C95" s="95" t="s">
        <v>149</v>
      </c>
      <c r="D95" s="36"/>
      <c r="E95" s="23"/>
      <c r="F95" s="23">
        <v>1</v>
      </c>
      <c r="G95" s="23">
        <v>762.37</v>
      </c>
      <c r="H95" s="124">
        <f t="shared" si="11"/>
        <v>0.76236999999999999</v>
      </c>
      <c r="I95" s="16">
        <f t="shared" si="12"/>
        <v>762.37</v>
      </c>
    </row>
    <row r="96" spans="1:9" ht="15.75" customHeight="1">
      <c r="A96" s="36">
        <v>44</v>
      </c>
      <c r="B96" s="94" t="s">
        <v>148</v>
      </c>
      <c r="C96" s="95" t="s">
        <v>149</v>
      </c>
      <c r="D96" s="36"/>
      <c r="E96" s="23"/>
      <c r="F96" s="23">
        <v>4</v>
      </c>
      <c r="G96" s="23">
        <v>476.76</v>
      </c>
      <c r="H96" s="124">
        <f t="shared" si="11"/>
        <v>1.9070400000000001</v>
      </c>
      <c r="I96" s="16">
        <f t="shared" si="12"/>
        <v>476.76</v>
      </c>
    </row>
    <row r="97" spans="1:9" ht="15.75" customHeight="1">
      <c r="A97" s="36">
        <v>45</v>
      </c>
      <c r="B97" s="94" t="s">
        <v>195</v>
      </c>
      <c r="C97" s="95" t="s">
        <v>196</v>
      </c>
      <c r="D97" s="36"/>
      <c r="E97" s="23"/>
      <c r="F97" s="23">
        <v>0.01</v>
      </c>
      <c r="G97" s="23">
        <v>7033.13</v>
      </c>
      <c r="H97" s="124">
        <f t="shared" si="11"/>
        <v>7.0331299999999999E-2</v>
      </c>
      <c r="I97" s="16">
        <f>G97*0.01</f>
        <v>70.331299999999999</v>
      </c>
    </row>
    <row r="98" spans="1:9">
      <c r="A98" s="36"/>
      <c r="B98" s="61" t="s">
        <v>54</v>
      </c>
      <c r="C98" s="57"/>
      <c r="D98" s="70"/>
      <c r="E98" s="57">
        <v>1</v>
      </c>
      <c r="F98" s="57"/>
      <c r="G98" s="57"/>
      <c r="H98" s="57"/>
      <c r="I98" s="39">
        <f>SUM(I87:I97)</f>
        <v>74343.501299999989</v>
      </c>
    </row>
    <row r="99" spans="1:9" ht="15.75" customHeight="1">
      <c r="A99" s="36"/>
      <c r="B99" s="67" t="s">
        <v>86</v>
      </c>
      <c r="C99" s="19"/>
      <c r="D99" s="19"/>
      <c r="E99" s="58"/>
      <c r="F99" s="58"/>
      <c r="G99" s="59"/>
      <c r="H99" s="59"/>
      <c r="I99" s="22">
        <v>0</v>
      </c>
    </row>
    <row r="100" spans="1:9" ht="15.75" customHeight="1">
      <c r="A100" s="71"/>
      <c r="B100" s="62" t="s">
        <v>55</v>
      </c>
      <c r="C100" s="45"/>
      <c r="D100" s="45"/>
      <c r="E100" s="45"/>
      <c r="F100" s="45"/>
      <c r="G100" s="45"/>
      <c r="H100" s="45"/>
      <c r="I100" s="60">
        <f>I85+I98</f>
        <v>271017.47339838883</v>
      </c>
    </row>
    <row r="101" spans="1:9" ht="15.75">
      <c r="A101" s="167" t="s">
        <v>236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 customHeight="1">
      <c r="A102" s="106"/>
      <c r="B102" s="162" t="s">
        <v>237</v>
      </c>
      <c r="C102" s="162"/>
      <c r="D102" s="162"/>
      <c r="E102" s="162"/>
      <c r="F102" s="162"/>
      <c r="G102" s="162"/>
      <c r="H102" s="121"/>
      <c r="I102" s="3"/>
    </row>
    <row r="103" spans="1:9" ht="15.75" customHeight="1">
      <c r="A103" s="112"/>
      <c r="B103" s="158" t="s">
        <v>6</v>
      </c>
      <c r="C103" s="158"/>
      <c r="D103" s="158"/>
      <c r="E103" s="158"/>
      <c r="F103" s="158"/>
      <c r="G103" s="158"/>
      <c r="H103" s="31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3" t="s">
        <v>7</v>
      </c>
      <c r="B105" s="163"/>
      <c r="C105" s="163"/>
      <c r="D105" s="163"/>
      <c r="E105" s="163"/>
      <c r="F105" s="163"/>
      <c r="G105" s="163"/>
      <c r="H105" s="163"/>
      <c r="I105" s="163"/>
    </row>
    <row r="106" spans="1:9" ht="15.75" customHeight="1">
      <c r="A106" s="163" t="s">
        <v>8</v>
      </c>
      <c r="B106" s="163"/>
      <c r="C106" s="163"/>
      <c r="D106" s="163"/>
      <c r="E106" s="163"/>
      <c r="F106" s="163"/>
      <c r="G106" s="163"/>
      <c r="H106" s="163"/>
      <c r="I106" s="163"/>
    </row>
    <row r="107" spans="1:9" ht="15.75">
      <c r="A107" s="164" t="s">
        <v>65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 customHeight="1">
      <c r="A108" s="11"/>
    </row>
    <row r="109" spans="1:9" ht="15.75">
      <c r="A109" s="165" t="s">
        <v>9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15.75" customHeight="1">
      <c r="A110" s="4"/>
    </row>
    <row r="111" spans="1:9" ht="15.75">
      <c r="B111" s="115" t="s">
        <v>10</v>
      </c>
      <c r="C111" s="157" t="s">
        <v>170</v>
      </c>
      <c r="D111" s="157"/>
      <c r="E111" s="157"/>
      <c r="F111" s="119"/>
      <c r="I111" s="116"/>
    </row>
    <row r="112" spans="1:9">
      <c r="A112" s="112"/>
      <c r="C112" s="158" t="s">
        <v>11</v>
      </c>
      <c r="D112" s="158"/>
      <c r="E112" s="158"/>
      <c r="F112" s="31"/>
      <c r="I112" s="114" t="s">
        <v>12</v>
      </c>
    </row>
    <row r="113" spans="1:9" ht="15.75">
      <c r="A113" s="32"/>
      <c r="C113" s="12"/>
      <c r="D113" s="12"/>
      <c r="G113" s="12"/>
      <c r="H113" s="12"/>
    </row>
    <row r="114" spans="1:9" ht="15.75" customHeight="1">
      <c r="B114" s="115" t="s">
        <v>13</v>
      </c>
      <c r="C114" s="159"/>
      <c r="D114" s="159"/>
      <c r="E114" s="159"/>
      <c r="F114" s="120"/>
      <c r="I114" s="116"/>
    </row>
    <row r="115" spans="1:9" ht="15.75" customHeight="1">
      <c r="A115" s="112"/>
      <c r="C115" s="160" t="s">
        <v>11</v>
      </c>
      <c r="D115" s="160"/>
      <c r="E115" s="160"/>
      <c r="F115" s="112"/>
      <c r="I115" s="114" t="s">
        <v>12</v>
      </c>
    </row>
    <row r="116" spans="1:9" ht="15.75" customHeight="1">
      <c r="A116" s="4" t="s">
        <v>14</v>
      </c>
    </row>
    <row r="117" spans="1:9">
      <c r="A117" s="161" t="s">
        <v>15</v>
      </c>
      <c r="B117" s="161"/>
      <c r="C117" s="161"/>
      <c r="D117" s="161"/>
      <c r="E117" s="161"/>
      <c r="F117" s="161"/>
      <c r="G117" s="161"/>
      <c r="H117" s="161"/>
      <c r="I117" s="161"/>
    </row>
    <row r="118" spans="1:9" ht="45" customHeight="1">
      <c r="A118" s="153" t="s">
        <v>16</v>
      </c>
      <c r="B118" s="153"/>
      <c r="C118" s="153"/>
      <c r="D118" s="153"/>
      <c r="E118" s="153"/>
      <c r="F118" s="153"/>
      <c r="G118" s="153"/>
      <c r="H118" s="153"/>
      <c r="I118" s="153"/>
    </row>
    <row r="119" spans="1:9" ht="30" customHeight="1">
      <c r="A119" s="153" t="s">
        <v>17</v>
      </c>
      <c r="B119" s="153"/>
      <c r="C119" s="153"/>
      <c r="D119" s="153"/>
      <c r="E119" s="153"/>
      <c r="F119" s="153"/>
      <c r="G119" s="153"/>
      <c r="H119" s="153"/>
      <c r="I119" s="153"/>
    </row>
    <row r="120" spans="1:9" ht="30" customHeight="1">
      <c r="A120" s="153" t="s">
        <v>21</v>
      </c>
      <c r="B120" s="153"/>
      <c r="C120" s="153"/>
      <c r="D120" s="153"/>
      <c r="E120" s="153"/>
      <c r="F120" s="153"/>
      <c r="G120" s="153"/>
      <c r="H120" s="153"/>
      <c r="I120" s="153"/>
    </row>
    <row r="121" spans="1:9" ht="15" customHeight="1">
      <c r="A121" s="153" t="s">
        <v>20</v>
      </c>
      <c r="B121" s="153"/>
      <c r="C121" s="153"/>
      <c r="D121" s="153"/>
      <c r="E121" s="153"/>
      <c r="F121" s="153"/>
      <c r="G121" s="153"/>
      <c r="H121" s="153"/>
      <c r="I121" s="153"/>
    </row>
  </sheetData>
  <mergeCells count="27">
    <mergeCell ref="A119:I119"/>
    <mergeCell ref="A120:I120"/>
    <mergeCell ref="A121:I121"/>
    <mergeCell ref="C111:E111"/>
    <mergeCell ref="C112:E112"/>
    <mergeCell ref="C114:E114"/>
    <mergeCell ref="C115:E115"/>
    <mergeCell ref="A117:I117"/>
    <mergeCell ref="A118:I118"/>
    <mergeCell ref="A109:I109"/>
    <mergeCell ref="A15:I15"/>
    <mergeCell ref="A28:I28"/>
    <mergeCell ref="A43:I43"/>
    <mergeCell ref="A54:I54"/>
    <mergeCell ref="A82:I82"/>
    <mergeCell ref="A101:I101"/>
    <mergeCell ref="B102:G102"/>
    <mergeCell ref="B103:G103"/>
    <mergeCell ref="A105:I105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238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239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42551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hidden="1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172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13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customHeight="1">
      <c r="A63" s="36">
        <v>14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customHeight="1">
      <c r="A73" s="36">
        <v>15</v>
      </c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f>G73*(2.5+0.6+0.3)</f>
        <v>1705.508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customHeight="1">
      <c r="A75" s="36">
        <v>16</v>
      </c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f>G75</f>
        <v>99.85</v>
      </c>
    </row>
    <row r="76" spans="1:9" ht="15.75" customHeight="1">
      <c r="A76" s="36">
        <v>17</v>
      </c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f>G76*3</f>
        <v>360.78000000000003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customHeight="1">
      <c r="A81" s="36">
        <v>18</v>
      </c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f>G81</f>
        <v>17508</v>
      </c>
    </row>
    <row r="82" spans="1:9" ht="15.75" customHeight="1">
      <c r="A82" s="154" t="s">
        <v>173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19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20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I16+I17+I18+I20+I21+I24+I25+I26+I27+I30+I31+I33+I59+I63+I73+I75+I76+I81+I83+I84</f>
        <v>79283.003390888902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21</v>
      </c>
      <c r="B87" s="94" t="s">
        <v>88</v>
      </c>
      <c r="C87" s="20" t="s">
        <v>32</v>
      </c>
      <c r="D87" s="67"/>
      <c r="E87" s="16"/>
      <c r="F87" s="16">
        <v>7</v>
      </c>
      <c r="G87" s="16">
        <v>79.09</v>
      </c>
      <c r="H87" s="16">
        <f>F87*G87/1000</f>
        <v>0.55362999999999996</v>
      </c>
      <c r="I87" s="16">
        <f t="shared" ref="I87" si="8">G87</f>
        <v>79.09</v>
      </c>
    </row>
    <row r="88" spans="1:9" ht="15.75" customHeight="1">
      <c r="A88" s="36">
        <v>22</v>
      </c>
      <c r="B88" s="94" t="s">
        <v>150</v>
      </c>
      <c r="C88" s="95" t="s">
        <v>111</v>
      </c>
      <c r="D88" s="67"/>
      <c r="E88" s="16"/>
      <c r="F88" s="16">
        <v>948</v>
      </c>
      <c r="G88" s="16">
        <v>50.68</v>
      </c>
      <c r="H88" s="123">
        <f>G88*F88/1000</f>
        <v>48.044640000000001</v>
      </c>
      <c r="I88" s="16">
        <f>G88*79</f>
        <v>4003.72</v>
      </c>
    </row>
    <row r="89" spans="1:9" ht="15.75" hidden="1" customHeight="1">
      <c r="A89" s="36"/>
      <c r="B89" s="94" t="s">
        <v>183</v>
      </c>
      <c r="C89" s="99" t="s">
        <v>184</v>
      </c>
      <c r="D89" s="67"/>
      <c r="E89" s="16"/>
      <c r="F89" s="16">
        <v>1</v>
      </c>
      <c r="G89" s="16">
        <v>172.17</v>
      </c>
      <c r="H89" s="124">
        <f>G89*F89/1000</f>
        <v>0.17216999999999999</v>
      </c>
      <c r="I89" s="16">
        <v>0</v>
      </c>
    </row>
    <row r="90" spans="1:9" ht="15.75" hidden="1" customHeight="1">
      <c r="A90" s="36"/>
      <c r="B90" s="94" t="s">
        <v>185</v>
      </c>
      <c r="C90" s="95" t="s">
        <v>186</v>
      </c>
      <c r="D90" s="36"/>
      <c r="E90" s="23"/>
      <c r="F90" s="23">
        <v>2</v>
      </c>
      <c r="G90" s="23">
        <v>195.95</v>
      </c>
      <c r="H90" s="124">
        <f>G90*F90/1000</f>
        <v>0.39189999999999997</v>
      </c>
      <c r="I90" s="16">
        <v>0</v>
      </c>
    </row>
    <row r="91" spans="1:9" ht="31.5" hidden="1" customHeight="1">
      <c r="A91" s="36"/>
      <c r="B91" s="94" t="s">
        <v>163</v>
      </c>
      <c r="C91" s="95" t="s">
        <v>149</v>
      </c>
      <c r="D91" s="36"/>
      <c r="E91" s="23"/>
      <c r="F91" s="23">
        <v>5</v>
      </c>
      <c r="G91" s="23">
        <v>559.62</v>
      </c>
      <c r="H91" s="124">
        <f>G91*F91/1000</f>
        <v>2.7980999999999998</v>
      </c>
      <c r="I91" s="16">
        <v>0</v>
      </c>
    </row>
    <row r="92" spans="1:9" ht="31.5" hidden="1" customHeight="1">
      <c r="A92" s="36"/>
      <c r="B92" s="94" t="s">
        <v>187</v>
      </c>
      <c r="C92" s="20" t="s">
        <v>90</v>
      </c>
      <c r="D92" s="67"/>
      <c r="E92" s="16"/>
      <c r="F92" s="16">
        <v>38</v>
      </c>
      <c r="G92" s="16">
        <v>1206</v>
      </c>
      <c r="H92" s="123">
        <f t="shared" ref="H92:H101" si="9">G92*F92/1000</f>
        <v>45.828000000000003</v>
      </c>
      <c r="I92" s="16">
        <v>0</v>
      </c>
    </row>
    <row r="93" spans="1:9" ht="31.5" hidden="1" customHeight="1">
      <c r="A93" s="36"/>
      <c r="B93" s="94" t="s">
        <v>188</v>
      </c>
      <c r="C93" s="20" t="s">
        <v>90</v>
      </c>
      <c r="D93" s="67"/>
      <c r="E93" s="16"/>
      <c r="F93" s="16">
        <v>17</v>
      </c>
      <c r="G93" s="16">
        <v>1146</v>
      </c>
      <c r="H93" s="123">
        <f t="shared" si="9"/>
        <v>19.481999999999999</v>
      </c>
      <c r="I93" s="16">
        <v>0</v>
      </c>
    </row>
    <row r="94" spans="1:9" ht="31.5" hidden="1" customHeight="1">
      <c r="A94" s="36"/>
      <c r="B94" s="94" t="s">
        <v>189</v>
      </c>
      <c r="C94" s="20" t="s">
        <v>90</v>
      </c>
      <c r="D94" s="67"/>
      <c r="E94" s="16"/>
      <c r="F94" s="16">
        <v>2</v>
      </c>
      <c r="G94" s="16">
        <v>1272</v>
      </c>
      <c r="H94" s="123">
        <f t="shared" si="9"/>
        <v>2.544</v>
      </c>
      <c r="I94" s="16">
        <v>0</v>
      </c>
    </row>
    <row r="95" spans="1:9" ht="31.5" hidden="1" customHeight="1">
      <c r="A95" s="36"/>
      <c r="B95" s="94" t="s">
        <v>190</v>
      </c>
      <c r="C95" s="95" t="s">
        <v>191</v>
      </c>
      <c r="D95" s="67"/>
      <c r="E95" s="16"/>
      <c r="F95" s="16">
        <v>2</v>
      </c>
      <c r="G95" s="16">
        <v>51.39</v>
      </c>
      <c r="H95" s="123">
        <f t="shared" si="9"/>
        <v>0.10278</v>
      </c>
      <c r="I95" s="16">
        <v>0</v>
      </c>
    </row>
    <row r="96" spans="1:9" ht="31.5" hidden="1" customHeight="1">
      <c r="A96" s="36"/>
      <c r="B96" s="94" t="s">
        <v>192</v>
      </c>
      <c r="C96" s="95" t="s">
        <v>149</v>
      </c>
      <c r="D96" s="36"/>
      <c r="E96" s="23"/>
      <c r="F96" s="23">
        <v>1</v>
      </c>
      <c r="G96" s="23">
        <v>223.25</v>
      </c>
      <c r="H96" s="124">
        <f t="shared" si="9"/>
        <v>0.22325</v>
      </c>
      <c r="I96" s="16">
        <v>0</v>
      </c>
    </row>
    <row r="97" spans="1:9" ht="31.5" hidden="1" customHeight="1">
      <c r="A97" s="36"/>
      <c r="B97" s="94" t="s">
        <v>193</v>
      </c>
      <c r="C97" s="95" t="s">
        <v>149</v>
      </c>
      <c r="D97" s="36"/>
      <c r="E97" s="23"/>
      <c r="F97" s="23">
        <v>1</v>
      </c>
      <c r="G97" s="23">
        <v>290.67</v>
      </c>
      <c r="H97" s="124">
        <f t="shared" si="9"/>
        <v>0.29067000000000004</v>
      </c>
      <c r="I97" s="16">
        <v>0</v>
      </c>
    </row>
    <row r="98" spans="1:9" ht="31.5" hidden="1" customHeight="1">
      <c r="A98" s="36"/>
      <c r="B98" s="94" t="s">
        <v>194</v>
      </c>
      <c r="C98" s="95" t="s">
        <v>149</v>
      </c>
      <c r="D98" s="36"/>
      <c r="E98" s="23"/>
      <c r="F98" s="23">
        <v>1</v>
      </c>
      <c r="G98" s="23">
        <v>762.37</v>
      </c>
      <c r="H98" s="124">
        <f t="shared" si="9"/>
        <v>0.76236999999999999</v>
      </c>
      <c r="I98" s="16">
        <v>0</v>
      </c>
    </row>
    <row r="99" spans="1:9" ht="15.75" hidden="1" customHeight="1">
      <c r="A99" s="36"/>
      <c r="B99" s="94" t="s">
        <v>148</v>
      </c>
      <c r="C99" s="95" t="s">
        <v>149</v>
      </c>
      <c r="D99" s="36"/>
      <c r="E99" s="23"/>
      <c r="F99" s="23">
        <v>4</v>
      </c>
      <c r="G99" s="23">
        <v>476.76</v>
      </c>
      <c r="H99" s="124">
        <f t="shared" si="9"/>
        <v>1.9070400000000001</v>
      </c>
      <c r="I99" s="16">
        <v>0</v>
      </c>
    </row>
    <row r="100" spans="1:9" ht="15.75" hidden="1" customHeight="1">
      <c r="A100" s="36"/>
      <c r="B100" s="94" t="s">
        <v>195</v>
      </c>
      <c r="C100" s="95" t="s">
        <v>196</v>
      </c>
      <c r="D100" s="36"/>
      <c r="E100" s="23"/>
      <c r="F100" s="23">
        <v>0.01</v>
      </c>
      <c r="G100" s="23">
        <v>7033.13</v>
      </c>
      <c r="H100" s="124">
        <f t="shared" si="9"/>
        <v>7.0331299999999999E-2</v>
      </c>
      <c r="I100" s="16">
        <v>0</v>
      </c>
    </row>
    <row r="101" spans="1:9" ht="15.75" hidden="1" customHeight="1">
      <c r="A101" s="36"/>
      <c r="B101" s="108" t="s">
        <v>158</v>
      </c>
      <c r="C101" s="109" t="s">
        <v>159</v>
      </c>
      <c r="D101" s="67"/>
      <c r="E101" s="16"/>
      <c r="F101" s="16">
        <f>58/3</f>
        <v>19.333333333333332</v>
      </c>
      <c r="G101" s="16">
        <v>1063.47</v>
      </c>
      <c r="H101" s="123">
        <f t="shared" si="9"/>
        <v>20.560419999999997</v>
      </c>
      <c r="I101" s="16">
        <v>0</v>
      </c>
    </row>
    <row r="102" spans="1:9" ht="31.5" hidden="1" customHeight="1">
      <c r="A102" s="36"/>
      <c r="B102" s="94" t="s">
        <v>92</v>
      </c>
      <c r="C102" s="95" t="s">
        <v>40</v>
      </c>
      <c r="D102" s="67"/>
      <c r="E102" s="16"/>
      <c r="F102" s="16">
        <v>7.0000000000000007E-2</v>
      </c>
      <c r="G102" s="16">
        <v>3397.65</v>
      </c>
      <c r="H102" s="123">
        <f>G102*F102/1000</f>
        <v>0.23783550000000003</v>
      </c>
      <c r="I102" s="16">
        <v>0</v>
      </c>
    </row>
    <row r="103" spans="1:9" ht="15.75" hidden="1" customHeight="1">
      <c r="A103" s="36"/>
      <c r="B103" s="94" t="s">
        <v>214</v>
      </c>
      <c r="C103" s="95" t="s">
        <v>90</v>
      </c>
      <c r="D103" s="67"/>
      <c r="E103" s="16"/>
      <c r="F103" s="16">
        <v>4</v>
      </c>
      <c r="G103" s="16">
        <v>664.36</v>
      </c>
      <c r="H103" s="123">
        <f>G103*F103/1000</f>
        <v>2.6574400000000002</v>
      </c>
      <c r="I103" s="16">
        <v>0</v>
      </c>
    </row>
    <row r="104" spans="1:9" ht="15.75" hidden="1" customHeight="1">
      <c r="A104" s="36"/>
      <c r="B104" s="94" t="s">
        <v>197</v>
      </c>
      <c r="C104" s="95" t="s">
        <v>149</v>
      </c>
      <c r="D104" s="67"/>
      <c r="E104" s="16"/>
      <c r="F104" s="16">
        <v>1</v>
      </c>
      <c r="G104" s="16">
        <v>454.22</v>
      </c>
      <c r="H104" s="123">
        <f>G104*F104/1000</f>
        <v>0.45422000000000001</v>
      </c>
      <c r="I104" s="16">
        <v>0</v>
      </c>
    </row>
    <row r="105" spans="1:9" ht="15.75" hidden="1" customHeight="1">
      <c r="A105" s="36"/>
      <c r="B105" s="94" t="s">
        <v>198</v>
      </c>
      <c r="C105" s="95" t="s">
        <v>111</v>
      </c>
      <c r="D105" s="67"/>
      <c r="E105" s="16"/>
      <c r="F105" s="16">
        <v>1</v>
      </c>
      <c r="G105" s="16">
        <v>45.79</v>
      </c>
      <c r="H105" s="123">
        <f t="shared" ref="H105:H111" si="10">G105*F105/1000</f>
        <v>4.5789999999999997E-2</v>
      </c>
      <c r="I105" s="16">
        <v>0</v>
      </c>
    </row>
    <row r="106" spans="1:9" ht="15.75" hidden="1" customHeight="1">
      <c r="A106" s="36"/>
      <c r="B106" s="94" t="s">
        <v>199</v>
      </c>
      <c r="C106" s="95" t="s">
        <v>111</v>
      </c>
      <c r="D106" s="67"/>
      <c r="E106" s="16"/>
      <c r="F106" s="16">
        <v>2</v>
      </c>
      <c r="G106" s="16">
        <v>78.89</v>
      </c>
      <c r="H106" s="123">
        <f t="shared" si="10"/>
        <v>0.15778</v>
      </c>
      <c r="I106" s="16">
        <v>0</v>
      </c>
    </row>
    <row r="107" spans="1:9" ht="15.75" hidden="1" customHeight="1">
      <c r="A107" s="36"/>
      <c r="B107" s="94" t="s">
        <v>200</v>
      </c>
      <c r="C107" s="95" t="s">
        <v>111</v>
      </c>
      <c r="D107" s="67"/>
      <c r="E107" s="16"/>
      <c r="F107" s="16">
        <v>2</v>
      </c>
      <c r="G107" s="16">
        <v>19.059999999999999</v>
      </c>
      <c r="H107" s="123">
        <f t="shared" si="10"/>
        <v>3.8119999999999994E-2</v>
      </c>
      <c r="I107" s="16">
        <v>0</v>
      </c>
    </row>
    <row r="108" spans="1:9" ht="15.75" hidden="1" customHeight="1">
      <c r="A108" s="36"/>
      <c r="B108" s="94" t="s">
        <v>201</v>
      </c>
      <c r="C108" s="99" t="s">
        <v>202</v>
      </c>
      <c r="D108" s="67"/>
      <c r="E108" s="16"/>
      <c r="F108" s="16">
        <v>1</v>
      </c>
      <c r="G108" s="16">
        <f>228.27</f>
        <v>228.27</v>
      </c>
      <c r="H108" s="123">
        <f t="shared" si="10"/>
        <v>0.22827</v>
      </c>
      <c r="I108" s="16">
        <v>0</v>
      </c>
    </row>
    <row r="109" spans="1:9" ht="31.5" hidden="1" customHeight="1">
      <c r="A109" s="36"/>
      <c r="B109" s="94" t="s">
        <v>162</v>
      </c>
      <c r="C109" s="20" t="s">
        <v>90</v>
      </c>
      <c r="D109" s="67"/>
      <c r="E109" s="16"/>
      <c r="F109" s="16">
        <v>12</v>
      </c>
      <c r="G109" s="16">
        <v>1187</v>
      </c>
      <c r="H109" s="123">
        <f t="shared" si="10"/>
        <v>14.244</v>
      </c>
      <c r="I109" s="16">
        <v>0</v>
      </c>
    </row>
    <row r="110" spans="1:9" ht="15.75" hidden="1" customHeight="1">
      <c r="A110" s="36"/>
      <c r="B110" s="94" t="s">
        <v>215</v>
      </c>
      <c r="C110" s="95" t="s">
        <v>111</v>
      </c>
      <c r="D110" s="67"/>
      <c r="E110" s="16"/>
      <c r="F110" s="16">
        <v>2</v>
      </c>
      <c r="G110" s="16">
        <v>29282.880000000001</v>
      </c>
      <c r="H110" s="123">
        <f t="shared" si="10"/>
        <v>58.565760000000004</v>
      </c>
      <c r="I110" s="16">
        <v>0</v>
      </c>
    </row>
    <row r="111" spans="1:9" ht="31.5" hidden="1" customHeight="1">
      <c r="A111" s="36"/>
      <c r="B111" s="94" t="s">
        <v>203</v>
      </c>
      <c r="C111" s="20" t="s">
        <v>90</v>
      </c>
      <c r="D111" s="67"/>
      <c r="E111" s="16"/>
      <c r="F111" s="16">
        <v>1.5</v>
      </c>
      <c r="G111" s="16">
        <v>2121</v>
      </c>
      <c r="H111" s="123">
        <f t="shared" si="10"/>
        <v>3.1815000000000002</v>
      </c>
      <c r="I111" s="16">
        <v>0</v>
      </c>
    </row>
    <row r="112" spans="1:9" ht="15.75" hidden="1" customHeight="1">
      <c r="A112" s="36"/>
      <c r="B112" s="94" t="s">
        <v>204</v>
      </c>
      <c r="C112" s="20" t="s">
        <v>111</v>
      </c>
      <c r="D112" s="67"/>
      <c r="E112" s="16"/>
      <c r="F112" s="16">
        <v>1</v>
      </c>
      <c r="G112" s="16">
        <v>470</v>
      </c>
      <c r="H112" s="123">
        <v>0.47</v>
      </c>
      <c r="I112" s="16">
        <v>0</v>
      </c>
    </row>
    <row r="113" spans="1:9" ht="15.75" hidden="1" customHeight="1">
      <c r="A113" s="36"/>
      <c r="B113" s="94" t="s">
        <v>205</v>
      </c>
      <c r="C113" s="95" t="s">
        <v>111</v>
      </c>
      <c r="D113" s="67"/>
      <c r="E113" s="16"/>
      <c r="F113" s="16">
        <v>1</v>
      </c>
      <c r="G113" s="16">
        <v>53.17</v>
      </c>
      <c r="H113" s="123">
        <f t="shared" ref="H113:H121" si="11">G113*F113/1000</f>
        <v>5.3170000000000002E-2</v>
      </c>
      <c r="I113" s="16">
        <v>0</v>
      </c>
    </row>
    <row r="114" spans="1:9" ht="15.75" hidden="1" customHeight="1">
      <c r="A114" s="36"/>
      <c r="B114" s="94" t="s">
        <v>206</v>
      </c>
      <c r="C114" s="95" t="s">
        <v>111</v>
      </c>
      <c r="D114" s="67"/>
      <c r="E114" s="16"/>
      <c r="F114" s="16">
        <v>2</v>
      </c>
      <c r="G114" s="16">
        <v>109.73</v>
      </c>
      <c r="H114" s="123">
        <f t="shared" si="11"/>
        <v>0.21946000000000002</v>
      </c>
      <c r="I114" s="16">
        <v>0</v>
      </c>
    </row>
    <row r="115" spans="1:9" ht="31.5" hidden="1" customHeight="1">
      <c r="A115" s="36"/>
      <c r="B115" s="94" t="s">
        <v>207</v>
      </c>
      <c r="C115" s="95" t="s">
        <v>208</v>
      </c>
      <c r="D115" s="67"/>
      <c r="E115" s="16"/>
      <c r="F115" s="16">
        <f>15/10</f>
        <v>1.5</v>
      </c>
      <c r="G115" s="16">
        <v>99.06</v>
      </c>
      <c r="H115" s="123">
        <f t="shared" si="11"/>
        <v>0.14859</v>
      </c>
      <c r="I115" s="16">
        <v>0</v>
      </c>
    </row>
    <row r="116" spans="1:9" ht="15.75" hidden="1" customHeight="1">
      <c r="A116" s="36"/>
      <c r="B116" s="94" t="s">
        <v>209</v>
      </c>
      <c r="C116" s="95" t="s">
        <v>210</v>
      </c>
      <c r="D116" s="67"/>
      <c r="E116" s="16"/>
      <c r="F116" s="16">
        <v>15</v>
      </c>
      <c r="G116" s="16">
        <v>83.63</v>
      </c>
      <c r="H116" s="123">
        <f t="shared" si="11"/>
        <v>1.2544499999999998</v>
      </c>
      <c r="I116" s="16">
        <v>0</v>
      </c>
    </row>
    <row r="117" spans="1:9" ht="15.75" hidden="1" customHeight="1">
      <c r="A117" s="36"/>
      <c r="B117" s="94" t="s">
        <v>211</v>
      </c>
      <c r="C117" s="95" t="s">
        <v>111</v>
      </c>
      <c r="D117" s="67"/>
      <c r="E117" s="16"/>
      <c r="F117" s="16">
        <v>1</v>
      </c>
      <c r="G117" s="16">
        <v>2179.33</v>
      </c>
      <c r="H117" s="123">
        <f t="shared" si="11"/>
        <v>2.1793299999999998</v>
      </c>
      <c r="I117" s="16">
        <v>0</v>
      </c>
    </row>
    <row r="118" spans="1:9" ht="15.75" hidden="1" customHeight="1">
      <c r="A118" s="36"/>
      <c r="B118" s="94" t="s">
        <v>212</v>
      </c>
      <c r="C118" s="95" t="s">
        <v>111</v>
      </c>
      <c r="D118" s="67"/>
      <c r="E118" s="16"/>
      <c r="F118" s="16">
        <v>5</v>
      </c>
      <c r="G118" s="16">
        <v>1061.4100000000001</v>
      </c>
      <c r="H118" s="123">
        <f t="shared" si="11"/>
        <v>5.3070500000000003</v>
      </c>
      <c r="I118" s="16">
        <v>0</v>
      </c>
    </row>
    <row r="119" spans="1:9" ht="15.75" hidden="1" customHeight="1">
      <c r="A119" s="36"/>
      <c r="B119" s="125" t="s">
        <v>94</v>
      </c>
      <c r="C119" s="95" t="s">
        <v>111</v>
      </c>
      <c r="D119" s="67"/>
      <c r="E119" s="16"/>
      <c r="F119" s="16">
        <v>1</v>
      </c>
      <c r="G119" s="16">
        <v>179.96</v>
      </c>
      <c r="H119" s="123">
        <f t="shared" si="11"/>
        <v>0.17996000000000001</v>
      </c>
      <c r="I119" s="16">
        <v>0</v>
      </c>
    </row>
    <row r="120" spans="1:9" ht="31.5" hidden="1" customHeight="1">
      <c r="A120" s="36"/>
      <c r="B120" s="94" t="s">
        <v>213</v>
      </c>
      <c r="C120" s="95" t="s">
        <v>154</v>
      </c>
      <c r="D120" s="67"/>
      <c r="E120" s="16"/>
      <c r="F120" s="16">
        <f>0.3/10</f>
        <v>0.03</v>
      </c>
      <c r="G120" s="16">
        <v>9750.4599999999991</v>
      </c>
      <c r="H120" s="123">
        <f t="shared" si="11"/>
        <v>0.29251379999999993</v>
      </c>
      <c r="I120" s="16">
        <v>0</v>
      </c>
    </row>
    <row r="121" spans="1:9" ht="31.5" hidden="1" customHeight="1">
      <c r="A121" s="36"/>
      <c r="B121" s="94" t="s">
        <v>153</v>
      </c>
      <c r="C121" s="99" t="s">
        <v>154</v>
      </c>
      <c r="D121" s="67"/>
      <c r="E121" s="16"/>
      <c r="F121" s="16">
        <f>(0.273+0.519)/10</f>
        <v>7.9200000000000007E-2</v>
      </c>
      <c r="G121" s="16">
        <v>8916.31</v>
      </c>
      <c r="H121" s="123">
        <f t="shared" si="11"/>
        <v>0.70617175199999993</v>
      </c>
      <c r="I121" s="16">
        <v>0</v>
      </c>
    </row>
    <row r="122" spans="1:9">
      <c r="A122" s="36"/>
      <c r="B122" s="61" t="s">
        <v>54</v>
      </c>
      <c r="C122" s="57"/>
      <c r="D122" s="70"/>
      <c r="E122" s="57">
        <v>1</v>
      </c>
      <c r="F122" s="57"/>
      <c r="G122" s="57"/>
      <c r="H122" s="57"/>
      <c r="I122" s="39">
        <f>SUM(I87:I121)</f>
        <v>4082.81</v>
      </c>
    </row>
    <row r="123" spans="1:9" ht="15.75" customHeight="1">
      <c r="A123" s="36"/>
      <c r="B123" s="67" t="s">
        <v>86</v>
      </c>
      <c r="C123" s="19"/>
      <c r="D123" s="19"/>
      <c r="E123" s="58"/>
      <c r="F123" s="58"/>
      <c r="G123" s="59"/>
      <c r="H123" s="59"/>
      <c r="I123" s="22">
        <v>0</v>
      </c>
    </row>
    <row r="124" spans="1:9" ht="15.75" customHeight="1">
      <c r="A124" s="71"/>
      <c r="B124" s="62" t="s">
        <v>55</v>
      </c>
      <c r="C124" s="45"/>
      <c r="D124" s="45"/>
      <c r="E124" s="45"/>
      <c r="F124" s="45"/>
      <c r="G124" s="45"/>
      <c r="H124" s="45"/>
      <c r="I124" s="60">
        <f>I85+I122</f>
        <v>83365.813390888899</v>
      </c>
    </row>
    <row r="125" spans="1:9" ht="15.75">
      <c r="A125" s="167" t="s">
        <v>240</v>
      </c>
      <c r="B125" s="167"/>
      <c r="C125" s="167"/>
      <c r="D125" s="167"/>
      <c r="E125" s="167"/>
      <c r="F125" s="167"/>
      <c r="G125" s="167"/>
      <c r="H125" s="167"/>
      <c r="I125" s="167"/>
    </row>
    <row r="126" spans="1:9" ht="15.75" customHeight="1">
      <c r="A126" s="106"/>
      <c r="B126" s="162" t="s">
        <v>241</v>
      </c>
      <c r="C126" s="162"/>
      <c r="D126" s="162"/>
      <c r="E126" s="162"/>
      <c r="F126" s="162"/>
      <c r="G126" s="162"/>
      <c r="H126" s="121"/>
      <c r="I126" s="3"/>
    </row>
    <row r="127" spans="1:9" ht="15.75" customHeight="1">
      <c r="A127" s="112"/>
      <c r="B127" s="158" t="s">
        <v>6</v>
      </c>
      <c r="C127" s="158"/>
      <c r="D127" s="158"/>
      <c r="E127" s="158"/>
      <c r="F127" s="158"/>
      <c r="G127" s="158"/>
      <c r="H127" s="31"/>
      <c r="I127" s="5"/>
    </row>
    <row r="128" spans="1:9" ht="15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5.75" customHeight="1">
      <c r="A129" s="163" t="s">
        <v>7</v>
      </c>
      <c r="B129" s="163"/>
      <c r="C129" s="163"/>
      <c r="D129" s="163"/>
      <c r="E129" s="163"/>
      <c r="F129" s="163"/>
      <c r="G129" s="163"/>
      <c r="H129" s="163"/>
      <c r="I129" s="163"/>
    </row>
    <row r="130" spans="1:9" ht="15.75" customHeight="1">
      <c r="A130" s="163" t="s">
        <v>8</v>
      </c>
      <c r="B130" s="163"/>
      <c r="C130" s="163"/>
      <c r="D130" s="163"/>
      <c r="E130" s="163"/>
      <c r="F130" s="163"/>
      <c r="G130" s="163"/>
      <c r="H130" s="163"/>
      <c r="I130" s="163"/>
    </row>
    <row r="131" spans="1:9" ht="15.75">
      <c r="A131" s="164" t="s">
        <v>65</v>
      </c>
      <c r="B131" s="164"/>
      <c r="C131" s="164"/>
      <c r="D131" s="164"/>
      <c r="E131" s="164"/>
      <c r="F131" s="164"/>
      <c r="G131" s="164"/>
      <c r="H131" s="164"/>
      <c r="I131" s="164"/>
    </row>
    <row r="132" spans="1:9" ht="15.75" customHeight="1">
      <c r="A132" s="11"/>
    </row>
    <row r="133" spans="1:9" ht="15.75">
      <c r="A133" s="165" t="s">
        <v>9</v>
      </c>
      <c r="B133" s="165"/>
      <c r="C133" s="165"/>
      <c r="D133" s="165"/>
      <c r="E133" s="165"/>
      <c r="F133" s="165"/>
      <c r="G133" s="165"/>
      <c r="H133" s="165"/>
      <c r="I133" s="165"/>
    </row>
    <row r="134" spans="1:9" ht="15.75" customHeight="1">
      <c r="A134" s="4"/>
    </row>
    <row r="135" spans="1:9" ht="15.75">
      <c r="B135" s="115" t="s">
        <v>10</v>
      </c>
      <c r="C135" s="157" t="s">
        <v>170</v>
      </c>
      <c r="D135" s="157"/>
      <c r="E135" s="157"/>
      <c r="F135" s="119"/>
      <c r="I135" s="116"/>
    </row>
    <row r="136" spans="1:9">
      <c r="A136" s="112"/>
      <c r="C136" s="158" t="s">
        <v>11</v>
      </c>
      <c r="D136" s="158"/>
      <c r="E136" s="158"/>
      <c r="F136" s="31"/>
      <c r="I136" s="114" t="s">
        <v>12</v>
      </c>
    </row>
    <row r="137" spans="1:9" ht="15.75">
      <c r="A137" s="32"/>
      <c r="C137" s="12"/>
      <c r="D137" s="12"/>
      <c r="G137" s="12"/>
      <c r="H137" s="12"/>
    </row>
    <row r="138" spans="1:9" ht="15.75" customHeight="1">
      <c r="B138" s="115" t="s">
        <v>13</v>
      </c>
      <c r="C138" s="159"/>
      <c r="D138" s="159"/>
      <c r="E138" s="159"/>
      <c r="F138" s="120"/>
      <c r="I138" s="116"/>
    </row>
    <row r="139" spans="1:9" ht="15.75" customHeight="1">
      <c r="A139" s="112"/>
      <c r="C139" s="160" t="s">
        <v>11</v>
      </c>
      <c r="D139" s="160"/>
      <c r="E139" s="160"/>
      <c r="F139" s="112"/>
      <c r="I139" s="114" t="s">
        <v>12</v>
      </c>
    </row>
    <row r="140" spans="1:9" ht="15.75" customHeight="1">
      <c r="A140" s="4" t="s">
        <v>14</v>
      </c>
    </row>
    <row r="141" spans="1:9">
      <c r="A141" s="161" t="s">
        <v>15</v>
      </c>
      <c r="B141" s="161"/>
      <c r="C141" s="161"/>
      <c r="D141" s="161"/>
      <c r="E141" s="161"/>
      <c r="F141" s="161"/>
      <c r="G141" s="161"/>
      <c r="H141" s="161"/>
      <c r="I141" s="161"/>
    </row>
    <row r="142" spans="1:9" ht="45" customHeight="1">
      <c r="A142" s="153" t="s">
        <v>16</v>
      </c>
      <c r="B142" s="153"/>
      <c r="C142" s="153"/>
      <c r="D142" s="153"/>
      <c r="E142" s="153"/>
      <c r="F142" s="153"/>
      <c r="G142" s="153"/>
      <c r="H142" s="153"/>
      <c r="I142" s="153"/>
    </row>
    <row r="143" spans="1:9" ht="30" customHeight="1">
      <c r="A143" s="153" t="s">
        <v>17</v>
      </c>
      <c r="B143" s="153"/>
      <c r="C143" s="153"/>
      <c r="D143" s="153"/>
      <c r="E143" s="153"/>
      <c r="F143" s="153"/>
      <c r="G143" s="153"/>
      <c r="H143" s="153"/>
      <c r="I143" s="153"/>
    </row>
    <row r="144" spans="1:9" ht="30" customHeight="1">
      <c r="A144" s="153" t="s">
        <v>21</v>
      </c>
      <c r="B144" s="153"/>
      <c r="C144" s="153"/>
      <c r="D144" s="153"/>
      <c r="E144" s="153"/>
      <c r="F144" s="153"/>
      <c r="G144" s="153"/>
      <c r="H144" s="153"/>
      <c r="I144" s="153"/>
    </row>
    <row r="145" spans="1:9" ht="15" customHeight="1">
      <c r="A145" s="153" t="s">
        <v>20</v>
      </c>
      <c r="B145" s="153"/>
      <c r="C145" s="153"/>
      <c r="D145" s="153"/>
      <c r="E145" s="153"/>
      <c r="F145" s="153"/>
      <c r="G145" s="153"/>
      <c r="H145" s="153"/>
      <c r="I145" s="153"/>
    </row>
  </sheetData>
  <mergeCells count="27">
    <mergeCell ref="A143:I143"/>
    <mergeCell ref="A144:I144"/>
    <mergeCell ref="A145:I145"/>
    <mergeCell ref="C135:E135"/>
    <mergeCell ref="C136:E136"/>
    <mergeCell ref="C138:E138"/>
    <mergeCell ref="C139:E139"/>
    <mergeCell ref="A141:I141"/>
    <mergeCell ref="A142:I142"/>
    <mergeCell ref="A133:I133"/>
    <mergeCell ref="A15:I15"/>
    <mergeCell ref="A28:I28"/>
    <mergeCell ref="A43:I43"/>
    <mergeCell ref="A54:I54"/>
    <mergeCell ref="A82:I82"/>
    <mergeCell ref="A125:I125"/>
    <mergeCell ref="B126:G126"/>
    <mergeCell ref="B127:G127"/>
    <mergeCell ref="A129:I129"/>
    <mergeCell ref="A130:I130"/>
    <mergeCell ref="A131:I13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242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243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42582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hidden="1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13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hidden="1" customHeight="1">
      <c r="A53" s="36">
        <v>14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172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13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hidden="1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hidden="1" customHeight="1">
      <c r="A73" s="36"/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v>0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173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14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15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I16+I17+I18+I20+I21+I24+I25+I26+I27+I30+I31+I33+I59+I83+I84</f>
        <v>59386.465390888894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16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15.75" customHeight="1">
      <c r="A88" s="36">
        <v>17</v>
      </c>
      <c r="B88" s="108" t="s">
        <v>158</v>
      </c>
      <c r="C88" s="109" t="s">
        <v>159</v>
      </c>
      <c r="D88" s="67"/>
      <c r="E88" s="16"/>
      <c r="F88" s="16">
        <f>58/3</f>
        <v>19.333333333333332</v>
      </c>
      <c r="G88" s="16">
        <v>1063.47</v>
      </c>
      <c r="H88" s="123">
        <f t="shared" ref="H88" si="8">G88*F88/1000</f>
        <v>20.560419999999997</v>
      </c>
      <c r="I88" s="16">
        <f>G88*((3+6+7)/3)</f>
        <v>5671.84</v>
      </c>
    </row>
    <row r="89" spans="1:9" ht="31.5" customHeight="1">
      <c r="A89" s="36">
        <v>18</v>
      </c>
      <c r="B89" s="94" t="s">
        <v>92</v>
      </c>
      <c r="C89" s="95" t="s">
        <v>40</v>
      </c>
      <c r="D89" s="67"/>
      <c r="E89" s="16"/>
      <c r="F89" s="16">
        <v>7.0000000000000007E-2</v>
      </c>
      <c r="G89" s="16">
        <v>3397.65</v>
      </c>
      <c r="H89" s="123">
        <f>G89*F89/1000</f>
        <v>0.23783550000000003</v>
      </c>
      <c r="I89" s="16">
        <f>G89*0.01</f>
        <v>33.976500000000001</v>
      </c>
    </row>
    <row r="90" spans="1:9">
      <c r="A90" s="36"/>
      <c r="B90" s="61" t="s">
        <v>54</v>
      </c>
      <c r="C90" s="57"/>
      <c r="D90" s="70"/>
      <c r="E90" s="57">
        <v>1</v>
      </c>
      <c r="F90" s="57"/>
      <c r="G90" s="57"/>
      <c r="H90" s="57"/>
      <c r="I90" s="39">
        <f>SUM(I87:I89)</f>
        <v>9709.5365000000002</v>
      </c>
    </row>
    <row r="91" spans="1:9" ht="15.75" customHeight="1">
      <c r="A91" s="36"/>
      <c r="B91" s="67" t="s">
        <v>86</v>
      </c>
      <c r="C91" s="19"/>
      <c r="D91" s="19"/>
      <c r="E91" s="58"/>
      <c r="F91" s="58"/>
      <c r="G91" s="59"/>
      <c r="H91" s="59"/>
      <c r="I91" s="22">
        <v>0</v>
      </c>
    </row>
    <row r="92" spans="1:9" ht="15.75" customHeight="1">
      <c r="A92" s="71"/>
      <c r="B92" s="62" t="s">
        <v>55</v>
      </c>
      <c r="C92" s="45"/>
      <c r="D92" s="45"/>
      <c r="E92" s="45"/>
      <c r="F92" s="45"/>
      <c r="G92" s="45"/>
      <c r="H92" s="45"/>
      <c r="I92" s="60">
        <f>I85+I90</f>
        <v>69096.001890888889</v>
      </c>
    </row>
    <row r="93" spans="1:9" ht="15.75">
      <c r="A93" s="167" t="s">
        <v>244</v>
      </c>
      <c r="B93" s="167"/>
      <c r="C93" s="167"/>
      <c r="D93" s="167"/>
      <c r="E93" s="167"/>
      <c r="F93" s="167"/>
      <c r="G93" s="167"/>
      <c r="H93" s="167"/>
      <c r="I93" s="167"/>
    </row>
    <row r="94" spans="1:9" ht="15.75" customHeight="1">
      <c r="A94" s="106"/>
      <c r="B94" s="162" t="s">
        <v>245</v>
      </c>
      <c r="C94" s="162"/>
      <c r="D94" s="162"/>
      <c r="E94" s="162"/>
      <c r="F94" s="162"/>
      <c r="G94" s="162"/>
      <c r="H94" s="121"/>
      <c r="I94" s="3"/>
    </row>
    <row r="95" spans="1:9" ht="15.75" customHeight="1">
      <c r="A95" s="112"/>
      <c r="B95" s="158" t="s">
        <v>6</v>
      </c>
      <c r="C95" s="158"/>
      <c r="D95" s="158"/>
      <c r="E95" s="158"/>
      <c r="F95" s="158"/>
      <c r="G95" s="158"/>
      <c r="H95" s="31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3" t="s">
        <v>7</v>
      </c>
      <c r="B97" s="163"/>
      <c r="C97" s="163"/>
      <c r="D97" s="163"/>
      <c r="E97" s="163"/>
      <c r="F97" s="163"/>
      <c r="G97" s="163"/>
      <c r="H97" s="163"/>
      <c r="I97" s="163"/>
    </row>
    <row r="98" spans="1:9" ht="15.75" customHeight="1">
      <c r="A98" s="163" t="s">
        <v>8</v>
      </c>
      <c r="B98" s="163"/>
      <c r="C98" s="163"/>
      <c r="D98" s="163"/>
      <c r="E98" s="163"/>
      <c r="F98" s="163"/>
      <c r="G98" s="163"/>
      <c r="H98" s="163"/>
      <c r="I98" s="163"/>
    </row>
    <row r="99" spans="1:9" ht="15.75">
      <c r="A99" s="164" t="s">
        <v>65</v>
      </c>
      <c r="B99" s="164"/>
      <c r="C99" s="164"/>
      <c r="D99" s="164"/>
      <c r="E99" s="164"/>
      <c r="F99" s="164"/>
      <c r="G99" s="164"/>
      <c r="H99" s="164"/>
      <c r="I99" s="164"/>
    </row>
    <row r="100" spans="1:9" ht="15.75" customHeight="1">
      <c r="A100" s="11"/>
    </row>
    <row r="101" spans="1:9" ht="15.75">
      <c r="A101" s="165" t="s">
        <v>9</v>
      </c>
      <c r="B101" s="165"/>
      <c r="C101" s="165"/>
      <c r="D101" s="165"/>
      <c r="E101" s="165"/>
      <c r="F101" s="165"/>
      <c r="G101" s="165"/>
      <c r="H101" s="165"/>
      <c r="I101" s="165"/>
    </row>
    <row r="102" spans="1:9" ht="15.75" customHeight="1">
      <c r="A102" s="4"/>
    </row>
    <row r="103" spans="1:9" ht="15.75">
      <c r="B103" s="115" t="s">
        <v>10</v>
      </c>
      <c r="C103" s="157" t="s">
        <v>170</v>
      </c>
      <c r="D103" s="157"/>
      <c r="E103" s="157"/>
      <c r="F103" s="119"/>
      <c r="I103" s="116"/>
    </row>
    <row r="104" spans="1:9">
      <c r="A104" s="112"/>
      <c r="C104" s="158" t="s">
        <v>11</v>
      </c>
      <c r="D104" s="158"/>
      <c r="E104" s="158"/>
      <c r="F104" s="31"/>
      <c r="I104" s="114" t="s">
        <v>12</v>
      </c>
    </row>
    <row r="105" spans="1:9" ht="15.75">
      <c r="A105" s="32"/>
      <c r="C105" s="12"/>
      <c r="D105" s="12"/>
      <c r="G105" s="12"/>
      <c r="H105" s="12"/>
    </row>
    <row r="106" spans="1:9" ht="15.75" customHeight="1">
      <c r="B106" s="115" t="s">
        <v>13</v>
      </c>
      <c r="C106" s="159"/>
      <c r="D106" s="159"/>
      <c r="E106" s="159"/>
      <c r="F106" s="120"/>
      <c r="I106" s="116"/>
    </row>
    <row r="107" spans="1:9" ht="15.75" customHeight="1">
      <c r="A107" s="112"/>
      <c r="C107" s="160" t="s">
        <v>11</v>
      </c>
      <c r="D107" s="160"/>
      <c r="E107" s="160"/>
      <c r="F107" s="112"/>
      <c r="I107" s="114" t="s">
        <v>12</v>
      </c>
    </row>
    <row r="108" spans="1:9" ht="15.75" customHeight="1">
      <c r="A108" s="4" t="s">
        <v>14</v>
      </c>
    </row>
    <row r="109" spans="1:9">
      <c r="A109" s="161" t="s">
        <v>15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45" customHeight="1">
      <c r="A110" s="153" t="s">
        <v>16</v>
      </c>
      <c r="B110" s="153"/>
      <c r="C110" s="153"/>
      <c r="D110" s="153"/>
      <c r="E110" s="153"/>
      <c r="F110" s="153"/>
      <c r="G110" s="153"/>
      <c r="H110" s="153"/>
      <c r="I110" s="153"/>
    </row>
    <row r="111" spans="1:9" ht="30" customHeight="1">
      <c r="A111" s="153" t="s">
        <v>17</v>
      </c>
      <c r="B111" s="153"/>
      <c r="C111" s="153"/>
      <c r="D111" s="153"/>
      <c r="E111" s="153"/>
      <c r="F111" s="153"/>
      <c r="G111" s="153"/>
      <c r="H111" s="153"/>
      <c r="I111" s="153"/>
    </row>
    <row r="112" spans="1:9" ht="30" customHeight="1">
      <c r="A112" s="153" t="s">
        <v>21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15" customHeight="1">
      <c r="A113" s="153" t="s">
        <v>20</v>
      </c>
      <c r="B113" s="153"/>
      <c r="C113" s="153"/>
      <c r="D113" s="153"/>
      <c r="E113" s="153"/>
      <c r="F113" s="153"/>
      <c r="G113" s="153"/>
      <c r="H113" s="153"/>
      <c r="I113" s="153"/>
    </row>
  </sheetData>
  <mergeCells count="27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3:I43"/>
    <mergeCell ref="A54:I54"/>
    <mergeCell ref="A82:I82"/>
    <mergeCell ref="A93:I93"/>
    <mergeCell ref="B94:G94"/>
    <mergeCell ref="B95:G95"/>
    <mergeCell ref="A97:I97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246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247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42613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hidden="1" customHeight="1">
      <c r="A44" s="36"/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v>0</v>
      </c>
    </row>
    <row r="45" spans="1:9" ht="15.75" hidden="1" customHeight="1">
      <c r="A45" s="36"/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v>0</v>
      </c>
    </row>
    <row r="46" spans="1:9" ht="15.75" hidden="1" customHeight="1">
      <c r="A46" s="36"/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v>0</v>
      </c>
    </row>
    <row r="47" spans="1:9" ht="15.75" hidden="1" customHeight="1">
      <c r="A47" s="36"/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v>0</v>
      </c>
    </row>
    <row r="48" spans="1:9" ht="15.75" hidden="1" customHeight="1">
      <c r="A48" s="36"/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v>0</v>
      </c>
    </row>
    <row r="49" spans="1:9" ht="15.75" hidden="1" customHeight="1">
      <c r="A49" s="36">
        <v>16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customHeight="1">
      <c r="A53" s="36">
        <v>13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14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6">SUM(F61*G61/1000)</f>
        <v>0.95099999999999996</v>
      </c>
      <c r="I61" s="16">
        <v>0</v>
      </c>
    </row>
    <row r="62" spans="1:9" ht="15.75" hidden="1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hidden="1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6"/>
        <v>6.6719999999999997</v>
      </c>
      <c r="I63" s="16">
        <f>G63</f>
        <v>222.4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6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6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6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6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6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6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6"/>
        <v>5.6</v>
      </c>
      <c r="I70" s="16">
        <f>F70*G70</f>
        <v>5600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6"/>
        <v>0.49880000000000002</v>
      </c>
      <c r="I71" s="16">
        <v>0</v>
      </c>
    </row>
    <row r="72" spans="1:9" ht="15.75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customHeight="1">
      <c r="A73" s="36">
        <v>15</v>
      </c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6"/>
        <v>8.0259199999999993</v>
      </c>
      <c r="I73" s="16">
        <f>G73*0.2</f>
        <v>100.32400000000001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6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7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6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16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17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I16+I17+I18+I20+I21+I24+I25+I26+I27+I30+I31+I33+I53+I59+I73+I83+I84</f>
        <v>69993.989390888906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18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15.75" customHeight="1">
      <c r="A88" s="36">
        <v>19</v>
      </c>
      <c r="B88" s="108" t="s">
        <v>158</v>
      </c>
      <c r="C88" s="109" t="s">
        <v>159</v>
      </c>
      <c r="D88" s="67"/>
      <c r="E88" s="16"/>
      <c r="F88" s="16">
        <f>58/3</f>
        <v>19.333333333333332</v>
      </c>
      <c r="G88" s="16">
        <v>1063.47</v>
      </c>
      <c r="H88" s="123">
        <f t="shared" ref="H88" si="8">G88*F88/1000</f>
        <v>20.560419999999997</v>
      </c>
      <c r="I88" s="16">
        <f>G88*4</f>
        <v>4253.88</v>
      </c>
    </row>
    <row r="89" spans="1:9" ht="31.5" customHeight="1">
      <c r="A89" s="36">
        <v>20</v>
      </c>
      <c r="B89" s="94" t="s">
        <v>92</v>
      </c>
      <c r="C89" s="95" t="s">
        <v>40</v>
      </c>
      <c r="D89" s="67"/>
      <c r="E89" s="16"/>
      <c r="F89" s="16">
        <v>7.0000000000000007E-2</v>
      </c>
      <c r="G89" s="16">
        <v>3397.65</v>
      </c>
      <c r="H89" s="123">
        <f>G89*F89/1000</f>
        <v>0.23783550000000003</v>
      </c>
      <c r="I89" s="16">
        <f>G89*0.02</f>
        <v>67.953000000000003</v>
      </c>
    </row>
    <row r="90" spans="1:9" ht="15.75" customHeight="1">
      <c r="A90" s="36">
        <v>21</v>
      </c>
      <c r="B90" s="94" t="s">
        <v>214</v>
      </c>
      <c r="C90" s="95" t="s">
        <v>90</v>
      </c>
      <c r="D90" s="67"/>
      <c r="E90" s="16"/>
      <c r="F90" s="16">
        <v>4</v>
      </c>
      <c r="G90" s="16">
        <v>664.36</v>
      </c>
      <c r="H90" s="123">
        <f>G90*F90/1000</f>
        <v>2.6574400000000002</v>
      </c>
      <c r="I90" s="16">
        <f>G90*2</f>
        <v>1328.72</v>
      </c>
    </row>
    <row r="91" spans="1:9" ht="15.75" customHeight="1">
      <c r="A91" s="36">
        <v>22</v>
      </c>
      <c r="B91" s="94" t="s">
        <v>197</v>
      </c>
      <c r="C91" s="95" t="s">
        <v>149</v>
      </c>
      <c r="D91" s="67"/>
      <c r="E91" s="16"/>
      <c r="F91" s="16">
        <v>1</v>
      </c>
      <c r="G91" s="16">
        <v>454.22</v>
      </c>
      <c r="H91" s="123">
        <f>G91*F91/1000</f>
        <v>0.45422000000000001</v>
      </c>
      <c r="I91" s="16">
        <f>G91</f>
        <v>454.22</v>
      </c>
    </row>
    <row r="92" spans="1:9" ht="15.75" customHeight="1">
      <c r="A92" s="36">
        <v>23</v>
      </c>
      <c r="B92" s="94" t="s">
        <v>198</v>
      </c>
      <c r="C92" s="95" t="s">
        <v>111</v>
      </c>
      <c r="D92" s="67"/>
      <c r="E92" s="16"/>
      <c r="F92" s="16">
        <v>1</v>
      </c>
      <c r="G92" s="16">
        <v>45.79</v>
      </c>
      <c r="H92" s="123">
        <f t="shared" ref="H92:H97" si="9">G92*F92/1000</f>
        <v>4.5789999999999997E-2</v>
      </c>
      <c r="I92" s="16">
        <f t="shared" ref="I92:I93" si="10">G92</f>
        <v>45.79</v>
      </c>
    </row>
    <row r="93" spans="1:9" ht="15.75" customHeight="1">
      <c r="A93" s="36">
        <v>24</v>
      </c>
      <c r="B93" s="94" t="s">
        <v>199</v>
      </c>
      <c r="C93" s="95" t="s">
        <v>111</v>
      </c>
      <c r="D93" s="67"/>
      <c r="E93" s="16"/>
      <c r="F93" s="16">
        <v>2</v>
      </c>
      <c r="G93" s="16">
        <v>78.89</v>
      </c>
      <c r="H93" s="123">
        <f t="shared" si="9"/>
        <v>0.15778</v>
      </c>
      <c r="I93" s="16">
        <f t="shared" si="10"/>
        <v>78.89</v>
      </c>
    </row>
    <row r="94" spans="1:9" ht="15.75" customHeight="1">
      <c r="A94" s="36">
        <v>25</v>
      </c>
      <c r="B94" s="94" t="s">
        <v>200</v>
      </c>
      <c r="C94" s="95" t="s">
        <v>111</v>
      </c>
      <c r="D94" s="67"/>
      <c r="E94" s="16"/>
      <c r="F94" s="16">
        <v>2</v>
      </c>
      <c r="G94" s="16">
        <v>19.059999999999999</v>
      </c>
      <c r="H94" s="123">
        <f t="shared" si="9"/>
        <v>3.8119999999999994E-2</v>
      </c>
      <c r="I94" s="16">
        <f>G94*2</f>
        <v>38.119999999999997</v>
      </c>
    </row>
    <row r="95" spans="1:9" ht="15.75" customHeight="1">
      <c r="A95" s="36">
        <v>26</v>
      </c>
      <c r="B95" s="94" t="s">
        <v>201</v>
      </c>
      <c r="C95" s="99" t="s">
        <v>202</v>
      </c>
      <c r="D95" s="67"/>
      <c r="E95" s="16"/>
      <c r="F95" s="16">
        <v>1</v>
      </c>
      <c r="G95" s="16">
        <f>228.27</f>
        <v>228.27</v>
      </c>
      <c r="H95" s="123">
        <f t="shared" si="9"/>
        <v>0.22827</v>
      </c>
      <c r="I95" s="16">
        <f>G95</f>
        <v>228.27</v>
      </c>
    </row>
    <row r="96" spans="1:9" ht="31.5" customHeight="1">
      <c r="A96" s="36">
        <v>27</v>
      </c>
      <c r="B96" s="94" t="s">
        <v>162</v>
      </c>
      <c r="C96" s="20" t="s">
        <v>90</v>
      </c>
      <c r="D96" s="67"/>
      <c r="E96" s="16"/>
      <c r="F96" s="16">
        <v>12</v>
      </c>
      <c r="G96" s="16">
        <v>1187</v>
      </c>
      <c r="H96" s="123">
        <f t="shared" si="9"/>
        <v>14.244</v>
      </c>
      <c r="I96" s="16">
        <f>G96*8</f>
        <v>9496</v>
      </c>
    </row>
    <row r="97" spans="1:9" ht="15.75" customHeight="1">
      <c r="A97" s="36">
        <v>28</v>
      </c>
      <c r="B97" s="94" t="s">
        <v>215</v>
      </c>
      <c r="C97" s="95" t="s">
        <v>111</v>
      </c>
      <c r="D97" s="67"/>
      <c r="E97" s="16"/>
      <c r="F97" s="16">
        <v>2</v>
      </c>
      <c r="G97" s="16">
        <v>29282.880000000001</v>
      </c>
      <c r="H97" s="123">
        <f t="shared" si="9"/>
        <v>58.565760000000004</v>
      </c>
      <c r="I97" s="16">
        <f>G97*2</f>
        <v>58565.760000000002</v>
      </c>
    </row>
    <row r="98" spans="1:9">
      <c r="A98" s="36"/>
      <c r="B98" s="61" t="s">
        <v>54</v>
      </c>
      <c r="C98" s="57"/>
      <c r="D98" s="70"/>
      <c r="E98" s="57">
        <v>1</v>
      </c>
      <c r="F98" s="57"/>
      <c r="G98" s="57"/>
      <c r="H98" s="57"/>
      <c r="I98" s="39">
        <f>SUM(I87:I97)</f>
        <v>78561.323000000004</v>
      </c>
    </row>
    <row r="99" spans="1:9" ht="15.75" customHeight="1">
      <c r="A99" s="36"/>
      <c r="B99" s="67" t="s">
        <v>86</v>
      </c>
      <c r="C99" s="19"/>
      <c r="D99" s="19"/>
      <c r="E99" s="58"/>
      <c r="F99" s="58"/>
      <c r="G99" s="59"/>
      <c r="H99" s="59"/>
      <c r="I99" s="22">
        <v>0</v>
      </c>
    </row>
    <row r="100" spans="1:9" ht="15.75" customHeight="1">
      <c r="A100" s="71"/>
      <c r="B100" s="62" t="s">
        <v>55</v>
      </c>
      <c r="C100" s="45"/>
      <c r="D100" s="45"/>
      <c r="E100" s="45"/>
      <c r="F100" s="45"/>
      <c r="G100" s="45"/>
      <c r="H100" s="45"/>
      <c r="I100" s="60">
        <f>I85+I98</f>
        <v>148555.31239088892</v>
      </c>
    </row>
    <row r="101" spans="1:9" ht="15.75">
      <c r="A101" s="167" t="s">
        <v>248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 customHeight="1">
      <c r="A102" s="106"/>
      <c r="B102" s="162" t="s">
        <v>249</v>
      </c>
      <c r="C102" s="162"/>
      <c r="D102" s="162"/>
      <c r="E102" s="162"/>
      <c r="F102" s="162"/>
      <c r="G102" s="162"/>
      <c r="H102" s="121"/>
      <c r="I102" s="3"/>
    </row>
    <row r="103" spans="1:9" ht="15.75" customHeight="1">
      <c r="A103" s="112"/>
      <c r="B103" s="158" t="s">
        <v>6</v>
      </c>
      <c r="C103" s="158"/>
      <c r="D103" s="158"/>
      <c r="E103" s="158"/>
      <c r="F103" s="158"/>
      <c r="G103" s="158"/>
      <c r="H103" s="31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3" t="s">
        <v>7</v>
      </c>
      <c r="B105" s="163"/>
      <c r="C105" s="163"/>
      <c r="D105" s="163"/>
      <c r="E105" s="163"/>
      <c r="F105" s="163"/>
      <c r="G105" s="163"/>
      <c r="H105" s="163"/>
      <c r="I105" s="163"/>
    </row>
    <row r="106" spans="1:9" ht="15.75" customHeight="1">
      <c r="A106" s="163" t="s">
        <v>8</v>
      </c>
      <c r="B106" s="163"/>
      <c r="C106" s="163"/>
      <c r="D106" s="163"/>
      <c r="E106" s="163"/>
      <c r="F106" s="163"/>
      <c r="G106" s="163"/>
      <c r="H106" s="163"/>
      <c r="I106" s="163"/>
    </row>
    <row r="107" spans="1:9" ht="15.75">
      <c r="A107" s="164" t="s">
        <v>65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 customHeight="1">
      <c r="A108" s="11"/>
    </row>
    <row r="109" spans="1:9" ht="15.75">
      <c r="A109" s="165" t="s">
        <v>9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15.75" customHeight="1">
      <c r="A110" s="4"/>
    </row>
    <row r="111" spans="1:9" ht="15.75">
      <c r="B111" s="115" t="s">
        <v>10</v>
      </c>
      <c r="C111" s="157" t="s">
        <v>170</v>
      </c>
      <c r="D111" s="157"/>
      <c r="E111" s="157"/>
      <c r="F111" s="119"/>
      <c r="I111" s="116"/>
    </row>
    <row r="112" spans="1:9">
      <c r="A112" s="112"/>
      <c r="C112" s="158" t="s">
        <v>11</v>
      </c>
      <c r="D112" s="158"/>
      <c r="E112" s="158"/>
      <c r="F112" s="31"/>
      <c r="I112" s="114" t="s">
        <v>12</v>
      </c>
    </row>
    <row r="113" spans="1:9" ht="15.75">
      <c r="A113" s="32"/>
      <c r="C113" s="12"/>
      <c r="D113" s="12"/>
      <c r="G113" s="12"/>
      <c r="H113" s="12"/>
    </row>
    <row r="114" spans="1:9" ht="15.75" customHeight="1">
      <c r="B114" s="115" t="s">
        <v>13</v>
      </c>
      <c r="C114" s="159"/>
      <c r="D114" s="159"/>
      <c r="E114" s="159"/>
      <c r="F114" s="120"/>
      <c r="I114" s="116"/>
    </row>
    <row r="115" spans="1:9" ht="15.75" customHeight="1">
      <c r="A115" s="112"/>
      <c r="C115" s="160" t="s">
        <v>11</v>
      </c>
      <c r="D115" s="160"/>
      <c r="E115" s="160"/>
      <c r="F115" s="112"/>
      <c r="I115" s="114" t="s">
        <v>12</v>
      </c>
    </row>
    <row r="116" spans="1:9" ht="15.75" customHeight="1">
      <c r="A116" s="4" t="s">
        <v>14</v>
      </c>
    </row>
    <row r="117" spans="1:9">
      <c r="A117" s="161" t="s">
        <v>15</v>
      </c>
      <c r="B117" s="161"/>
      <c r="C117" s="161"/>
      <c r="D117" s="161"/>
      <c r="E117" s="161"/>
      <c r="F117" s="161"/>
      <c r="G117" s="161"/>
      <c r="H117" s="161"/>
      <c r="I117" s="161"/>
    </row>
    <row r="118" spans="1:9" ht="45" customHeight="1">
      <c r="A118" s="153" t="s">
        <v>16</v>
      </c>
      <c r="B118" s="153"/>
      <c r="C118" s="153"/>
      <c r="D118" s="153"/>
      <c r="E118" s="153"/>
      <c r="F118" s="153"/>
      <c r="G118" s="153"/>
      <c r="H118" s="153"/>
      <c r="I118" s="153"/>
    </row>
    <row r="119" spans="1:9" ht="30" customHeight="1">
      <c r="A119" s="153" t="s">
        <v>17</v>
      </c>
      <c r="B119" s="153"/>
      <c r="C119" s="153"/>
      <c r="D119" s="153"/>
      <c r="E119" s="153"/>
      <c r="F119" s="153"/>
      <c r="G119" s="153"/>
      <c r="H119" s="153"/>
      <c r="I119" s="153"/>
    </row>
    <row r="120" spans="1:9" ht="30" customHeight="1">
      <c r="A120" s="153" t="s">
        <v>21</v>
      </c>
      <c r="B120" s="153"/>
      <c r="C120" s="153"/>
      <c r="D120" s="153"/>
      <c r="E120" s="153"/>
      <c r="F120" s="153"/>
      <c r="G120" s="153"/>
      <c r="H120" s="153"/>
      <c r="I120" s="153"/>
    </row>
    <row r="121" spans="1:9" ht="15" customHeight="1">
      <c r="A121" s="153" t="s">
        <v>20</v>
      </c>
      <c r="B121" s="153"/>
      <c r="C121" s="153"/>
      <c r="D121" s="153"/>
      <c r="E121" s="153"/>
      <c r="F121" s="153"/>
      <c r="G121" s="153"/>
      <c r="H121" s="153"/>
      <c r="I121" s="153"/>
    </row>
  </sheetData>
  <mergeCells count="27">
    <mergeCell ref="A119:I119"/>
    <mergeCell ref="A120:I120"/>
    <mergeCell ref="A121:I121"/>
    <mergeCell ref="C111:E111"/>
    <mergeCell ref="C112:E112"/>
    <mergeCell ref="C114:E114"/>
    <mergeCell ref="C115:E115"/>
    <mergeCell ref="A117:I117"/>
    <mergeCell ref="A118:I118"/>
    <mergeCell ref="A109:I109"/>
    <mergeCell ref="A15:I15"/>
    <mergeCell ref="A28:I28"/>
    <mergeCell ref="A43:I43"/>
    <mergeCell ref="A54:I54"/>
    <mergeCell ref="A82:I82"/>
    <mergeCell ref="A101:I101"/>
    <mergeCell ref="B102:G102"/>
    <mergeCell ref="B103:G103"/>
    <mergeCell ref="A105:I105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69" t="s">
        <v>250</v>
      </c>
      <c r="B3" s="169"/>
      <c r="C3" s="169"/>
      <c r="D3" s="169"/>
      <c r="E3" s="169"/>
      <c r="F3" s="169"/>
      <c r="G3" s="169"/>
      <c r="H3" s="169"/>
      <c r="I3" s="169"/>
    </row>
    <row r="4" spans="1:9" ht="31.5" customHeight="1">
      <c r="A4" s="170" t="s">
        <v>157</v>
      </c>
      <c r="B4" s="170"/>
      <c r="C4" s="170"/>
      <c r="D4" s="170"/>
      <c r="E4" s="170"/>
      <c r="F4" s="170"/>
      <c r="G4" s="170"/>
      <c r="H4" s="170"/>
      <c r="I4" s="170"/>
    </row>
    <row r="5" spans="1:9" ht="15.75">
      <c r="A5" s="169" t="s">
        <v>251</v>
      </c>
      <c r="B5" s="171"/>
      <c r="C5" s="171"/>
      <c r="D5" s="171"/>
      <c r="E5" s="171"/>
      <c r="F5" s="171"/>
      <c r="G5" s="171"/>
      <c r="H5" s="171"/>
      <c r="I5" s="171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7">
        <v>42643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78.75" customHeight="1">
      <c r="A8" s="172" t="s">
        <v>166</v>
      </c>
      <c r="B8" s="172"/>
      <c r="C8" s="172"/>
      <c r="D8" s="172"/>
      <c r="E8" s="172"/>
      <c r="F8" s="172"/>
      <c r="G8" s="172"/>
      <c r="H8" s="172"/>
      <c r="I8" s="172"/>
    </row>
    <row r="9" spans="1:9" ht="15.75">
      <c r="A9" s="4"/>
    </row>
    <row r="10" spans="1:9" ht="47.25" customHeight="1">
      <c r="A10" s="173" t="s">
        <v>167</v>
      </c>
      <c r="B10" s="173"/>
      <c r="C10" s="173"/>
      <c r="D10" s="173"/>
      <c r="E10" s="173"/>
      <c r="F10" s="173"/>
      <c r="G10" s="173"/>
      <c r="H10" s="173"/>
      <c r="I10" s="173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8" t="s">
        <v>63</v>
      </c>
      <c r="B14" s="168"/>
      <c r="C14" s="168"/>
      <c r="D14" s="168"/>
      <c r="E14" s="168"/>
      <c r="F14" s="168"/>
      <c r="G14" s="168"/>
      <c r="H14" s="168"/>
      <c r="I14" s="168"/>
    </row>
    <row r="15" spans="1:9" ht="15" customHeight="1">
      <c r="A15" s="166" t="s">
        <v>4</v>
      </c>
      <c r="B15" s="166"/>
      <c r="C15" s="166"/>
      <c r="D15" s="166"/>
      <c r="E15" s="166"/>
      <c r="F15" s="166"/>
      <c r="G15" s="166"/>
      <c r="H15" s="166"/>
      <c r="I15" s="166"/>
    </row>
    <row r="16" spans="1:9" ht="31.5" customHeight="1">
      <c r="A16" s="36">
        <v>1</v>
      </c>
      <c r="B16" s="126" t="s">
        <v>120</v>
      </c>
      <c r="C16" s="127" t="s">
        <v>99</v>
      </c>
      <c r="D16" s="126" t="s">
        <v>121</v>
      </c>
      <c r="E16" s="128">
        <v>121.14</v>
      </c>
      <c r="F16" s="129">
        <f>SUM(E16*156/100)</f>
        <v>188.97839999999999</v>
      </c>
      <c r="G16" s="129">
        <v>175.38</v>
      </c>
      <c r="H16" s="130">
        <f t="shared" ref="H16:H25" si="0">SUM(F16*G16/1000)</f>
        <v>33.143031792000002</v>
      </c>
      <c r="I16" s="16">
        <f>F16/12*G16</f>
        <v>2761.9193159999995</v>
      </c>
    </row>
    <row r="17" spans="1:9" ht="31.5" customHeight="1">
      <c r="A17" s="36">
        <v>2</v>
      </c>
      <c r="B17" s="126" t="s">
        <v>122</v>
      </c>
      <c r="C17" s="127" t="s">
        <v>99</v>
      </c>
      <c r="D17" s="126" t="s">
        <v>123</v>
      </c>
      <c r="E17" s="128">
        <v>484.56</v>
      </c>
      <c r="F17" s="129">
        <f>SUM(E17*104/100)</f>
        <v>503.94239999999996</v>
      </c>
      <c r="G17" s="129">
        <v>175.38</v>
      </c>
      <c r="H17" s="130">
        <f t="shared" si="0"/>
        <v>88.381418111999992</v>
      </c>
      <c r="I17" s="16">
        <f>F17/12*G17</f>
        <v>7365.118175999999</v>
      </c>
    </row>
    <row r="18" spans="1:9" ht="31.5" customHeight="1">
      <c r="A18" s="36">
        <v>3</v>
      </c>
      <c r="B18" s="126" t="s">
        <v>124</v>
      </c>
      <c r="C18" s="127" t="s">
        <v>99</v>
      </c>
      <c r="D18" s="126" t="s">
        <v>140</v>
      </c>
      <c r="E18" s="128">
        <f>SUM(E16+E17)</f>
        <v>605.70000000000005</v>
      </c>
      <c r="F18" s="129">
        <f>SUM(E18*24/100)</f>
        <v>145.36800000000002</v>
      </c>
      <c r="G18" s="129">
        <v>504.5</v>
      </c>
      <c r="H18" s="130">
        <f t="shared" si="0"/>
        <v>73.338156000000012</v>
      </c>
      <c r="I18" s="16">
        <f>F18/12*G18</f>
        <v>6111.5130000000008</v>
      </c>
    </row>
    <row r="19" spans="1:9" ht="15.75" hidden="1" customHeight="1">
      <c r="A19" s="36"/>
      <c r="B19" s="126" t="s">
        <v>125</v>
      </c>
      <c r="C19" s="127" t="s">
        <v>126</v>
      </c>
      <c r="D19" s="126" t="s">
        <v>127</v>
      </c>
      <c r="E19" s="128">
        <v>38.4</v>
      </c>
      <c r="F19" s="129">
        <f>SUM(E19/10)</f>
        <v>3.84</v>
      </c>
      <c r="G19" s="129">
        <v>170.16</v>
      </c>
      <c r="H19" s="130">
        <f t="shared" si="0"/>
        <v>0.65341439999999995</v>
      </c>
      <c r="I19" s="16">
        <v>0</v>
      </c>
    </row>
    <row r="20" spans="1:9" ht="15.75" customHeight="1">
      <c r="A20" s="36">
        <v>4</v>
      </c>
      <c r="B20" s="126" t="s">
        <v>128</v>
      </c>
      <c r="C20" s="127" t="s">
        <v>99</v>
      </c>
      <c r="D20" s="126" t="s">
        <v>31</v>
      </c>
      <c r="E20" s="128">
        <v>58.4</v>
      </c>
      <c r="F20" s="129">
        <f>SUM(E20*12/100)</f>
        <v>7.0079999999999991</v>
      </c>
      <c r="G20" s="129">
        <v>217.88</v>
      </c>
      <c r="H20" s="130">
        <f t="shared" si="0"/>
        <v>1.5269030399999997</v>
      </c>
      <c r="I20" s="16">
        <f>F20/12*G20</f>
        <v>127.24191999999999</v>
      </c>
    </row>
    <row r="21" spans="1:9" ht="15.75" customHeight="1">
      <c r="A21" s="36">
        <v>5</v>
      </c>
      <c r="B21" s="126" t="s">
        <v>129</v>
      </c>
      <c r="C21" s="127" t="s">
        <v>99</v>
      </c>
      <c r="D21" s="126" t="s">
        <v>31</v>
      </c>
      <c r="E21" s="128">
        <v>9.08</v>
      </c>
      <c r="F21" s="129">
        <f>SUM(E21*12/100)</f>
        <v>1.0896000000000001</v>
      </c>
      <c r="G21" s="129">
        <v>216.12</v>
      </c>
      <c r="H21" s="130">
        <f t="shared" si="0"/>
        <v>0.23548435200000004</v>
      </c>
      <c r="I21" s="16">
        <f>F21/12*G21</f>
        <v>19.623696000000002</v>
      </c>
    </row>
    <row r="22" spans="1:9" ht="15.75" hidden="1" customHeight="1">
      <c r="A22" s="36"/>
      <c r="B22" s="126" t="s">
        <v>131</v>
      </c>
      <c r="C22" s="127" t="s">
        <v>56</v>
      </c>
      <c r="D22" s="126" t="s">
        <v>127</v>
      </c>
      <c r="E22" s="128">
        <v>714</v>
      </c>
      <c r="F22" s="129">
        <f>SUM(E22/100)</f>
        <v>7.14</v>
      </c>
      <c r="G22" s="129">
        <v>269.26</v>
      </c>
      <c r="H22" s="130">
        <f t="shared" si="0"/>
        <v>1.9225163999999997</v>
      </c>
      <c r="I22" s="16">
        <v>0</v>
      </c>
    </row>
    <row r="23" spans="1:9" ht="15.75" hidden="1" customHeight="1">
      <c r="A23" s="36"/>
      <c r="B23" s="126" t="s">
        <v>132</v>
      </c>
      <c r="C23" s="127" t="s">
        <v>56</v>
      </c>
      <c r="D23" s="126" t="s">
        <v>127</v>
      </c>
      <c r="E23" s="131">
        <v>96.6</v>
      </c>
      <c r="F23" s="129">
        <f>SUM(E23/100)</f>
        <v>0.96599999999999997</v>
      </c>
      <c r="G23" s="129">
        <v>44.29</v>
      </c>
      <c r="H23" s="130">
        <f t="shared" si="0"/>
        <v>4.2784139999999998E-2</v>
      </c>
      <c r="I23" s="16">
        <v>0</v>
      </c>
    </row>
    <row r="24" spans="1:9" ht="15.75" customHeight="1">
      <c r="A24" s="36">
        <v>6</v>
      </c>
      <c r="B24" s="126" t="s">
        <v>133</v>
      </c>
      <c r="C24" s="127" t="s">
        <v>56</v>
      </c>
      <c r="D24" s="126" t="s">
        <v>155</v>
      </c>
      <c r="E24" s="128">
        <v>32</v>
      </c>
      <c r="F24" s="129">
        <f>E24*12/100</f>
        <v>3.84</v>
      </c>
      <c r="G24" s="129">
        <v>389.42</v>
      </c>
      <c r="H24" s="130">
        <f t="shared" si="0"/>
        <v>1.4953728000000002</v>
      </c>
      <c r="I24" s="16">
        <f>F24/12*G24</f>
        <v>124.6144</v>
      </c>
    </row>
    <row r="25" spans="1:9" ht="15.75" customHeight="1">
      <c r="A25" s="36">
        <v>7</v>
      </c>
      <c r="B25" s="126" t="s">
        <v>135</v>
      </c>
      <c r="C25" s="127" t="s">
        <v>56</v>
      </c>
      <c r="D25" s="126" t="s">
        <v>156</v>
      </c>
      <c r="E25" s="128">
        <v>17</v>
      </c>
      <c r="F25" s="129">
        <f>SUM(E25*12/100)</f>
        <v>2.04</v>
      </c>
      <c r="G25" s="129">
        <v>520.79999999999995</v>
      </c>
      <c r="H25" s="130">
        <f t="shared" si="0"/>
        <v>1.062432</v>
      </c>
      <c r="I25" s="16">
        <f>F25/12*G25</f>
        <v>88.536000000000001</v>
      </c>
    </row>
    <row r="26" spans="1:9" ht="15.75" customHeight="1">
      <c r="A26" s="36">
        <v>8</v>
      </c>
      <c r="B26" s="126" t="s">
        <v>69</v>
      </c>
      <c r="C26" s="127" t="s">
        <v>34</v>
      </c>
      <c r="D26" s="126" t="s">
        <v>175</v>
      </c>
      <c r="E26" s="128">
        <v>0.1</v>
      </c>
      <c r="F26" s="129">
        <f>SUM(E26*365)</f>
        <v>36.5</v>
      </c>
      <c r="G26" s="129">
        <v>147.03</v>
      </c>
      <c r="H26" s="130">
        <f>SUM(F26*G26/1000)</f>
        <v>5.3665950000000002</v>
      </c>
      <c r="I26" s="16">
        <f>F26/12*G26</f>
        <v>447.21625</v>
      </c>
    </row>
    <row r="27" spans="1:9" ht="15.75" customHeight="1">
      <c r="A27" s="36">
        <v>9</v>
      </c>
      <c r="B27" s="135" t="s">
        <v>23</v>
      </c>
      <c r="C27" s="127" t="s">
        <v>24</v>
      </c>
      <c r="D27" s="135" t="s">
        <v>176</v>
      </c>
      <c r="E27" s="128">
        <v>4394</v>
      </c>
      <c r="F27" s="129">
        <f>SUM(E27*12)</f>
        <v>52728</v>
      </c>
      <c r="G27" s="129">
        <v>4.53</v>
      </c>
      <c r="H27" s="130">
        <f>SUM(F27*G27/1000)</f>
        <v>238.85784000000004</v>
      </c>
      <c r="I27" s="16">
        <f>F27/12*G27</f>
        <v>19904.82</v>
      </c>
    </row>
    <row r="28" spans="1:9" ht="15.75" customHeight="1">
      <c r="A28" s="154" t="s">
        <v>95</v>
      </c>
      <c r="B28" s="155"/>
      <c r="C28" s="155"/>
      <c r="D28" s="155"/>
      <c r="E28" s="155"/>
      <c r="F28" s="155"/>
      <c r="G28" s="155"/>
      <c r="H28" s="155"/>
      <c r="I28" s="156"/>
    </row>
    <row r="29" spans="1:9" ht="15.75" customHeight="1">
      <c r="A29" s="36"/>
      <c r="B29" s="149" t="s">
        <v>29</v>
      </c>
      <c r="C29" s="127"/>
      <c r="D29" s="126"/>
      <c r="E29" s="128"/>
      <c r="F29" s="129"/>
      <c r="G29" s="129"/>
      <c r="H29" s="130"/>
      <c r="I29" s="16"/>
    </row>
    <row r="30" spans="1:9" ht="31.5" customHeight="1">
      <c r="A30" s="36">
        <v>10</v>
      </c>
      <c r="B30" s="126" t="s">
        <v>108</v>
      </c>
      <c r="C30" s="127" t="s">
        <v>101</v>
      </c>
      <c r="D30" s="126" t="s">
        <v>141</v>
      </c>
      <c r="E30" s="129">
        <v>2873.1</v>
      </c>
      <c r="F30" s="129">
        <f>SUM(E30*26/1000)</f>
        <v>74.700599999999994</v>
      </c>
      <c r="G30" s="129">
        <v>155.88999999999999</v>
      </c>
      <c r="H30" s="130">
        <f t="shared" ref="H30:H35" si="1">SUM(F30*G30/1000)</f>
        <v>11.645076533999998</v>
      </c>
      <c r="I30" s="16">
        <f t="shared" ref="I30:I33" si="2">F30/6*G30</f>
        <v>1940.8460889999997</v>
      </c>
    </row>
    <row r="31" spans="1:9" ht="31.5" customHeight="1">
      <c r="A31" s="36">
        <v>11</v>
      </c>
      <c r="B31" s="126" t="s">
        <v>216</v>
      </c>
      <c r="C31" s="127" t="s">
        <v>101</v>
      </c>
      <c r="D31" s="126" t="s">
        <v>136</v>
      </c>
      <c r="E31" s="129">
        <v>824.5</v>
      </c>
      <c r="F31" s="129">
        <f>SUM(E31*78/1000)</f>
        <v>64.311000000000007</v>
      </c>
      <c r="G31" s="129">
        <v>258.63</v>
      </c>
      <c r="H31" s="130">
        <f t="shared" si="1"/>
        <v>16.632753930000003</v>
      </c>
      <c r="I31" s="16">
        <f t="shared" si="2"/>
        <v>2772.1256550000003</v>
      </c>
    </row>
    <row r="32" spans="1:9" ht="15.75" hidden="1" customHeight="1">
      <c r="A32" s="36"/>
      <c r="B32" s="126" t="s">
        <v>28</v>
      </c>
      <c r="C32" s="127" t="s">
        <v>101</v>
      </c>
      <c r="D32" s="126" t="s">
        <v>57</v>
      </c>
      <c r="E32" s="129">
        <v>2873.1</v>
      </c>
      <c r="F32" s="129">
        <f>SUM(E32/1000)</f>
        <v>2.8731</v>
      </c>
      <c r="G32" s="129">
        <v>3020.33</v>
      </c>
      <c r="H32" s="130">
        <f t="shared" si="1"/>
        <v>8.6777101229999989</v>
      </c>
      <c r="I32" s="16">
        <f>F32*G32</f>
        <v>8677.7101229999989</v>
      </c>
    </row>
    <row r="33" spans="1:9" ht="15.75" customHeight="1">
      <c r="A33" s="36">
        <v>12</v>
      </c>
      <c r="B33" s="126" t="s">
        <v>106</v>
      </c>
      <c r="C33" s="127" t="s">
        <v>32</v>
      </c>
      <c r="D33" s="126" t="s">
        <v>68</v>
      </c>
      <c r="E33" s="134">
        <v>0.33333333333333331</v>
      </c>
      <c r="F33" s="129">
        <f>155/3</f>
        <v>51.666666666666664</v>
      </c>
      <c r="G33" s="129">
        <v>56.69</v>
      </c>
      <c r="H33" s="130">
        <f>SUM(G33*155/3/1000)</f>
        <v>2.9289833333333331</v>
      </c>
      <c r="I33" s="16">
        <f t="shared" si="2"/>
        <v>488.16388888888883</v>
      </c>
    </row>
    <row r="34" spans="1:9" ht="15.75" hidden="1" customHeight="1">
      <c r="A34" s="36"/>
      <c r="B34" s="126" t="s">
        <v>70</v>
      </c>
      <c r="C34" s="127" t="s">
        <v>34</v>
      </c>
      <c r="D34" s="126" t="s">
        <v>72</v>
      </c>
      <c r="E34" s="128"/>
      <c r="F34" s="129">
        <v>2</v>
      </c>
      <c r="G34" s="129">
        <v>191.32</v>
      </c>
      <c r="H34" s="130">
        <f t="shared" si="1"/>
        <v>0.38263999999999998</v>
      </c>
      <c r="I34" s="16">
        <v>0</v>
      </c>
    </row>
    <row r="35" spans="1:9" ht="15.75" hidden="1" customHeight="1">
      <c r="A35" s="36"/>
      <c r="B35" s="126" t="s">
        <v>71</v>
      </c>
      <c r="C35" s="127" t="s">
        <v>33</v>
      </c>
      <c r="D35" s="126" t="s">
        <v>72</v>
      </c>
      <c r="E35" s="128"/>
      <c r="F35" s="129">
        <v>3</v>
      </c>
      <c r="G35" s="129">
        <v>1136.33</v>
      </c>
      <c r="H35" s="130">
        <f t="shared" si="1"/>
        <v>3.4089899999999997</v>
      </c>
      <c r="I35" s="16">
        <v>0</v>
      </c>
    </row>
    <row r="36" spans="1:9" ht="15.75" hidden="1" customHeight="1">
      <c r="A36" s="36"/>
      <c r="B36" s="133" t="s">
        <v>5</v>
      </c>
      <c r="C36" s="127"/>
      <c r="D36" s="126"/>
      <c r="E36" s="128"/>
      <c r="F36" s="129"/>
      <c r="G36" s="129"/>
      <c r="H36" s="130" t="s">
        <v>176</v>
      </c>
      <c r="I36" s="16"/>
    </row>
    <row r="37" spans="1:9" ht="15.75" hidden="1" customHeight="1">
      <c r="A37" s="36">
        <v>10</v>
      </c>
      <c r="B37" s="126" t="s">
        <v>27</v>
      </c>
      <c r="C37" s="127" t="s">
        <v>33</v>
      </c>
      <c r="D37" s="126"/>
      <c r="E37" s="128"/>
      <c r="F37" s="129">
        <v>15</v>
      </c>
      <c r="G37" s="129">
        <v>1527.22</v>
      </c>
      <c r="H37" s="130">
        <f t="shared" ref="H37:H42" si="3">SUM(F37*G37/1000)</f>
        <v>22.908300000000001</v>
      </c>
      <c r="I37" s="16">
        <f t="shared" ref="I37:I42" si="4">F37/6*G37</f>
        <v>3818.05</v>
      </c>
    </row>
    <row r="38" spans="1:9" ht="15.75" hidden="1" customHeight="1">
      <c r="A38" s="36">
        <v>11</v>
      </c>
      <c r="B38" s="126" t="s">
        <v>73</v>
      </c>
      <c r="C38" s="127" t="s">
        <v>30</v>
      </c>
      <c r="D38" s="126" t="s">
        <v>142</v>
      </c>
      <c r="E38" s="129">
        <v>824.5</v>
      </c>
      <c r="F38" s="129">
        <f>SUM(E38*50/1000)</f>
        <v>41.225000000000001</v>
      </c>
      <c r="G38" s="129">
        <v>2102.71</v>
      </c>
      <c r="H38" s="130">
        <f t="shared" si="3"/>
        <v>86.684219749999997</v>
      </c>
      <c r="I38" s="16">
        <f t="shared" si="4"/>
        <v>14447.369958333335</v>
      </c>
    </row>
    <row r="39" spans="1:9" ht="15.75" hidden="1" customHeight="1">
      <c r="A39" s="36">
        <v>12</v>
      </c>
      <c r="B39" s="126" t="s">
        <v>74</v>
      </c>
      <c r="C39" s="127" t="s">
        <v>30</v>
      </c>
      <c r="D39" s="126" t="s">
        <v>100</v>
      </c>
      <c r="E39" s="129">
        <v>188</v>
      </c>
      <c r="F39" s="129">
        <f>SUM(E39*155/1000)</f>
        <v>29.14</v>
      </c>
      <c r="G39" s="129">
        <v>350.75</v>
      </c>
      <c r="H39" s="130">
        <f t="shared" si="3"/>
        <v>10.220855</v>
      </c>
      <c r="I39" s="16">
        <f t="shared" si="4"/>
        <v>1703.4758333333332</v>
      </c>
    </row>
    <row r="40" spans="1:9" ht="47.25" hidden="1" customHeight="1">
      <c r="A40" s="36">
        <v>13</v>
      </c>
      <c r="B40" s="126" t="s">
        <v>93</v>
      </c>
      <c r="C40" s="127" t="s">
        <v>101</v>
      </c>
      <c r="D40" s="126" t="s">
        <v>143</v>
      </c>
      <c r="E40" s="129">
        <v>188</v>
      </c>
      <c r="F40" s="129">
        <f>SUM(E40*12/1000)</f>
        <v>2.2559999999999998</v>
      </c>
      <c r="G40" s="129">
        <v>5803.28</v>
      </c>
      <c r="H40" s="130">
        <f t="shared" si="3"/>
        <v>13.092199679999998</v>
      </c>
      <c r="I40" s="16">
        <f t="shared" si="4"/>
        <v>2182.0332799999996</v>
      </c>
    </row>
    <row r="41" spans="1:9" ht="15.75" hidden="1" customHeight="1">
      <c r="A41" s="36">
        <v>14</v>
      </c>
      <c r="B41" s="126" t="s">
        <v>102</v>
      </c>
      <c r="C41" s="127" t="s">
        <v>101</v>
      </c>
      <c r="D41" s="126" t="s">
        <v>75</v>
      </c>
      <c r="E41" s="129">
        <v>188</v>
      </c>
      <c r="F41" s="129">
        <f>SUM(E41*45/1000)</f>
        <v>8.4600000000000009</v>
      </c>
      <c r="G41" s="129">
        <v>428.7</v>
      </c>
      <c r="H41" s="130">
        <f t="shared" si="3"/>
        <v>3.6268020000000001</v>
      </c>
      <c r="I41" s="16">
        <f t="shared" si="4"/>
        <v>604.4670000000001</v>
      </c>
    </row>
    <row r="42" spans="1:9" ht="15.75" hidden="1" customHeight="1">
      <c r="A42" s="36">
        <v>15</v>
      </c>
      <c r="B42" s="126" t="s">
        <v>76</v>
      </c>
      <c r="C42" s="127" t="s">
        <v>34</v>
      </c>
      <c r="D42" s="126"/>
      <c r="E42" s="128"/>
      <c r="F42" s="129">
        <v>0.9</v>
      </c>
      <c r="G42" s="129">
        <v>798</v>
      </c>
      <c r="H42" s="130">
        <f t="shared" si="3"/>
        <v>0.71820000000000006</v>
      </c>
      <c r="I42" s="16">
        <f t="shared" si="4"/>
        <v>119.69999999999999</v>
      </c>
    </row>
    <row r="43" spans="1:9" ht="15.75" customHeight="1">
      <c r="A43" s="154" t="s">
        <v>168</v>
      </c>
      <c r="B43" s="155"/>
      <c r="C43" s="155"/>
      <c r="D43" s="155"/>
      <c r="E43" s="155"/>
      <c r="F43" s="155"/>
      <c r="G43" s="155"/>
      <c r="H43" s="155"/>
      <c r="I43" s="156"/>
    </row>
    <row r="44" spans="1:9" ht="15.75" customHeight="1">
      <c r="A44" s="36">
        <v>13</v>
      </c>
      <c r="B44" s="126" t="s">
        <v>177</v>
      </c>
      <c r="C44" s="127" t="s">
        <v>101</v>
      </c>
      <c r="D44" s="126" t="s">
        <v>44</v>
      </c>
      <c r="E44" s="128">
        <v>1609.3</v>
      </c>
      <c r="F44" s="129">
        <f>SUM(E44*2/1000)</f>
        <v>3.2185999999999999</v>
      </c>
      <c r="G44" s="16">
        <v>910.17</v>
      </c>
      <c r="H44" s="130">
        <f t="shared" ref="H44:H53" si="5">SUM(F44*G44/1000)</f>
        <v>2.9294731619999999</v>
      </c>
      <c r="I44" s="16">
        <f t="shared" ref="I44:I47" si="6">F44/2*G44</f>
        <v>1464.7365809999999</v>
      </c>
    </row>
    <row r="45" spans="1:9" ht="15.75" customHeight="1">
      <c r="A45" s="36">
        <v>14</v>
      </c>
      <c r="B45" s="126" t="s">
        <v>37</v>
      </c>
      <c r="C45" s="127" t="s">
        <v>101</v>
      </c>
      <c r="D45" s="126" t="s">
        <v>44</v>
      </c>
      <c r="E45" s="128">
        <v>742</v>
      </c>
      <c r="F45" s="129">
        <f>SUM(E45*2/1000)</f>
        <v>1.484</v>
      </c>
      <c r="G45" s="16">
        <v>579.48</v>
      </c>
      <c r="H45" s="130">
        <f t="shared" si="5"/>
        <v>0.85994831999999999</v>
      </c>
      <c r="I45" s="16">
        <f t="shared" si="6"/>
        <v>429.97415999999998</v>
      </c>
    </row>
    <row r="46" spans="1:9" ht="15.75" customHeight="1">
      <c r="A46" s="36">
        <v>15</v>
      </c>
      <c r="B46" s="126" t="s">
        <v>38</v>
      </c>
      <c r="C46" s="127" t="s">
        <v>101</v>
      </c>
      <c r="D46" s="126" t="s">
        <v>44</v>
      </c>
      <c r="E46" s="128">
        <v>4989.8100000000004</v>
      </c>
      <c r="F46" s="129">
        <f>SUM(E46*2/1000)</f>
        <v>9.9796200000000006</v>
      </c>
      <c r="G46" s="16">
        <v>579.48</v>
      </c>
      <c r="H46" s="130">
        <f t="shared" si="5"/>
        <v>5.7829901976000002</v>
      </c>
      <c r="I46" s="16">
        <f t="shared" si="6"/>
        <v>2891.4950988000001</v>
      </c>
    </row>
    <row r="47" spans="1:9" ht="15.75" customHeight="1">
      <c r="A47" s="36">
        <v>16</v>
      </c>
      <c r="B47" s="126" t="s">
        <v>39</v>
      </c>
      <c r="C47" s="127" t="s">
        <v>101</v>
      </c>
      <c r="D47" s="126" t="s">
        <v>44</v>
      </c>
      <c r="E47" s="128">
        <v>2654.21</v>
      </c>
      <c r="F47" s="129">
        <f>SUM(E47*2/1000)</f>
        <v>5.3084199999999999</v>
      </c>
      <c r="G47" s="16">
        <v>606.77</v>
      </c>
      <c r="H47" s="130">
        <f t="shared" si="5"/>
        <v>3.2209900033999999</v>
      </c>
      <c r="I47" s="16">
        <f t="shared" si="6"/>
        <v>1610.4950016999999</v>
      </c>
    </row>
    <row r="48" spans="1:9" ht="15.75" customHeight="1">
      <c r="A48" s="36">
        <v>17</v>
      </c>
      <c r="B48" s="126" t="s">
        <v>35</v>
      </c>
      <c r="C48" s="127" t="s">
        <v>36</v>
      </c>
      <c r="D48" s="126" t="s">
        <v>44</v>
      </c>
      <c r="E48" s="128">
        <v>128.53</v>
      </c>
      <c r="F48" s="129">
        <f>SUM(E48*2/100)</f>
        <v>2.5706000000000002</v>
      </c>
      <c r="G48" s="16">
        <v>72.81</v>
      </c>
      <c r="H48" s="130">
        <f t="shared" si="5"/>
        <v>0.18716538600000002</v>
      </c>
      <c r="I48" s="16">
        <f>F48/2*G48</f>
        <v>93.582693000000006</v>
      </c>
    </row>
    <row r="49" spans="1:9" ht="15.75" customHeight="1">
      <c r="A49" s="36">
        <v>18</v>
      </c>
      <c r="B49" s="126" t="s">
        <v>60</v>
      </c>
      <c r="C49" s="127" t="s">
        <v>101</v>
      </c>
      <c r="D49" s="126" t="s">
        <v>217</v>
      </c>
      <c r="E49" s="128">
        <v>2026.8</v>
      </c>
      <c r="F49" s="129">
        <f>SUM(E49*5/1000)</f>
        <v>10.134</v>
      </c>
      <c r="G49" s="16">
        <v>1213.55</v>
      </c>
      <c r="H49" s="130">
        <f t="shared" si="5"/>
        <v>12.2981157</v>
      </c>
      <c r="I49" s="16">
        <f>F49/5*G49</f>
        <v>2459.6231400000001</v>
      </c>
    </row>
    <row r="50" spans="1:9" ht="31.5" hidden="1" customHeight="1">
      <c r="A50" s="36"/>
      <c r="B50" s="126" t="s">
        <v>103</v>
      </c>
      <c r="C50" s="127" t="s">
        <v>101</v>
      </c>
      <c r="D50" s="126" t="s">
        <v>44</v>
      </c>
      <c r="E50" s="128">
        <v>2026.8</v>
      </c>
      <c r="F50" s="129">
        <f>SUM(E50*2/1000)</f>
        <v>4.0536000000000003</v>
      </c>
      <c r="G50" s="16">
        <v>1213.55</v>
      </c>
      <c r="H50" s="130">
        <f t="shared" si="5"/>
        <v>4.9192462800000003</v>
      </c>
      <c r="I50" s="16">
        <v>0</v>
      </c>
    </row>
    <row r="51" spans="1:9" ht="31.5" hidden="1" customHeight="1">
      <c r="A51" s="36"/>
      <c r="B51" s="126" t="s">
        <v>104</v>
      </c>
      <c r="C51" s="127" t="s">
        <v>40</v>
      </c>
      <c r="D51" s="126" t="s">
        <v>44</v>
      </c>
      <c r="E51" s="128">
        <v>40</v>
      </c>
      <c r="F51" s="129">
        <f>SUM(E51*2/100)</f>
        <v>0.8</v>
      </c>
      <c r="G51" s="16">
        <v>2730.49</v>
      </c>
      <c r="H51" s="130">
        <f t="shared" si="5"/>
        <v>2.1843919999999999</v>
      </c>
      <c r="I51" s="16">
        <v>0</v>
      </c>
    </row>
    <row r="52" spans="1:9" ht="15.75" hidden="1" customHeight="1">
      <c r="A52" s="36"/>
      <c r="B52" s="126" t="s">
        <v>41</v>
      </c>
      <c r="C52" s="127" t="s">
        <v>42</v>
      </c>
      <c r="D52" s="126" t="s">
        <v>44</v>
      </c>
      <c r="E52" s="128">
        <v>1</v>
      </c>
      <c r="F52" s="129">
        <v>0.02</v>
      </c>
      <c r="G52" s="16">
        <v>5652.13</v>
      </c>
      <c r="H52" s="130">
        <f t="shared" si="5"/>
        <v>0.11304260000000001</v>
      </c>
      <c r="I52" s="16">
        <v>0</v>
      </c>
    </row>
    <row r="53" spans="1:9" ht="15.75" hidden="1" customHeight="1">
      <c r="A53" s="36">
        <v>17</v>
      </c>
      <c r="B53" s="126" t="s">
        <v>43</v>
      </c>
      <c r="C53" s="127" t="s">
        <v>111</v>
      </c>
      <c r="D53" s="126" t="s">
        <v>77</v>
      </c>
      <c r="E53" s="128">
        <v>160</v>
      </c>
      <c r="F53" s="129">
        <f>SUM(E53)*3</f>
        <v>480</v>
      </c>
      <c r="G53" s="16">
        <v>65.67</v>
      </c>
      <c r="H53" s="130">
        <f t="shared" si="5"/>
        <v>31.521600000000003</v>
      </c>
      <c r="I53" s="16">
        <f>E53*G53</f>
        <v>10507.2</v>
      </c>
    </row>
    <row r="54" spans="1:9" ht="15.75" customHeight="1">
      <c r="A54" s="154" t="s">
        <v>169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hidden="1" customHeight="1">
      <c r="A55" s="36"/>
      <c r="B55" s="149" t="s">
        <v>45</v>
      </c>
      <c r="C55" s="127"/>
      <c r="D55" s="126"/>
      <c r="E55" s="128"/>
      <c r="F55" s="129"/>
      <c r="G55" s="129"/>
      <c r="H55" s="130"/>
      <c r="I55" s="16"/>
    </row>
    <row r="56" spans="1:9" ht="31.5" hidden="1" customHeight="1">
      <c r="A56" s="36">
        <v>18</v>
      </c>
      <c r="B56" s="126" t="s">
        <v>178</v>
      </c>
      <c r="C56" s="127" t="s">
        <v>99</v>
      </c>
      <c r="D56" s="126" t="s">
        <v>137</v>
      </c>
      <c r="E56" s="128">
        <v>176.93</v>
      </c>
      <c r="F56" s="129">
        <f>SUM(E56*6/100)</f>
        <v>10.6158</v>
      </c>
      <c r="G56" s="16">
        <v>1547.28</v>
      </c>
      <c r="H56" s="130">
        <f>SUM(F56*G56/1000)</f>
        <v>16.425615023999999</v>
      </c>
      <c r="I56" s="16">
        <f>F56/6*G56</f>
        <v>2737.602504</v>
      </c>
    </row>
    <row r="57" spans="1:9" ht="15.75" customHeight="1">
      <c r="A57" s="36"/>
      <c r="B57" s="149" t="s">
        <v>46</v>
      </c>
      <c r="C57" s="127"/>
      <c r="D57" s="126"/>
      <c r="E57" s="128"/>
      <c r="F57" s="129"/>
      <c r="G57" s="151"/>
      <c r="H57" s="130"/>
      <c r="I57" s="16"/>
    </row>
    <row r="58" spans="1:9" ht="15.75" hidden="1" customHeight="1">
      <c r="A58" s="36"/>
      <c r="B58" s="126" t="s">
        <v>47</v>
      </c>
      <c r="C58" s="127" t="s">
        <v>99</v>
      </c>
      <c r="D58" s="126" t="s">
        <v>57</v>
      </c>
      <c r="E58" s="128">
        <v>2026.8</v>
      </c>
      <c r="F58" s="130">
        <v>20.268000000000001</v>
      </c>
      <c r="G58" s="16">
        <v>793.61</v>
      </c>
      <c r="H58" s="136">
        <v>16.085000000000001</v>
      </c>
      <c r="I58" s="16">
        <v>0</v>
      </c>
    </row>
    <row r="59" spans="1:9" ht="15.75" customHeight="1">
      <c r="A59" s="36">
        <v>19</v>
      </c>
      <c r="B59" s="126" t="s">
        <v>151</v>
      </c>
      <c r="C59" s="127" t="s">
        <v>26</v>
      </c>
      <c r="D59" s="126" t="s">
        <v>152</v>
      </c>
      <c r="E59" s="128">
        <v>325</v>
      </c>
      <c r="F59" s="129">
        <f>E59*12</f>
        <v>3900</v>
      </c>
      <c r="G59" s="152">
        <v>2.59</v>
      </c>
      <c r="H59" s="130">
        <f>F59*G59/1000</f>
        <v>10.101000000000001</v>
      </c>
      <c r="I59" s="16">
        <f>F59/12*G59</f>
        <v>841.75</v>
      </c>
    </row>
    <row r="60" spans="1:9" ht="15.75" hidden="1" customHeight="1">
      <c r="A60" s="36"/>
      <c r="B60" s="149" t="s">
        <v>179</v>
      </c>
      <c r="C60" s="127"/>
      <c r="D60" s="126"/>
      <c r="E60" s="128"/>
      <c r="F60" s="129"/>
      <c r="G60" s="129"/>
      <c r="H60" s="130" t="s">
        <v>176</v>
      </c>
      <c r="I60" s="16"/>
    </row>
    <row r="61" spans="1:9" ht="15.75" hidden="1" customHeight="1">
      <c r="A61" s="36"/>
      <c r="B61" s="126" t="s">
        <v>218</v>
      </c>
      <c r="C61" s="127" t="s">
        <v>111</v>
      </c>
      <c r="D61" s="126" t="s">
        <v>57</v>
      </c>
      <c r="E61" s="128">
        <v>4</v>
      </c>
      <c r="F61" s="129">
        <f>SUM(E61)</f>
        <v>4</v>
      </c>
      <c r="G61" s="137">
        <v>237.75</v>
      </c>
      <c r="H61" s="130">
        <f t="shared" ref="H61:H79" si="7">SUM(F61*G61/1000)</f>
        <v>0.95099999999999996</v>
      </c>
      <c r="I61" s="16">
        <v>0</v>
      </c>
    </row>
    <row r="62" spans="1:9" ht="15.75" customHeight="1">
      <c r="A62" s="36"/>
      <c r="B62" s="150" t="s">
        <v>48</v>
      </c>
      <c r="C62" s="138"/>
      <c r="D62" s="139"/>
      <c r="E62" s="140"/>
      <c r="F62" s="141"/>
      <c r="G62" s="141"/>
      <c r="H62" s="142" t="s">
        <v>176</v>
      </c>
      <c r="I62" s="16"/>
    </row>
    <row r="63" spans="1:9" ht="15.75" customHeight="1">
      <c r="A63" s="36">
        <v>20</v>
      </c>
      <c r="B63" s="18" t="s">
        <v>49</v>
      </c>
      <c r="C63" s="20" t="s">
        <v>111</v>
      </c>
      <c r="D63" s="18" t="s">
        <v>72</v>
      </c>
      <c r="E63" s="23">
        <v>30</v>
      </c>
      <c r="F63" s="129">
        <v>30</v>
      </c>
      <c r="G63" s="16">
        <v>222.4</v>
      </c>
      <c r="H63" s="123">
        <f t="shared" si="7"/>
        <v>6.6719999999999997</v>
      </c>
      <c r="I63" s="16">
        <f>G63*3</f>
        <v>667.2</v>
      </c>
    </row>
    <row r="64" spans="1:9" ht="15.75" hidden="1" customHeight="1">
      <c r="A64" s="36">
        <v>21</v>
      </c>
      <c r="B64" s="18" t="s">
        <v>50</v>
      </c>
      <c r="C64" s="20" t="s">
        <v>111</v>
      </c>
      <c r="D64" s="18" t="s">
        <v>72</v>
      </c>
      <c r="E64" s="23">
        <v>5</v>
      </c>
      <c r="F64" s="129">
        <v>5</v>
      </c>
      <c r="G64" s="16">
        <v>76.25</v>
      </c>
      <c r="H64" s="123">
        <f t="shared" si="7"/>
        <v>0.38124999999999998</v>
      </c>
      <c r="I64" s="16">
        <f>G64</f>
        <v>76.25</v>
      </c>
    </row>
    <row r="65" spans="1:9" ht="15.75" hidden="1" customHeight="1">
      <c r="A65" s="36"/>
      <c r="B65" s="18" t="s">
        <v>51</v>
      </c>
      <c r="C65" s="20" t="s">
        <v>112</v>
      </c>
      <c r="D65" s="18" t="s">
        <v>57</v>
      </c>
      <c r="E65" s="128">
        <v>24063</v>
      </c>
      <c r="F65" s="16">
        <f>SUM(E65/100)</f>
        <v>240.63</v>
      </c>
      <c r="G65" s="16">
        <v>212.15</v>
      </c>
      <c r="H65" s="123">
        <f t="shared" si="7"/>
        <v>51.049654499999995</v>
      </c>
      <c r="I65" s="16">
        <v>0</v>
      </c>
    </row>
    <row r="66" spans="1:9" ht="15.75" hidden="1" customHeight="1">
      <c r="A66" s="36"/>
      <c r="B66" s="18" t="s">
        <v>52</v>
      </c>
      <c r="C66" s="20" t="s">
        <v>113</v>
      </c>
      <c r="D66" s="18"/>
      <c r="E66" s="128">
        <v>24063</v>
      </c>
      <c r="F66" s="16">
        <f>SUM(E66/1000)</f>
        <v>24.062999999999999</v>
      </c>
      <c r="G66" s="16">
        <v>165.21</v>
      </c>
      <c r="H66" s="123">
        <f t="shared" si="7"/>
        <v>3.97544823</v>
      </c>
      <c r="I66" s="16">
        <v>0</v>
      </c>
    </row>
    <row r="67" spans="1:9" ht="15.75" hidden="1" customHeight="1">
      <c r="A67" s="36"/>
      <c r="B67" s="18" t="s">
        <v>53</v>
      </c>
      <c r="C67" s="20" t="s">
        <v>84</v>
      </c>
      <c r="D67" s="18" t="s">
        <v>57</v>
      </c>
      <c r="E67" s="128">
        <v>2730</v>
      </c>
      <c r="F67" s="16">
        <f>SUM(E67/100)</f>
        <v>27.3</v>
      </c>
      <c r="G67" s="16">
        <v>2074.63</v>
      </c>
      <c r="H67" s="123">
        <f t="shared" si="7"/>
        <v>56.637399000000002</v>
      </c>
      <c r="I67" s="16">
        <v>0</v>
      </c>
    </row>
    <row r="68" spans="1:9" ht="15.75" hidden="1" customHeight="1">
      <c r="A68" s="36"/>
      <c r="B68" s="143" t="s">
        <v>78</v>
      </c>
      <c r="C68" s="20" t="s">
        <v>34</v>
      </c>
      <c r="D68" s="18"/>
      <c r="E68" s="128">
        <v>21.4</v>
      </c>
      <c r="F68" s="16">
        <f>SUM(E68)</f>
        <v>21.4</v>
      </c>
      <c r="G68" s="16">
        <v>45.32</v>
      </c>
      <c r="H68" s="123">
        <f t="shared" si="7"/>
        <v>0.96984799999999993</v>
      </c>
      <c r="I68" s="16">
        <v>0</v>
      </c>
    </row>
    <row r="69" spans="1:9" ht="15.75" hidden="1" customHeight="1">
      <c r="A69" s="36"/>
      <c r="B69" s="143" t="s">
        <v>79</v>
      </c>
      <c r="C69" s="20" t="s">
        <v>34</v>
      </c>
      <c r="D69" s="18"/>
      <c r="E69" s="128">
        <v>21.4</v>
      </c>
      <c r="F69" s="16">
        <f>SUM(E69)</f>
        <v>21.4</v>
      </c>
      <c r="G69" s="16">
        <v>42.28</v>
      </c>
      <c r="H69" s="123">
        <f t="shared" si="7"/>
        <v>0.90479199999999993</v>
      </c>
      <c r="I69" s="16">
        <v>0</v>
      </c>
    </row>
    <row r="70" spans="1:9" ht="15.75" hidden="1" customHeight="1">
      <c r="A70" s="36">
        <v>22</v>
      </c>
      <c r="B70" s="143" t="s">
        <v>145</v>
      </c>
      <c r="C70" s="20"/>
      <c r="D70" s="18"/>
      <c r="E70" s="144"/>
      <c r="F70" s="117">
        <v>1</v>
      </c>
      <c r="G70" s="16">
        <v>5600</v>
      </c>
      <c r="H70" s="123">
        <f t="shared" si="7"/>
        <v>5.6</v>
      </c>
      <c r="I70" s="16">
        <f>F70*G70</f>
        <v>5600</v>
      </c>
    </row>
    <row r="71" spans="1:9" ht="15.75" customHeight="1">
      <c r="A71" s="36">
        <v>21</v>
      </c>
      <c r="B71" s="18" t="s">
        <v>61</v>
      </c>
      <c r="C71" s="20" t="s">
        <v>62</v>
      </c>
      <c r="D71" s="18" t="s">
        <v>57</v>
      </c>
      <c r="E71" s="23">
        <v>10</v>
      </c>
      <c r="F71" s="129">
        <f>SUM(E71)</f>
        <v>10</v>
      </c>
      <c r="G71" s="16">
        <v>49.88</v>
      </c>
      <c r="H71" s="123">
        <f t="shared" si="7"/>
        <v>0.49880000000000002</v>
      </c>
      <c r="I71" s="16">
        <f>F71*G71</f>
        <v>498.8</v>
      </c>
    </row>
    <row r="72" spans="1:9" ht="15.75" customHeight="1">
      <c r="A72" s="36"/>
      <c r="B72" s="111" t="s">
        <v>80</v>
      </c>
      <c r="C72" s="20"/>
      <c r="D72" s="18"/>
      <c r="E72" s="23"/>
      <c r="F72" s="16"/>
      <c r="G72" s="16"/>
      <c r="H72" s="123" t="s">
        <v>176</v>
      </c>
      <c r="I72" s="16"/>
    </row>
    <row r="73" spans="1:9" ht="15.75" customHeight="1">
      <c r="A73" s="36">
        <v>22</v>
      </c>
      <c r="B73" s="18" t="s">
        <v>81</v>
      </c>
      <c r="C73" s="20" t="s">
        <v>82</v>
      </c>
      <c r="D73" s="18"/>
      <c r="E73" s="23">
        <v>160</v>
      </c>
      <c r="F73" s="16">
        <v>16</v>
      </c>
      <c r="G73" s="16">
        <v>501.62</v>
      </c>
      <c r="H73" s="123">
        <f t="shared" si="7"/>
        <v>8.0259199999999993</v>
      </c>
      <c r="I73" s="16">
        <f>G73*0.2</f>
        <v>100.32400000000001</v>
      </c>
    </row>
    <row r="74" spans="1:9" ht="15.75" hidden="1" customHeight="1">
      <c r="A74" s="36"/>
      <c r="B74" s="18" t="s">
        <v>139</v>
      </c>
      <c r="C74" s="20" t="s">
        <v>111</v>
      </c>
      <c r="D74" s="18"/>
      <c r="E74" s="23">
        <v>1</v>
      </c>
      <c r="F74" s="129">
        <f>SUM(E74)</f>
        <v>1</v>
      </c>
      <c r="G74" s="16">
        <v>358.51</v>
      </c>
      <c r="H74" s="123">
        <f t="shared" si="7"/>
        <v>0.35851</v>
      </c>
      <c r="I74" s="16">
        <v>0</v>
      </c>
    </row>
    <row r="75" spans="1:9" ht="15.75" hidden="1" customHeight="1">
      <c r="A75" s="36"/>
      <c r="B75" s="18" t="s">
        <v>146</v>
      </c>
      <c r="C75" s="20" t="s">
        <v>32</v>
      </c>
      <c r="D75" s="18"/>
      <c r="E75" s="23">
        <v>3</v>
      </c>
      <c r="F75" s="16">
        <v>3</v>
      </c>
      <c r="G75" s="16">
        <v>99.85</v>
      </c>
      <c r="H75" s="123">
        <f>F75*G75/1000</f>
        <v>0.29954999999999993</v>
      </c>
      <c r="I75" s="16">
        <v>0</v>
      </c>
    </row>
    <row r="76" spans="1:9" ht="15.75" hidden="1" customHeight="1">
      <c r="A76" s="36"/>
      <c r="B76" s="18" t="s">
        <v>147</v>
      </c>
      <c r="C76" s="20" t="s">
        <v>32</v>
      </c>
      <c r="D76" s="18"/>
      <c r="E76" s="23">
        <v>2</v>
      </c>
      <c r="F76" s="16">
        <v>2</v>
      </c>
      <c r="G76" s="16">
        <v>120.26</v>
      </c>
      <c r="H76" s="123">
        <f>F76*G76/1000</f>
        <v>0.24052000000000001</v>
      </c>
      <c r="I76" s="16">
        <v>0</v>
      </c>
    </row>
    <row r="77" spans="1:9" ht="15.75" hidden="1" customHeight="1">
      <c r="A77" s="36"/>
      <c r="B77" s="18" t="s">
        <v>138</v>
      </c>
      <c r="C77" s="20" t="s">
        <v>111</v>
      </c>
      <c r="D77" s="18"/>
      <c r="E77" s="23">
        <v>1</v>
      </c>
      <c r="F77" s="129">
        <f>SUM(E77)</f>
        <v>1</v>
      </c>
      <c r="G77" s="16">
        <v>911.85</v>
      </c>
      <c r="H77" s="123">
        <f t="shared" ref="H77" si="8">SUM(F77*G77/1000)</f>
        <v>0.91185000000000005</v>
      </c>
      <c r="I77" s="16">
        <v>0</v>
      </c>
    </row>
    <row r="78" spans="1:9" ht="15.75" hidden="1" customHeight="1">
      <c r="A78" s="36"/>
      <c r="B78" s="146" t="s">
        <v>83</v>
      </c>
      <c r="C78" s="20"/>
      <c r="D78" s="18"/>
      <c r="E78" s="23"/>
      <c r="F78" s="16"/>
      <c r="G78" s="16" t="s">
        <v>176</v>
      </c>
      <c r="H78" s="123" t="s">
        <v>176</v>
      </c>
      <c r="I78" s="16"/>
    </row>
    <row r="79" spans="1:9" ht="15.75" hidden="1" customHeight="1">
      <c r="A79" s="36"/>
      <c r="B79" s="67" t="s">
        <v>117</v>
      </c>
      <c r="C79" s="20" t="s">
        <v>84</v>
      </c>
      <c r="D79" s="18"/>
      <c r="E79" s="23"/>
      <c r="F79" s="16">
        <v>0.6</v>
      </c>
      <c r="G79" s="16">
        <v>2759.44</v>
      </c>
      <c r="H79" s="123">
        <f t="shared" si="7"/>
        <v>1.655664</v>
      </c>
      <c r="I79" s="16">
        <v>0</v>
      </c>
    </row>
    <row r="80" spans="1:9" ht="15.75" hidden="1" customHeight="1">
      <c r="A80" s="36"/>
      <c r="B80" s="111" t="s">
        <v>105</v>
      </c>
      <c r="C80" s="146"/>
      <c r="D80" s="38"/>
      <c r="E80" s="39"/>
      <c r="F80" s="132"/>
      <c r="G80" s="132"/>
      <c r="H80" s="147">
        <f>SUM(H56:H79)</f>
        <v>181.74382075399996</v>
      </c>
      <c r="I80" s="132"/>
    </row>
    <row r="81" spans="1:9" ht="15.75" hidden="1" customHeight="1">
      <c r="A81" s="36"/>
      <c r="B81" s="126" t="s">
        <v>114</v>
      </c>
      <c r="C81" s="20"/>
      <c r="D81" s="18"/>
      <c r="E81" s="118"/>
      <c r="F81" s="16">
        <v>1</v>
      </c>
      <c r="G81" s="16">
        <v>17508</v>
      </c>
      <c r="H81" s="123">
        <f>G81*F81/1000</f>
        <v>17.507999999999999</v>
      </c>
      <c r="I81" s="16">
        <v>0</v>
      </c>
    </row>
    <row r="82" spans="1:9" ht="15.75" customHeight="1">
      <c r="A82" s="154" t="s">
        <v>171</v>
      </c>
      <c r="B82" s="155"/>
      <c r="C82" s="155"/>
      <c r="D82" s="155"/>
      <c r="E82" s="155"/>
      <c r="F82" s="155"/>
      <c r="G82" s="155"/>
      <c r="H82" s="155"/>
      <c r="I82" s="156"/>
    </row>
    <row r="83" spans="1:9" ht="15.75" customHeight="1">
      <c r="A83" s="36">
        <v>23</v>
      </c>
      <c r="B83" s="126" t="s">
        <v>115</v>
      </c>
      <c r="C83" s="20" t="s">
        <v>58</v>
      </c>
      <c r="D83" s="148" t="s">
        <v>59</v>
      </c>
      <c r="E83" s="16">
        <v>4394.8999999999996</v>
      </c>
      <c r="F83" s="16">
        <f>SUM(E83*12)</f>
        <v>52738.799999999996</v>
      </c>
      <c r="G83" s="16">
        <v>2.1</v>
      </c>
      <c r="H83" s="123">
        <f>SUM(F83*G83/1000)</f>
        <v>110.75148</v>
      </c>
      <c r="I83" s="16">
        <f>F83/12*G83</f>
        <v>9229.2899999999991</v>
      </c>
    </row>
    <row r="84" spans="1:9" ht="31.5" customHeight="1">
      <c r="A84" s="36">
        <v>24</v>
      </c>
      <c r="B84" s="18" t="s">
        <v>85</v>
      </c>
      <c r="C84" s="20"/>
      <c r="D84" s="148" t="s">
        <v>59</v>
      </c>
      <c r="E84" s="128">
        <f>E83</f>
        <v>4394.8999999999996</v>
      </c>
      <c r="F84" s="16">
        <f>E84*12</f>
        <v>52738.799999999996</v>
      </c>
      <c r="G84" s="16">
        <v>1.63</v>
      </c>
      <c r="H84" s="123">
        <f>F84*G84/1000</f>
        <v>85.964243999999994</v>
      </c>
      <c r="I84" s="16">
        <f>F84/12*G84</f>
        <v>7163.686999999999</v>
      </c>
    </row>
    <row r="85" spans="1:9" ht="15.75" customHeight="1">
      <c r="A85" s="36"/>
      <c r="B85" s="54" t="s">
        <v>89</v>
      </c>
      <c r="C85" s="146"/>
      <c r="D85" s="145"/>
      <c r="E85" s="132"/>
      <c r="F85" s="132"/>
      <c r="G85" s="132"/>
      <c r="H85" s="147">
        <f>SUM(H84)</f>
        <v>85.964243999999994</v>
      </c>
      <c r="I85" s="132">
        <f>I16+I17+I18+I20+I21+I24+I25+I26+I27+I30+I31+I33+I44+I45+I46+I47+I48+I49+I59+I63+I71+I73+I83+I84</f>
        <v>69602.696065388896</v>
      </c>
    </row>
    <row r="86" spans="1:9" ht="15.75" customHeight="1">
      <c r="A86" s="36"/>
      <c r="B86" s="80" t="s">
        <v>64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25</v>
      </c>
      <c r="B87" s="94" t="s">
        <v>150</v>
      </c>
      <c r="C87" s="95" t="s">
        <v>111</v>
      </c>
      <c r="D87" s="67"/>
      <c r="E87" s="16"/>
      <c r="F87" s="16">
        <v>948</v>
      </c>
      <c r="G87" s="16">
        <v>50.68</v>
      </c>
      <c r="H87" s="123">
        <f>G87*F87/1000</f>
        <v>48.044640000000001</v>
      </c>
      <c r="I87" s="16">
        <f>G87*79</f>
        <v>4003.72</v>
      </c>
    </row>
    <row r="88" spans="1:9" ht="15.75" customHeight="1">
      <c r="A88" s="36">
        <v>26</v>
      </c>
      <c r="B88" s="94" t="s">
        <v>91</v>
      </c>
      <c r="C88" s="95" t="s">
        <v>111</v>
      </c>
      <c r="D88" s="36"/>
      <c r="E88" s="23"/>
      <c r="F88" s="23">
        <v>4</v>
      </c>
      <c r="G88" s="23">
        <v>180.15</v>
      </c>
      <c r="H88" s="124">
        <f>G88*F88/1000</f>
        <v>0.72060000000000002</v>
      </c>
      <c r="I88" s="16">
        <f>G88*1</f>
        <v>180.15</v>
      </c>
    </row>
    <row r="89" spans="1:9" ht="15.75" customHeight="1">
      <c r="A89" s="36">
        <v>27</v>
      </c>
      <c r="B89" s="108" t="s">
        <v>158</v>
      </c>
      <c r="C89" s="109" t="s">
        <v>159</v>
      </c>
      <c r="D89" s="67"/>
      <c r="E89" s="16"/>
      <c r="F89" s="16">
        <f>58/3</f>
        <v>19.333333333333332</v>
      </c>
      <c r="G89" s="16">
        <v>1063.47</v>
      </c>
      <c r="H89" s="123">
        <f t="shared" ref="H89" si="9">G89*F89/1000</f>
        <v>20.560419999999997</v>
      </c>
      <c r="I89" s="16">
        <f>G89*5</f>
        <v>5317.35</v>
      </c>
    </row>
    <row r="90" spans="1:9" ht="31.5" customHeight="1">
      <c r="A90" s="36">
        <v>28</v>
      </c>
      <c r="B90" s="94" t="s">
        <v>92</v>
      </c>
      <c r="C90" s="95" t="s">
        <v>40</v>
      </c>
      <c r="D90" s="67"/>
      <c r="E90" s="16"/>
      <c r="F90" s="16">
        <v>7.0000000000000007E-2</v>
      </c>
      <c r="G90" s="16">
        <v>3397.65</v>
      </c>
      <c r="H90" s="123">
        <f>G90*F90/1000</f>
        <v>0.23783550000000003</v>
      </c>
      <c r="I90" s="16">
        <f>G90*0.01</f>
        <v>33.976500000000001</v>
      </c>
    </row>
    <row r="91" spans="1:9" ht="31.5" customHeight="1">
      <c r="A91" s="36">
        <v>29</v>
      </c>
      <c r="B91" s="94" t="s">
        <v>203</v>
      </c>
      <c r="C91" s="20" t="s">
        <v>90</v>
      </c>
      <c r="D91" s="67"/>
      <c r="E91" s="16"/>
      <c r="F91" s="16">
        <v>1.5</v>
      </c>
      <c r="G91" s="16">
        <v>2121</v>
      </c>
      <c r="H91" s="123">
        <f t="shared" ref="H91" si="10">G91*F91/1000</f>
        <v>3.1815000000000002</v>
      </c>
      <c r="I91" s="16">
        <f>G91*1.5</f>
        <v>3181.5</v>
      </c>
    </row>
    <row r="92" spans="1:9">
      <c r="A92" s="36"/>
      <c r="B92" s="61" t="s">
        <v>54</v>
      </c>
      <c r="C92" s="57"/>
      <c r="D92" s="70"/>
      <c r="E92" s="57">
        <v>1</v>
      </c>
      <c r="F92" s="57"/>
      <c r="G92" s="57"/>
      <c r="H92" s="57"/>
      <c r="I92" s="39">
        <f>SUM(I87:I91)</f>
        <v>12716.696500000002</v>
      </c>
    </row>
    <row r="93" spans="1:9" ht="15.75" customHeight="1">
      <c r="A93" s="36"/>
      <c r="B93" s="67" t="s">
        <v>86</v>
      </c>
      <c r="C93" s="19"/>
      <c r="D93" s="19"/>
      <c r="E93" s="58"/>
      <c r="F93" s="58"/>
      <c r="G93" s="59"/>
      <c r="H93" s="59"/>
      <c r="I93" s="22">
        <v>0</v>
      </c>
    </row>
    <row r="94" spans="1:9" ht="15.75" customHeight="1">
      <c r="A94" s="71"/>
      <c r="B94" s="62" t="s">
        <v>55</v>
      </c>
      <c r="C94" s="45"/>
      <c r="D94" s="45"/>
      <c r="E94" s="45"/>
      <c r="F94" s="45"/>
      <c r="G94" s="45"/>
      <c r="H94" s="45"/>
      <c r="I94" s="60">
        <f>I85+I92</f>
        <v>82319.392565388902</v>
      </c>
    </row>
    <row r="95" spans="1:9" ht="15.75">
      <c r="A95" s="167" t="s">
        <v>252</v>
      </c>
      <c r="B95" s="167"/>
      <c r="C95" s="167"/>
      <c r="D95" s="167"/>
      <c r="E95" s="167"/>
      <c r="F95" s="167"/>
      <c r="G95" s="167"/>
      <c r="H95" s="167"/>
      <c r="I95" s="167"/>
    </row>
    <row r="96" spans="1:9" ht="15.75" customHeight="1">
      <c r="A96" s="106"/>
      <c r="B96" s="162" t="s">
        <v>253</v>
      </c>
      <c r="C96" s="162"/>
      <c r="D96" s="162"/>
      <c r="E96" s="162"/>
      <c r="F96" s="162"/>
      <c r="G96" s="162"/>
      <c r="H96" s="121"/>
      <c r="I96" s="3"/>
    </row>
    <row r="97" spans="1:9" ht="15.75" customHeight="1">
      <c r="A97" s="112"/>
      <c r="B97" s="158" t="s">
        <v>6</v>
      </c>
      <c r="C97" s="158"/>
      <c r="D97" s="158"/>
      <c r="E97" s="158"/>
      <c r="F97" s="158"/>
      <c r="G97" s="158"/>
      <c r="H97" s="31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63" t="s">
        <v>7</v>
      </c>
      <c r="B99" s="163"/>
      <c r="C99" s="163"/>
      <c r="D99" s="163"/>
      <c r="E99" s="163"/>
      <c r="F99" s="163"/>
      <c r="G99" s="163"/>
      <c r="H99" s="163"/>
      <c r="I99" s="163"/>
    </row>
    <row r="100" spans="1:9" ht="15.75" customHeight="1">
      <c r="A100" s="163" t="s">
        <v>8</v>
      </c>
      <c r="B100" s="163"/>
      <c r="C100" s="163"/>
      <c r="D100" s="163"/>
      <c r="E100" s="163"/>
      <c r="F100" s="163"/>
      <c r="G100" s="163"/>
      <c r="H100" s="163"/>
      <c r="I100" s="163"/>
    </row>
    <row r="101" spans="1:9" ht="15.75">
      <c r="A101" s="164" t="s">
        <v>65</v>
      </c>
      <c r="B101" s="164"/>
      <c r="C101" s="164"/>
      <c r="D101" s="164"/>
      <c r="E101" s="164"/>
      <c r="F101" s="164"/>
      <c r="G101" s="164"/>
      <c r="H101" s="164"/>
      <c r="I101" s="164"/>
    </row>
    <row r="102" spans="1:9" ht="15.75" customHeight="1">
      <c r="A102" s="11"/>
    </row>
    <row r="103" spans="1:9" ht="15.75">
      <c r="A103" s="165" t="s">
        <v>9</v>
      </c>
      <c r="B103" s="165"/>
      <c r="C103" s="165"/>
      <c r="D103" s="165"/>
      <c r="E103" s="165"/>
      <c r="F103" s="165"/>
      <c r="G103" s="165"/>
      <c r="H103" s="165"/>
      <c r="I103" s="165"/>
    </row>
    <row r="104" spans="1:9" ht="15.75" customHeight="1">
      <c r="A104" s="4"/>
    </row>
    <row r="105" spans="1:9" ht="15.75">
      <c r="B105" s="115" t="s">
        <v>10</v>
      </c>
      <c r="C105" s="157" t="s">
        <v>170</v>
      </c>
      <c r="D105" s="157"/>
      <c r="E105" s="157"/>
      <c r="F105" s="119"/>
      <c r="I105" s="116"/>
    </row>
    <row r="106" spans="1:9">
      <c r="A106" s="112"/>
      <c r="C106" s="158" t="s">
        <v>11</v>
      </c>
      <c r="D106" s="158"/>
      <c r="E106" s="158"/>
      <c r="F106" s="31"/>
      <c r="I106" s="114" t="s">
        <v>12</v>
      </c>
    </row>
    <row r="107" spans="1:9" ht="15.75">
      <c r="A107" s="32"/>
      <c r="C107" s="12"/>
      <c r="D107" s="12"/>
      <c r="G107" s="12"/>
      <c r="H107" s="12"/>
    </row>
    <row r="108" spans="1:9" ht="15.75" customHeight="1">
      <c r="B108" s="115" t="s">
        <v>13</v>
      </c>
      <c r="C108" s="159"/>
      <c r="D108" s="159"/>
      <c r="E108" s="159"/>
      <c r="F108" s="120"/>
      <c r="I108" s="116"/>
    </row>
    <row r="109" spans="1:9" ht="15.75" customHeight="1">
      <c r="A109" s="112"/>
      <c r="C109" s="160" t="s">
        <v>11</v>
      </c>
      <c r="D109" s="160"/>
      <c r="E109" s="160"/>
      <c r="F109" s="112"/>
      <c r="I109" s="114" t="s">
        <v>12</v>
      </c>
    </row>
    <row r="110" spans="1:9" ht="15.75" customHeight="1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53" t="s">
        <v>16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30" customHeight="1">
      <c r="A113" s="153" t="s">
        <v>17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30" customHeight="1">
      <c r="A114" s="153" t="s">
        <v>21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" customHeight="1">
      <c r="A115" s="153" t="s">
        <v>20</v>
      </c>
      <c r="B115" s="153"/>
      <c r="C115" s="153"/>
      <c r="D115" s="153"/>
      <c r="E115" s="153"/>
      <c r="F115" s="153"/>
      <c r="G115" s="153"/>
      <c r="H115" s="153"/>
      <c r="I115" s="153"/>
    </row>
  </sheetData>
  <mergeCells count="27">
    <mergeCell ref="A113:I113"/>
    <mergeCell ref="A114:I114"/>
    <mergeCell ref="A115:I115"/>
    <mergeCell ref="C105:E105"/>
    <mergeCell ref="C106:E106"/>
    <mergeCell ref="C108:E108"/>
    <mergeCell ref="C109:E109"/>
    <mergeCell ref="A111:I111"/>
    <mergeCell ref="A112:I112"/>
    <mergeCell ref="A103:I103"/>
    <mergeCell ref="A15:I15"/>
    <mergeCell ref="A28:I28"/>
    <mergeCell ref="A43:I43"/>
    <mergeCell ref="A54:I54"/>
    <mergeCell ref="A82:I82"/>
    <mergeCell ref="A95:I95"/>
    <mergeCell ref="B96:G96"/>
    <mergeCell ref="B97:G97"/>
    <mergeCell ref="A99:I99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2017-05-03T07:02:51Z</cp:lastPrinted>
  <dcterms:created xsi:type="dcterms:W3CDTF">2016-03-25T08:33:47Z</dcterms:created>
  <dcterms:modified xsi:type="dcterms:W3CDTF">2017-05-03T07:03:45Z</dcterms:modified>
</cp:coreProperties>
</file>