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05" yWindow="-240" windowWidth="15480" windowHeight="11280" activeTab="11"/>
  </bookViews>
  <sheets>
    <sheet name="01.18" sheetId="8" r:id="rId1"/>
    <sheet name="02.18" sheetId="9" r:id="rId2"/>
    <sheet name="03.18" sheetId="10" r:id="rId3"/>
    <sheet name="04.18" sheetId="11" r:id="rId4"/>
    <sheet name="05.18" sheetId="12" r:id="rId5"/>
    <sheet name="06.18" sheetId="13" r:id="rId6"/>
    <sheet name="07.18" sheetId="14" r:id="rId7"/>
    <sheet name="08.18" sheetId="15" r:id="rId8"/>
    <sheet name="09.18" sheetId="16" r:id="rId9"/>
    <sheet name="10.18" sheetId="17" r:id="rId10"/>
    <sheet name="11.18" sheetId="18" r:id="rId11"/>
    <sheet name="12.18" sheetId="19" r:id="rId12"/>
  </sheets>
  <definedNames>
    <definedName name="_xlnm._FilterDatabase" localSheetId="0" hidden="1">'01.18'!$I$12:$I$65</definedName>
    <definedName name="_xlnm._FilterDatabase" localSheetId="1" hidden="1">'02.18'!$I$12:$I$65</definedName>
    <definedName name="_xlnm._FilterDatabase" localSheetId="2" hidden="1">'03.18'!$I$12:$I$65</definedName>
    <definedName name="_xlnm._FilterDatabase" localSheetId="3" hidden="1">'04.18'!$I$12:$I$65</definedName>
    <definedName name="_xlnm._FilterDatabase" localSheetId="4" hidden="1">'05.18'!$I$12:$I$65</definedName>
    <definedName name="_xlnm._FilterDatabase" localSheetId="5" hidden="1">'06.18'!$I$12:$I$65</definedName>
    <definedName name="_xlnm._FilterDatabase" localSheetId="6" hidden="1">'07.18'!$I$12:$I$65</definedName>
    <definedName name="_xlnm._FilterDatabase" localSheetId="7" hidden="1">'08.18'!$I$12:$I$65</definedName>
    <definedName name="_xlnm._FilterDatabase" localSheetId="8" hidden="1">'09.18'!$I$12:$I$65</definedName>
    <definedName name="_xlnm._FilterDatabase" localSheetId="9" hidden="1">'10.18'!$I$12:$I$65</definedName>
    <definedName name="_xlnm._FilterDatabase" localSheetId="10" hidden="1">'11.18'!$I$12:$I$65</definedName>
    <definedName name="_xlnm._FilterDatabase" localSheetId="11" hidden="1">'12.18'!$I$12:$I$65</definedName>
    <definedName name="_xlnm.Print_Area" localSheetId="0">'01.18'!$A$1:$I$114</definedName>
    <definedName name="_xlnm.Print_Area" localSheetId="1">'02.18'!$A$1:$I$113</definedName>
    <definedName name="_xlnm.Print_Area" localSheetId="2">'03.18'!$A$1:$I$116</definedName>
    <definedName name="_xlnm.Print_Area" localSheetId="3">'04.18'!$A$1:$I$120</definedName>
    <definedName name="_xlnm.Print_Area" localSheetId="4">'05.18'!$A$1:$I$113</definedName>
    <definedName name="_xlnm.Print_Area" localSheetId="5">'06.18'!$A$1:$I$115</definedName>
    <definedName name="_xlnm.Print_Area" localSheetId="6">'07.18'!$A$1:$I$113</definedName>
    <definedName name="_xlnm.Print_Area" localSheetId="7">'08.18'!$A$1:$I$115</definedName>
    <definedName name="_xlnm.Print_Area" localSheetId="8">'09.18'!$A$1:$I$116</definedName>
    <definedName name="_xlnm.Print_Area" localSheetId="9">'10.18'!$A$1:$I$116</definedName>
    <definedName name="_xlnm.Print_Area" localSheetId="10">'11.18'!$A$1:$I$114</definedName>
    <definedName name="_xlnm.Print_Area" localSheetId="11">'12.18'!$A$1:$I$118</definedName>
  </definedNames>
  <calcPr calcId="124519"/>
</workbook>
</file>

<file path=xl/calcChain.xml><?xml version="1.0" encoding="utf-8"?>
<calcChain xmlns="http://schemas.openxmlformats.org/spreadsheetml/2006/main">
  <c r="I95" i="19"/>
  <c r="I87"/>
  <c r="I94"/>
  <c r="I93"/>
  <c r="I92"/>
  <c r="I91"/>
  <c r="I90"/>
  <c r="I89"/>
  <c r="H89"/>
  <c r="I44"/>
  <c r="I91" i="18" l="1"/>
  <c r="I90"/>
  <c r="I89" l="1"/>
  <c r="H89"/>
  <c r="I44"/>
  <c r="I43"/>
  <c r="I87" i="17" l="1"/>
  <c r="I93"/>
  <c r="I92"/>
  <c r="I91"/>
  <c r="I90"/>
  <c r="I89"/>
  <c r="H89"/>
  <c r="I80"/>
  <c r="I92" i="15"/>
  <c r="I91"/>
  <c r="I93" i="16"/>
  <c r="I92"/>
  <c r="I91"/>
  <c r="I90"/>
  <c r="I89"/>
  <c r="H89"/>
  <c r="I87" i="15"/>
  <c r="I90"/>
  <c r="I89"/>
  <c r="H89"/>
  <c r="I87" i="10"/>
  <c r="I87" i="9"/>
  <c r="I87" i="8"/>
  <c r="I89" i="14" l="1"/>
  <c r="H89"/>
  <c r="I94" i="13"/>
  <c r="I92"/>
  <c r="I91"/>
  <c r="I90"/>
  <c r="I89"/>
  <c r="H89"/>
  <c r="I86" i="12"/>
  <c r="I88" i="11"/>
  <c r="I86" i="10"/>
  <c r="I87" i="12" l="1"/>
  <c r="I89"/>
  <c r="H89"/>
  <c r="I19"/>
  <c r="I97" i="11"/>
  <c r="I60"/>
  <c r="I89"/>
  <c r="I54"/>
  <c r="I59" l="1"/>
  <c r="I91" i="10"/>
  <c r="I90"/>
  <c r="I95" i="11"/>
  <c r="I96"/>
  <c r="G96"/>
  <c r="I94"/>
  <c r="I93"/>
  <c r="I92"/>
  <c r="I91"/>
  <c r="I84"/>
  <c r="I44"/>
  <c r="I92" i="10"/>
  <c r="H92"/>
  <c r="I89"/>
  <c r="H89"/>
  <c r="I93" l="1"/>
  <c r="I44"/>
  <c r="I43"/>
  <c r="I44" i="9"/>
  <c r="I43"/>
  <c r="I44" i="8"/>
  <c r="I43"/>
  <c r="I89" i="9" l="1"/>
  <c r="H89"/>
  <c r="I90" i="8"/>
  <c r="H90"/>
  <c r="I89"/>
  <c r="H89"/>
  <c r="I60" i="19"/>
  <c r="F85"/>
  <c r="I85" s="1"/>
  <c r="F84"/>
  <c r="H84" s="1"/>
  <c r="I82"/>
  <c r="H82"/>
  <c r="H80"/>
  <c r="I78"/>
  <c r="F78"/>
  <c r="H78" s="1"/>
  <c r="H77"/>
  <c r="F76"/>
  <c r="H76" s="1"/>
  <c r="H75"/>
  <c r="F74"/>
  <c r="H74" s="1"/>
  <c r="F72"/>
  <c r="I72" s="1"/>
  <c r="F71"/>
  <c r="H71" s="1"/>
  <c r="E70"/>
  <c r="F70" s="1"/>
  <c r="F69"/>
  <c r="I69" s="1"/>
  <c r="F68"/>
  <c r="H68" s="1"/>
  <c r="E67"/>
  <c r="F67" s="1"/>
  <c r="F66"/>
  <c r="I66" s="1"/>
  <c r="H65"/>
  <c r="F64"/>
  <c r="H64" s="1"/>
  <c r="F62"/>
  <c r="H62" s="1"/>
  <c r="H60"/>
  <c r="F59"/>
  <c r="I59" s="1"/>
  <c r="I56"/>
  <c r="F56"/>
  <c r="H56" s="1"/>
  <c r="I55"/>
  <c r="F55"/>
  <c r="H55" s="1"/>
  <c r="I54"/>
  <c r="H54"/>
  <c r="F53"/>
  <c r="H53" s="1"/>
  <c r="E52"/>
  <c r="F52" s="1"/>
  <c r="F51"/>
  <c r="I51" s="1"/>
  <c r="F50"/>
  <c r="H50" s="1"/>
  <c r="F49"/>
  <c r="I49" s="1"/>
  <c r="F48"/>
  <c r="H48" s="1"/>
  <c r="F47"/>
  <c r="I47" s="1"/>
  <c r="F46"/>
  <c r="H46" s="1"/>
  <c r="H44"/>
  <c r="E43"/>
  <c r="F43" s="1"/>
  <c r="I43" s="1"/>
  <c r="E42"/>
  <c r="F42" s="1"/>
  <c r="F41"/>
  <c r="I41" s="1"/>
  <c r="F40"/>
  <c r="H40" s="1"/>
  <c r="I39"/>
  <c r="H39"/>
  <c r="H37"/>
  <c r="H36"/>
  <c r="H35"/>
  <c r="F35"/>
  <c r="I35" s="1"/>
  <c r="E35"/>
  <c r="F34"/>
  <c r="I34" s="1"/>
  <c r="F33"/>
  <c r="H33" s="1"/>
  <c r="F32"/>
  <c r="I32" s="1"/>
  <c r="F31"/>
  <c r="H31" s="1"/>
  <c r="F28"/>
  <c r="I28" s="1"/>
  <c r="F27"/>
  <c r="H27" s="1"/>
  <c r="F26"/>
  <c r="I26" s="1"/>
  <c r="I25"/>
  <c r="H25"/>
  <c r="I24"/>
  <c r="H24"/>
  <c r="F23"/>
  <c r="H23" s="1"/>
  <c r="F22"/>
  <c r="I22" s="1"/>
  <c r="F21"/>
  <c r="H21" s="1"/>
  <c r="F20"/>
  <c r="I20" s="1"/>
  <c r="F19"/>
  <c r="H19" s="1"/>
  <c r="E18"/>
  <c r="F18" s="1"/>
  <c r="F17"/>
  <c r="I17" s="1"/>
  <c r="F16"/>
  <c r="H16" s="1"/>
  <c r="F85" i="18"/>
  <c r="I85" s="1"/>
  <c r="F84"/>
  <c r="H84" s="1"/>
  <c r="I82"/>
  <c r="H82"/>
  <c r="H80"/>
  <c r="I78"/>
  <c r="F78"/>
  <c r="H78" s="1"/>
  <c r="H77"/>
  <c r="F76"/>
  <c r="H76" s="1"/>
  <c r="H75"/>
  <c r="F74"/>
  <c r="H74" s="1"/>
  <c r="F72"/>
  <c r="I72" s="1"/>
  <c r="F71"/>
  <c r="H71" s="1"/>
  <c r="E70"/>
  <c r="F70" s="1"/>
  <c r="F69"/>
  <c r="I69" s="1"/>
  <c r="F68"/>
  <c r="H68" s="1"/>
  <c r="E67"/>
  <c r="F67" s="1"/>
  <c r="F66"/>
  <c r="I66" s="1"/>
  <c r="H65"/>
  <c r="F64"/>
  <c r="H64" s="1"/>
  <c r="F62"/>
  <c r="H62" s="1"/>
  <c r="I60"/>
  <c r="H60"/>
  <c r="F59"/>
  <c r="I59" s="1"/>
  <c r="I56"/>
  <c r="F56"/>
  <c r="H56" s="1"/>
  <c r="I55"/>
  <c r="F55"/>
  <c r="H55" s="1"/>
  <c r="I54"/>
  <c r="H54"/>
  <c r="F53"/>
  <c r="H53" s="1"/>
  <c r="E52"/>
  <c r="F52" s="1"/>
  <c r="F51"/>
  <c r="I51" s="1"/>
  <c r="F50"/>
  <c r="H50" s="1"/>
  <c r="F49"/>
  <c r="I49" s="1"/>
  <c r="F48"/>
  <c r="H48" s="1"/>
  <c r="F47"/>
  <c r="I47" s="1"/>
  <c r="F46"/>
  <c r="H46" s="1"/>
  <c r="H44"/>
  <c r="E43"/>
  <c r="F43" s="1"/>
  <c r="E42"/>
  <c r="F42" s="1"/>
  <c r="F41"/>
  <c r="I41" s="1"/>
  <c r="F40"/>
  <c r="H40" s="1"/>
  <c r="I39"/>
  <c r="H39"/>
  <c r="H37"/>
  <c r="H36"/>
  <c r="H35"/>
  <c r="F35"/>
  <c r="I35" s="1"/>
  <c r="E35"/>
  <c r="F34"/>
  <c r="I34" s="1"/>
  <c r="F33"/>
  <c r="H33" s="1"/>
  <c r="F32"/>
  <c r="I32" s="1"/>
  <c r="F31"/>
  <c r="H31" s="1"/>
  <c r="F28"/>
  <c r="I28" s="1"/>
  <c r="F27"/>
  <c r="H27" s="1"/>
  <c r="H26"/>
  <c r="F26"/>
  <c r="I26" s="1"/>
  <c r="I25"/>
  <c r="H25"/>
  <c r="I24"/>
  <c r="H24"/>
  <c r="F23"/>
  <c r="H23" s="1"/>
  <c r="F22"/>
  <c r="I22" s="1"/>
  <c r="F21"/>
  <c r="H21" s="1"/>
  <c r="H20"/>
  <c r="F20"/>
  <c r="I20" s="1"/>
  <c r="F19"/>
  <c r="H19" s="1"/>
  <c r="E18"/>
  <c r="F18" s="1"/>
  <c r="H17"/>
  <c r="F17"/>
  <c r="I17" s="1"/>
  <c r="F16"/>
  <c r="H16" s="1"/>
  <c r="I18" i="19" l="1"/>
  <c r="H18"/>
  <c r="I42"/>
  <c r="H42"/>
  <c r="I52"/>
  <c r="H52"/>
  <c r="I70"/>
  <c r="H70"/>
  <c r="H43"/>
  <c r="I67"/>
  <c r="H67"/>
  <c r="I16"/>
  <c r="H17"/>
  <c r="I19"/>
  <c r="H20"/>
  <c r="I21"/>
  <c r="H22"/>
  <c r="I23"/>
  <c r="H26"/>
  <c r="I27"/>
  <c r="H28"/>
  <c r="I31"/>
  <c r="H32"/>
  <c r="I33"/>
  <c r="H34"/>
  <c r="I40"/>
  <c r="H41"/>
  <c r="I46"/>
  <c r="H47"/>
  <c r="I48"/>
  <c r="H49"/>
  <c r="I50"/>
  <c r="H51"/>
  <c r="I53"/>
  <c r="H59"/>
  <c r="H66"/>
  <c r="I68"/>
  <c r="H69"/>
  <c r="I71"/>
  <c r="H72"/>
  <c r="I84"/>
  <c r="H85"/>
  <c r="H22" i="18"/>
  <c r="H28"/>
  <c r="H85"/>
  <c r="H72"/>
  <c r="H32"/>
  <c r="H34"/>
  <c r="H43"/>
  <c r="I67"/>
  <c r="H67"/>
  <c r="I18"/>
  <c r="H18"/>
  <c r="I42"/>
  <c r="H42"/>
  <c r="I52"/>
  <c r="H52"/>
  <c r="I70"/>
  <c r="H70"/>
  <c r="I40"/>
  <c r="H41"/>
  <c r="I46"/>
  <c r="H47"/>
  <c r="I48"/>
  <c r="H49"/>
  <c r="I50"/>
  <c r="H51"/>
  <c r="I53"/>
  <c r="H59"/>
  <c r="H66"/>
  <c r="I68"/>
  <c r="H69"/>
  <c r="I71"/>
  <c r="I84"/>
  <c r="I16"/>
  <c r="I19"/>
  <c r="I21"/>
  <c r="I23"/>
  <c r="I27"/>
  <c r="I31"/>
  <c r="I33"/>
  <c r="I97" i="19" l="1"/>
  <c r="I87" i="18"/>
  <c r="I93"/>
  <c r="H85" i="17" l="1"/>
  <c r="F85"/>
  <c r="I85" s="1"/>
  <c r="F84"/>
  <c r="H84" s="1"/>
  <c r="I82"/>
  <c r="H82"/>
  <c r="H80"/>
  <c r="I78"/>
  <c r="F78"/>
  <c r="H78" s="1"/>
  <c r="H77"/>
  <c r="F76"/>
  <c r="H76" s="1"/>
  <c r="H75"/>
  <c r="F74"/>
  <c r="H74" s="1"/>
  <c r="F72"/>
  <c r="I72" s="1"/>
  <c r="F71"/>
  <c r="H71" s="1"/>
  <c r="E70"/>
  <c r="F70" s="1"/>
  <c r="F69"/>
  <c r="I69" s="1"/>
  <c r="F68"/>
  <c r="H68" s="1"/>
  <c r="E67"/>
  <c r="F67" s="1"/>
  <c r="F66"/>
  <c r="I66" s="1"/>
  <c r="H65"/>
  <c r="F64"/>
  <c r="H64" s="1"/>
  <c r="F62"/>
  <c r="H62" s="1"/>
  <c r="I60"/>
  <c r="H60"/>
  <c r="F59"/>
  <c r="I59" s="1"/>
  <c r="I56"/>
  <c r="F56"/>
  <c r="H56" s="1"/>
  <c r="I55"/>
  <c r="F55"/>
  <c r="H55" s="1"/>
  <c r="I54"/>
  <c r="H54"/>
  <c r="F53"/>
  <c r="H53" s="1"/>
  <c r="E52"/>
  <c r="F52" s="1"/>
  <c r="F51"/>
  <c r="I51" s="1"/>
  <c r="F50"/>
  <c r="H50" s="1"/>
  <c r="F49"/>
  <c r="I49" s="1"/>
  <c r="F48"/>
  <c r="H48" s="1"/>
  <c r="F47"/>
  <c r="I47" s="1"/>
  <c r="F46"/>
  <c r="H46" s="1"/>
  <c r="I44"/>
  <c r="H44"/>
  <c r="E43"/>
  <c r="F43" s="1"/>
  <c r="E42"/>
  <c r="F42" s="1"/>
  <c r="F41"/>
  <c r="I41" s="1"/>
  <c r="F40"/>
  <c r="H40" s="1"/>
  <c r="I39"/>
  <c r="H39"/>
  <c r="H37"/>
  <c r="H36"/>
  <c r="H35"/>
  <c r="F35"/>
  <c r="I35" s="1"/>
  <c r="E35"/>
  <c r="F34"/>
  <c r="I34" s="1"/>
  <c r="F33"/>
  <c r="H33" s="1"/>
  <c r="F32"/>
  <c r="I32" s="1"/>
  <c r="F31"/>
  <c r="H31" s="1"/>
  <c r="F28"/>
  <c r="I28" s="1"/>
  <c r="F27"/>
  <c r="H27" s="1"/>
  <c r="F26"/>
  <c r="I26" s="1"/>
  <c r="I25"/>
  <c r="H25"/>
  <c r="I24"/>
  <c r="H24"/>
  <c r="F23"/>
  <c r="H23" s="1"/>
  <c r="F22"/>
  <c r="I22" s="1"/>
  <c r="F21"/>
  <c r="H21" s="1"/>
  <c r="F20"/>
  <c r="I20" s="1"/>
  <c r="F19"/>
  <c r="H19" s="1"/>
  <c r="E18"/>
  <c r="F18" s="1"/>
  <c r="F17"/>
  <c r="I17" s="1"/>
  <c r="F16"/>
  <c r="H16" s="1"/>
  <c r="F85" i="16"/>
  <c r="I85" s="1"/>
  <c r="F84"/>
  <c r="H84" s="1"/>
  <c r="I82"/>
  <c r="H82"/>
  <c r="H80"/>
  <c r="I78"/>
  <c r="F78"/>
  <c r="H78" s="1"/>
  <c r="H77"/>
  <c r="F76"/>
  <c r="H76" s="1"/>
  <c r="H75"/>
  <c r="F74"/>
  <c r="H74" s="1"/>
  <c r="F72"/>
  <c r="I72" s="1"/>
  <c r="F71"/>
  <c r="H71" s="1"/>
  <c r="E70"/>
  <c r="F70" s="1"/>
  <c r="F69"/>
  <c r="H69" s="1"/>
  <c r="F68"/>
  <c r="I68" s="1"/>
  <c r="E67"/>
  <c r="F67" s="1"/>
  <c r="H67" s="1"/>
  <c r="F66"/>
  <c r="H66" s="1"/>
  <c r="H65"/>
  <c r="F64"/>
  <c r="H64" s="1"/>
  <c r="F62"/>
  <c r="H62" s="1"/>
  <c r="I60"/>
  <c r="H60"/>
  <c r="F59"/>
  <c r="H59" s="1"/>
  <c r="I56"/>
  <c r="F56"/>
  <c r="H56" s="1"/>
  <c r="I55"/>
  <c r="F55"/>
  <c r="H55" s="1"/>
  <c r="I54"/>
  <c r="H54"/>
  <c r="F53"/>
  <c r="I53" s="1"/>
  <c r="E52"/>
  <c r="F52" s="1"/>
  <c r="F51"/>
  <c r="H51" s="1"/>
  <c r="F50"/>
  <c r="I50" s="1"/>
  <c r="F49"/>
  <c r="H49" s="1"/>
  <c r="F48"/>
  <c r="I48" s="1"/>
  <c r="F47"/>
  <c r="H47" s="1"/>
  <c r="F46"/>
  <c r="I46" s="1"/>
  <c r="I44"/>
  <c r="H44"/>
  <c r="E43"/>
  <c r="F43" s="1"/>
  <c r="E42"/>
  <c r="F42" s="1"/>
  <c r="F41"/>
  <c r="H41" s="1"/>
  <c r="F40"/>
  <c r="I40" s="1"/>
  <c r="I39"/>
  <c r="H39"/>
  <c r="H37"/>
  <c r="H36"/>
  <c r="H35"/>
  <c r="F35"/>
  <c r="I35" s="1"/>
  <c r="E35"/>
  <c r="F34"/>
  <c r="H34" s="1"/>
  <c r="F33"/>
  <c r="I33" s="1"/>
  <c r="F32"/>
  <c r="H32" s="1"/>
  <c r="F31"/>
  <c r="I31" s="1"/>
  <c r="F28"/>
  <c r="H28" s="1"/>
  <c r="F27"/>
  <c r="I27" s="1"/>
  <c r="F26"/>
  <c r="H26" s="1"/>
  <c r="I25"/>
  <c r="H25"/>
  <c r="I24"/>
  <c r="H24"/>
  <c r="F23"/>
  <c r="I23" s="1"/>
  <c r="F22"/>
  <c r="H22" s="1"/>
  <c r="F21"/>
  <c r="I21" s="1"/>
  <c r="F20"/>
  <c r="H20" s="1"/>
  <c r="F19"/>
  <c r="I19" s="1"/>
  <c r="E18"/>
  <c r="F18" s="1"/>
  <c r="F17"/>
  <c r="I17" s="1"/>
  <c r="F16"/>
  <c r="I16" s="1"/>
  <c r="H85" i="15"/>
  <c r="F85"/>
  <c r="I85" s="1"/>
  <c r="F84"/>
  <c r="I84" s="1"/>
  <c r="I82"/>
  <c r="H82"/>
  <c r="H80"/>
  <c r="I78"/>
  <c r="F78"/>
  <c r="H78" s="1"/>
  <c r="H77"/>
  <c r="F76"/>
  <c r="H76" s="1"/>
  <c r="H75"/>
  <c r="F74"/>
  <c r="H74" s="1"/>
  <c r="F72"/>
  <c r="H72" s="1"/>
  <c r="F71"/>
  <c r="H71" s="1"/>
  <c r="E70"/>
  <c r="F70" s="1"/>
  <c r="F69"/>
  <c r="I69" s="1"/>
  <c r="F68"/>
  <c r="H68" s="1"/>
  <c r="E67"/>
  <c r="F67" s="1"/>
  <c r="F66"/>
  <c r="I66" s="1"/>
  <c r="H65"/>
  <c r="F64"/>
  <c r="H64" s="1"/>
  <c r="F62"/>
  <c r="H62" s="1"/>
  <c r="I60"/>
  <c r="H60"/>
  <c r="F59"/>
  <c r="I59" s="1"/>
  <c r="I56"/>
  <c r="F56"/>
  <c r="H56" s="1"/>
  <c r="I55"/>
  <c r="F55"/>
  <c r="H55" s="1"/>
  <c r="I54"/>
  <c r="H54"/>
  <c r="F53"/>
  <c r="H53" s="1"/>
  <c r="E52"/>
  <c r="F52" s="1"/>
  <c r="F51"/>
  <c r="I51" s="1"/>
  <c r="F50"/>
  <c r="H50" s="1"/>
  <c r="F49"/>
  <c r="I49" s="1"/>
  <c r="F48"/>
  <c r="H48" s="1"/>
  <c r="F47"/>
  <c r="I47" s="1"/>
  <c r="F46"/>
  <c r="H46" s="1"/>
  <c r="I44"/>
  <c r="H44"/>
  <c r="E43"/>
  <c r="F43" s="1"/>
  <c r="E42"/>
  <c r="F42" s="1"/>
  <c r="F41"/>
  <c r="I41" s="1"/>
  <c r="F40"/>
  <c r="H40" s="1"/>
  <c r="I39"/>
  <c r="H39"/>
  <c r="H37"/>
  <c r="H36"/>
  <c r="H35"/>
  <c r="F35"/>
  <c r="I35" s="1"/>
  <c r="E35"/>
  <c r="F34"/>
  <c r="I34" s="1"/>
  <c r="F33"/>
  <c r="H33" s="1"/>
  <c r="F32"/>
  <c r="I32" s="1"/>
  <c r="F31"/>
  <c r="H31" s="1"/>
  <c r="F28"/>
  <c r="I28" s="1"/>
  <c r="F27"/>
  <c r="H27" s="1"/>
  <c r="F26"/>
  <c r="I26" s="1"/>
  <c r="I25"/>
  <c r="H25"/>
  <c r="I24"/>
  <c r="H24"/>
  <c r="F23"/>
  <c r="H23" s="1"/>
  <c r="F22"/>
  <c r="I22" s="1"/>
  <c r="F21"/>
  <c r="H21" s="1"/>
  <c r="F20"/>
  <c r="I20" s="1"/>
  <c r="F19"/>
  <c r="H19" s="1"/>
  <c r="E18"/>
  <c r="F18" s="1"/>
  <c r="F17"/>
  <c r="I17" s="1"/>
  <c r="F16"/>
  <c r="H16" s="1"/>
  <c r="I87" i="14"/>
  <c r="I90"/>
  <c r="H85"/>
  <c r="F85"/>
  <c r="I85" s="1"/>
  <c r="F84"/>
  <c r="I84" s="1"/>
  <c r="I82"/>
  <c r="H82"/>
  <c r="H80"/>
  <c r="I78"/>
  <c r="F78"/>
  <c r="H78" s="1"/>
  <c r="H77"/>
  <c r="F76"/>
  <c r="H76" s="1"/>
  <c r="H75"/>
  <c r="F74"/>
  <c r="H74" s="1"/>
  <c r="F72"/>
  <c r="H72" s="1"/>
  <c r="F71"/>
  <c r="H71" s="1"/>
  <c r="E70"/>
  <c r="F70" s="1"/>
  <c r="F69"/>
  <c r="I69" s="1"/>
  <c r="F68"/>
  <c r="H68" s="1"/>
  <c r="E67"/>
  <c r="F67" s="1"/>
  <c r="F66"/>
  <c r="I66" s="1"/>
  <c r="H65"/>
  <c r="F64"/>
  <c r="H64" s="1"/>
  <c r="H62"/>
  <c r="F62"/>
  <c r="I60"/>
  <c r="H60"/>
  <c r="F59"/>
  <c r="I59" s="1"/>
  <c r="I56"/>
  <c r="F56"/>
  <c r="H56" s="1"/>
  <c r="I55"/>
  <c r="F55"/>
  <c r="H55" s="1"/>
  <c r="I54"/>
  <c r="H54"/>
  <c r="F53"/>
  <c r="H53" s="1"/>
  <c r="E52"/>
  <c r="F52" s="1"/>
  <c r="F51"/>
  <c r="I51" s="1"/>
  <c r="F50"/>
  <c r="H50" s="1"/>
  <c r="F49"/>
  <c r="I49" s="1"/>
  <c r="F48"/>
  <c r="H48" s="1"/>
  <c r="F47"/>
  <c r="I47" s="1"/>
  <c r="F46"/>
  <c r="H46" s="1"/>
  <c r="I44"/>
  <c r="H44"/>
  <c r="E43"/>
  <c r="F43" s="1"/>
  <c r="E42"/>
  <c r="F42" s="1"/>
  <c r="F41"/>
  <c r="I41" s="1"/>
  <c r="H40"/>
  <c r="F40"/>
  <c r="I40" s="1"/>
  <c r="I39"/>
  <c r="H39"/>
  <c r="H37"/>
  <c r="H36"/>
  <c r="H35"/>
  <c r="F35"/>
  <c r="I35" s="1"/>
  <c r="E35"/>
  <c r="F34"/>
  <c r="I34" s="1"/>
  <c r="F33"/>
  <c r="H33" s="1"/>
  <c r="F32"/>
  <c r="I32" s="1"/>
  <c r="F31"/>
  <c r="H31" s="1"/>
  <c r="F28"/>
  <c r="I28" s="1"/>
  <c r="F27"/>
  <c r="H27" s="1"/>
  <c r="F26"/>
  <c r="I26" s="1"/>
  <c r="I25"/>
  <c r="H25"/>
  <c r="I24"/>
  <c r="H24"/>
  <c r="F23"/>
  <c r="H23" s="1"/>
  <c r="F22"/>
  <c r="I22" s="1"/>
  <c r="F21"/>
  <c r="H21" s="1"/>
  <c r="F20"/>
  <c r="I20" s="1"/>
  <c r="F19"/>
  <c r="H19" s="1"/>
  <c r="E18"/>
  <c r="F18" s="1"/>
  <c r="F17"/>
  <c r="I17" s="1"/>
  <c r="F16"/>
  <c r="H16" s="1"/>
  <c r="I43" i="17" l="1"/>
  <c r="H43"/>
  <c r="I67"/>
  <c r="H67"/>
  <c r="I18"/>
  <c r="H18"/>
  <c r="I42"/>
  <c r="H42"/>
  <c r="I52"/>
  <c r="H52"/>
  <c r="I70"/>
  <c r="H70"/>
  <c r="I16"/>
  <c r="H17"/>
  <c r="I19"/>
  <c r="H20"/>
  <c r="I21"/>
  <c r="H22"/>
  <c r="I23"/>
  <c r="H26"/>
  <c r="I27"/>
  <c r="H28"/>
  <c r="I31"/>
  <c r="H32"/>
  <c r="I33"/>
  <c r="H34"/>
  <c r="I40"/>
  <c r="H41"/>
  <c r="I46"/>
  <c r="H47"/>
  <c r="I48"/>
  <c r="H49"/>
  <c r="I50"/>
  <c r="H51"/>
  <c r="I53"/>
  <c r="H59"/>
  <c r="H66"/>
  <c r="I68"/>
  <c r="H69"/>
  <c r="I71"/>
  <c r="H72"/>
  <c r="I84"/>
  <c r="H17" i="16"/>
  <c r="I71"/>
  <c r="H43"/>
  <c r="I43"/>
  <c r="H18"/>
  <c r="I18"/>
  <c r="H42"/>
  <c r="I42"/>
  <c r="H52"/>
  <c r="I52"/>
  <c r="H70"/>
  <c r="I70"/>
  <c r="H16"/>
  <c r="H19"/>
  <c r="I20"/>
  <c r="H21"/>
  <c r="I22"/>
  <c r="H23"/>
  <c r="I26"/>
  <c r="H27"/>
  <c r="I28"/>
  <c r="H31"/>
  <c r="I32"/>
  <c r="H33"/>
  <c r="I34"/>
  <c r="H40"/>
  <c r="I41"/>
  <c r="H46"/>
  <c r="I47"/>
  <c r="H48"/>
  <c r="I49"/>
  <c r="H50"/>
  <c r="I51"/>
  <c r="H53"/>
  <c r="I59"/>
  <c r="I66"/>
  <c r="I67"/>
  <c r="H68"/>
  <c r="I69"/>
  <c r="H72"/>
  <c r="I84"/>
  <c r="H85"/>
  <c r="I18" i="15"/>
  <c r="H18"/>
  <c r="I42"/>
  <c r="H42"/>
  <c r="I52"/>
  <c r="H52"/>
  <c r="I70"/>
  <c r="H70"/>
  <c r="I43"/>
  <c r="H43"/>
  <c r="I67"/>
  <c r="H67"/>
  <c r="I16"/>
  <c r="H17"/>
  <c r="I19"/>
  <c r="H20"/>
  <c r="I21"/>
  <c r="H22"/>
  <c r="I23"/>
  <c r="H26"/>
  <c r="I27"/>
  <c r="H28"/>
  <c r="I31"/>
  <c r="H32"/>
  <c r="I33"/>
  <c r="H34"/>
  <c r="I40"/>
  <c r="H41"/>
  <c r="I46"/>
  <c r="H47"/>
  <c r="I48"/>
  <c r="H49"/>
  <c r="I50"/>
  <c r="H51"/>
  <c r="I53"/>
  <c r="H59"/>
  <c r="H66"/>
  <c r="I68"/>
  <c r="H69"/>
  <c r="I72"/>
  <c r="H84"/>
  <c r="I18" i="14"/>
  <c r="H18"/>
  <c r="I43"/>
  <c r="H43"/>
  <c r="I70"/>
  <c r="H70"/>
  <c r="I42"/>
  <c r="H42"/>
  <c r="I52"/>
  <c r="H52"/>
  <c r="I67"/>
  <c r="H67"/>
  <c r="I16"/>
  <c r="H17"/>
  <c r="I19"/>
  <c r="H20"/>
  <c r="I21"/>
  <c r="H22"/>
  <c r="I23"/>
  <c r="H26"/>
  <c r="I27"/>
  <c r="H28"/>
  <c r="I31"/>
  <c r="H32"/>
  <c r="I33"/>
  <c r="H34"/>
  <c r="H41"/>
  <c r="I46"/>
  <c r="H47"/>
  <c r="I48"/>
  <c r="H49"/>
  <c r="I50"/>
  <c r="H51"/>
  <c r="I53"/>
  <c r="H59"/>
  <c r="H66"/>
  <c r="I68"/>
  <c r="H69"/>
  <c r="I72"/>
  <c r="H84"/>
  <c r="I95" i="17" l="1"/>
  <c r="I87" i="16"/>
  <c r="I95" s="1"/>
  <c r="I94" i="15"/>
  <c r="I92" i="14"/>
  <c r="I87" i="13" l="1"/>
  <c r="F85"/>
  <c r="I85" s="1"/>
  <c r="F84"/>
  <c r="H84" s="1"/>
  <c r="I82"/>
  <c r="H82"/>
  <c r="H80"/>
  <c r="I78"/>
  <c r="F78"/>
  <c r="H78" s="1"/>
  <c r="H77"/>
  <c r="F76"/>
  <c r="H76" s="1"/>
  <c r="H75"/>
  <c r="F74"/>
  <c r="H74" s="1"/>
  <c r="F72"/>
  <c r="I72" s="1"/>
  <c r="F71"/>
  <c r="H71" s="1"/>
  <c r="E70"/>
  <c r="F70" s="1"/>
  <c r="F69"/>
  <c r="H69" s="1"/>
  <c r="F68"/>
  <c r="I68" s="1"/>
  <c r="E67"/>
  <c r="F67" s="1"/>
  <c r="H67" s="1"/>
  <c r="F66"/>
  <c r="H66" s="1"/>
  <c r="H65"/>
  <c r="F64"/>
  <c r="H64" s="1"/>
  <c r="H62"/>
  <c r="F62"/>
  <c r="I60"/>
  <c r="H60"/>
  <c r="F59"/>
  <c r="H59" s="1"/>
  <c r="I56"/>
  <c r="F56"/>
  <c r="H56" s="1"/>
  <c r="I55"/>
  <c r="F55"/>
  <c r="H55" s="1"/>
  <c r="I54"/>
  <c r="H54"/>
  <c r="F53"/>
  <c r="I53" s="1"/>
  <c r="E52"/>
  <c r="F52" s="1"/>
  <c r="F51"/>
  <c r="H51" s="1"/>
  <c r="F50"/>
  <c r="I50" s="1"/>
  <c r="F49"/>
  <c r="H49" s="1"/>
  <c r="F48"/>
  <c r="I48" s="1"/>
  <c r="F47"/>
  <c r="H47" s="1"/>
  <c r="F46"/>
  <c r="I46" s="1"/>
  <c r="I44"/>
  <c r="H44"/>
  <c r="E43"/>
  <c r="F43" s="1"/>
  <c r="E42"/>
  <c r="F42" s="1"/>
  <c r="F41"/>
  <c r="H41" s="1"/>
  <c r="F40"/>
  <c r="I40" s="1"/>
  <c r="I39"/>
  <c r="H39"/>
  <c r="H37"/>
  <c r="H36"/>
  <c r="H35"/>
  <c r="F35"/>
  <c r="I35" s="1"/>
  <c r="E35"/>
  <c r="F34"/>
  <c r="H34" s="1"/>
  <c r="F33"/>
  <c r="I33" s="1"/>
  <c r="F32"/>
  <c r="H32" s="1"/>
  <c r="F31"/>
  <c r="I31" s="1"/>
  <c r="F28"/>
  <c r="H28" s="1"/>
  <c r="F27"/>
  <c r="I27" s="1"/>
  <c r="F26"/>
  <c r="H26" s="1"/>
  <c r="I25"/>
  <c r="H25"/>
  <c r="I24"/>
  <c r="H24"/>
  <c r="F23"/>
  <c r="I23" s="1"/>
  <c r="F22"/>
  <c r="H22" s="1"/>
  <c r="F21"/>
  <c r="I21" s="1"/>
  <c r="F20"/>
  <c r="H20" s="1"/>
  <c r="F19"/>
  <c r="I19" s="1"/>
  <c r="E18"/>
  <c r="F18" s="1"/>
  <c r="F17"/>
  <c r="H17" s="1"/>
  <c r="F16"/>
  <c r="I16" s="1"/>
  <c r="I54" i="12"/>
  <c r="I90"/>
  <c r="F85"/>
  <c r="I85" s="1"/>
  <c r="F84"/>
  <c r="H84" s="1"/>
  <c r="I82"/>
  <c r="H82"/>
  <c r="H80"/>
  <c r="I78"/>
  <c r="F78"/>
  <c r="H78" s="1"/>
  <c r="H77"/>
  <c r="F76"/>
  <c r="H76" s="1"/>
  <c r="H75"/>
  <c r="F74"/>
  <c r="H74" s="1"/>
  <c r="F72"/>
  <c r="I72" s="1"/>
  <c r="F71"/>
  <c r="H71" s="1"/>
  <c r="E70"/>
  <c r="F70" s="1"/>
  <c r="H70" s="1"/>
  <c r="F69"/>
  <c r="H69" s="1"/>
  <c r="F68"/>
  <c r="H68" s="1"/>
  <c r="E67"/>
  <c r="F67" s="1"/>
  <c r="H67" s="1"/>
  <c r="F66"/>
  <c r="H66" s="1"/>
  <c r="H65"/>
  <c r="F64"/>
  <c r="H64" s="1"/>
  <c r="F62"/>
  <c r="H62" s="1"/>
  <c r="I60"/>
  <c r="H60"/>
  <c r="F59"/>
  <c r="I59" s="1"/>
  <c r="I56"/>
  <c r="F56"/>
  <c r="H56" s="1"/>
  <c r="I55"/>
  <c r="F55"/>
  <c r="H55" s="1"/>
  <c r="H54"/>
  <c r="F53"/>
  <c r="H53" s="1"/>
  <c r="E52"/>
  <c r="F52" s="1"/>
  <c r="H52" s="1"/>
  <c r="F51"/>
  <c r="H51" s="1"/>
  <c r="F50"/>
  <c r="H50" s="1"/>
  <c r="F49"/>
  <c r="H49" s="1"/>
  <c r="F48"/>
  <c r="H48" s="1"/>
  <c r="F47"/>
  <c r="H47" s="1"/>
  <c r="F46"/>
  <c r="H46" s="1"/>
  <c r="I44"/>
  <c r="H44"/>
  <c r="E43"/>
  <c r="F43" s="1"/>
  <c r="E42"/>
  <c r="F42" s="1"/>
  <c r="F41"/>
  <c r="I41" s="1"/>
  <c r="F40"/>
  <c r="H40" s="1"/>
  <c r="I39"/>
  <c r="H39"/>
  <c r="H37"/>
  <c r="H36"/>
  <c r="H35"/>
  <c r="F35"/>
  <c r="I35" s="1"/>
  <c r="E35"/>
  <c r="F34"/>
  <c r="I34" s="1"/>
  <c r="F33"/>
  <c r="H33" s="1"/>
  <c r="F32"/>
  <c r="I32" s="1"/>
  <c r="F31"/>
  <c r="H31" s="1"/>
  <c r="F28"/>
  <c r="I28" s="1"/>
  <c r="F27"/>
  <c r="I27" s="1"/>
  <c r="F26"/>
  <c r="I26" s="1"/>
  <c r="I25"/>
  <c r="H25"/>
  <c r="I24"/>
  <c r="H24"/>
  <c r="F23"/>
  <c r="H23" s="1"/>
  <c r="F22"/>
  <c r="I22" s="1"/>
  <c r="F21"/>
  <c r="H21" s="1"/>
  <c r="F20"/>
  <c r="I20" s="1"/>
  <c r="F19"/>
  <c r="H19" s="1"/>
  <c r="E18"/>
  <c r="F18" s="1"/>
  <c r="H17"/>
  <c r="F17"/>
  <c r="I17" s="1"/>
  <c r="F16"/>
  <c r="H16" s="1"/>
  <c r="H94" i="11"/>
  <c r="H93"/>
  <c r="H92"/>
  <c r="H91"/>
  <c r="F87"/>
  <c r="I87" s="1"/>
  <c r="F86"/>
  <c r="H86" s="1"/>
  <c r="I82"/>
  <c r="H82"/>
  <c r="H80"/>
  <c r="I78"/>
  <c r="F78"/>
  <c r="H78" s="1"/>
  <c r="H77"/>
  <c r="F76"/>
  <c r="H76" s="1"/>
  <c r="H75"/>
  <c r="H74"/>
  <c r="F74"/>
  <c r="F72"/>
  <c r="I72" s="1"/>
  <c r="F71"/>
  <c r="H71" s="1"/>
  <c r="F70"/>
  <c r="H70" s="1"/>
  <c r="E70"/>
  <c r="H69"/>
  <c r="F69"/>
  <c r="H68"/>
  <c r="F68"/>
  <c r="E67"/>
  <c r="F67" s="1"/>
  <c r="H67" s="1"/>
  <c r="F66"/>
  <c r="H66" s="1"/>
  <c r="H65"/>
  <c r="F64"/>
  <c r="H64" s="1"/>
  <c r="F62"/>
  <c r="H62" s="1"/>
  <c r="H60"/>
  <c r="F59"/>
  <c r="H59" s="1"/>
  <c r="I56"/>
  <c r="F56"/>
  <c r="H56" s="1"/>
  <c r="I55"/>
  <c r="F55"/>
  <c r="H55" s="1"/>
  <c r="H54"/>
  <c r="F53"/>
  <c r="E52"/>
  <c r="F52" s="1"/>
  <c r="F51"/>
  <c r="I51" s="1"/>
  <c r="F50"/>
  <c r="H50" s="1"/>
  <c r="F49"/>
  <c r="H49" s="1"/>
  <c r="F48"/>
  <c r="H48" s="1"/>
  <c r="F47"/>
  <c r="H47" s="1"/>
  <c r="F46"/>
  <c r="H46" s="1"/>
  <c r="H44"/>
  <c r="E43"/>
  <c r="F43" s="1"/>
  <c r="I43" s="1"/>
  <c r="E42"/>
  <c r="F42" s="1"/>
  <c r="F41"/>
  <c r="H41" s="1"/>
  <c r="F40"/>
  <c r="I40" s="1"/>
  <c r="I39"/>
  <c r="H39"/>
  <c r="H37"/>
  <c r="H36"/>
  <c r="H35"/>
  <c r="F35"/>
  <c r="I35" s="1"/>
  <c r="E35"/>
  <c r="F34"/>
  <c r="H34" s="1"/>
  <c r="F33"/>
  <c r="I33" s="1"/>
  <c r="F32"/>
  <c r="H32" s="1"/>
  <c r="F31"/>
  <c r="I31" s="1"/>
  <c r="F28"/>
  <c r="H28" s="1"/>
  <c r="F27"/>
  <c r="I27" s="1"/>
  <c r="F26"/>
  <c r="H26" s="1"/>
  <c r="I25"/>
  <c r="H25"/>
  <c r="I24"/>
  <c r="H24"/>
  <c r="F23"/>
  <c r="I23" s="1"/>
  <c r="F22"/>
  <c r="H22" s="1"/>
  <c r="F21"/>
  <c r="I21" s="1"/>
  <c r="F20"/>
  <c r="H20" s="1"/>
  <c r="F19"/>
  <c r="I19" s="1"/>
  <c r="E18"/>
  <c r="F18" s="1"/>
  <c r="F17"/>
  <c r="H17" s="1"/>
  <c r="F16"/>
  <c r="I16" s="1"/>
  <c r="F85" i="10"/>
  <c r="I85" s="1"/>
  <c r="F84"/>
  <c r="H84" s="1"/>
  <c r="I82"/>
  <c r="H82"/>
  <c r="H80"/>
  <c r="I78"/>
  <c r="F78"/>
  <c r="H78" s="1"/>
  <c r="H77"/>
  <c r="F76"/>
  <c r="H76" s="1"/>
  <c r="H75"/>
  <c r="F74"/>
  <c r="H74" s="1"/>
  <c r="F72"/>
  <c r="I72" s="1"/>
  <c r="F71"/>
  <c r="H71" s="1"/>
  <c r="E70"/>
  <c r="F70" s="1"/>
  <c r="H70" s="1"/>
  <c r="F69"/>
  <c r="H69" s="1"/>
  <c r="F68"/>
  <c r="H68" s="1"/>
  <c r="E67"/>
  <c r="F67" s="1"/>
  <c r="H67" s="1"/>
  <c r="F66"/>
  <c r="H66" s="1"/>
  <c r="H65"/>
  <c r="F64"/>
  <c r="H64" s="1"/>
  <c r="F62"/>
  <c r="H62" s="1"/>
  <c r="H60"/>
  <c r="F59"/>
  <c r="H59" s="1"/>
  <c r="I56"/>
  <c r="F56"/>
  <c r="H56" s="1"/>
  <c r="I55"/>
  <c r="F55"/>
  <c r="H55" s="1"/>
  <c r="H54"/>
  <c r="F53"/>
  <c r="H53" s="1"/>
  <c r="E52"/>
  <c r="F52" s="1"/>
  <c r="H52" s="1"/>
  <c r="F51"/>
  <c r="I51" s="1"/>
  <c r="F50"/>
  <c r="H50" s="1"/>
  <c r="F49"/>
  <c r="H49" s="1"/>
  <c r="F48"/>
  <c r="H48" s="1"/>
  <c r="F47"/>
  <c r="H47" s="1"/>
  <c r="F46"/>
  <c r="H46" s="1"/>
  <c r="H44"/>
  <c r="E43"/>
  <c r="F43" s="1"/>
  <c r="E42"/>
  <c r="F42" s="1"/>
  <c r="F41"/>
  <c r="H41" s="1"/>
  <c r="F40"/>
  <c r="I40" s="1"/>
  <c r="I39"/>
  <c r="H39"/>
  <c r="H37"/>
  <c r="H36"/>
  <c r="H35"/>
  <c r="F35"/>
  <c r="I35" s="1"/>
  <c r="E35"/>
  <c r="F34"/>
  <c r="H34" s="1"/>
  <c r="F33"/>
  <c r="I33" s="1"/>
  <c r="F32"/>
  <c r="H32" s="1"/>
  <c r="F31"/>
  <c r="I31" s="1"/>
  <c r="F28"/>
  <c r="H28" s="1"/>
  <c r="F27"/>
  <c r="I27" s="1"/>
  <c r="F26"/>
  <c r="H26" s="1"/>
  <c r="I25"/>
  <c r="H25"/>
  <c r="I24"/>
  <c r="H24"/>
  <c r="F23"/>
  <c r="I23" s="1"/>
  <c r="F22"/>
  <c r="H22" s="1"/>
  <c r="F21"/>
  <c r="I21" s="1"/>
  <c r="F20"/>
  <c r="H20" s="1"/>
  <c r="F19"/>
  <c r="I19" s="1"/>
  <c r="E18"/>
  <c r="F18" s="1"/>
  <c r="F17"/>
  <c r="H17" s="1"/>
  <c r="F16"/>
  <c r="I16" s="1"/>
  <c r="I90" i="9"/>
  <c r="I82"/>
  <c r="F85"/>
  <c r="I85" s="1"/>
  <c r="F84"/>
  <c r="H84" s="1"/>
  <c r="H82"/>
  <c r="H80"/>
  <c r="I78"/>
  <c r="F78"/>
  <c r="H78" s="1"/>
  <c r="H77"/>
  <c r="F76"/>
  <c r="H76" s="1"/>
  <c r="H75"/>
  <c r="F74"/>
  <c r="H74" s="1"/>
  <c r="F72"/>
  <c r="H72" s="1"/>
  <c r="F71"/>
  <c r="H71" s="1"/>
  <c r="E70"/>
  <c r="F70" s="1"/>
  <c r="H70" s="1"/>
  <c r="H69"/>
  <c r="F69"/>
  <c r="H68"/>
  <c r="F68"/>
  <c r="E67"/>
  <c r="F67" s="1"/>
  <c r="H67" s="1"/>
  <c r="F66"/>
  <c r="H66" s="1"/>
  <c r="H65"/>
  <c r="F64"/>
  <c r="H64" s="1"/>
  <c r="H62"/>
  <c r="F62"/>
  <c r="H60"/>
  <c r="F59"/>
  <c r="I59" s="1"/>
  <c r="I56"/>
  <c r="F56"/>
  <c r="H56" s="1"/>
  <c r="I55"/>
  <c r="F55"/>
  <c r="H55" s="1"/>
  <c r="H54"/>
  <c r="F53"/>
  <c r="H53" s="1"/>
  <c r="E52"/>
  <c r="F52" s="1"/>
  <c r="H52" s="1"/>
  <c r="F51"/>
  <c r="H51" s="1"/>
  <c r="F50"/>
  <c r="H50" s="1"/>
  <c r="F49"/>
  <c r="H49" s="1"/>
  <c r="F48"/>
  <c r="H48" s="1"/>
  <c r="F47"/>
  <c r="H47" s="1"/>
  <c r="F46"/>
  <c r="H46" s="1"/>
  <c r="H44"/>
  <c r="E43"/>
  <c r="F43" s="1"/>
  <c r="E42"/>
  <c r="F42" s="1"/>
  <c r="F41"/>
  <c r="I41" s="1"/>
  <c r="F40"/>
  <c r="H40" s="1"/>
  <c r="I39"/>
  <c r="H39"/>
  <c r="H37"/>
  <c r="H36"/>
  <c r="H35"/>
  <c r="F35"/>
  <c r="I35" s="1"/>
  <c r="E35"/>
  <c r="F34"/>
  <c r="I34" s="1"/>
  <c r="F33"/>
  <c r="H33" s="1"/>
  <c r="F32"/>
  <c r="I32" s="1"/>
  <c r="F31"/>
  <c r="H31" s="1"/>
  <c r="F28"/>
  <c r="I28" s="1"/>
  <c r="F27"/>
  <c r="H27" s="1"/>
  <c r="F26"/>
  <c r="I26" s="1"/>
  <c r="I25"/>
  <c r="H25"/>
  <c r="I24"/>
  <c r="H24"/>
  <c r="F23"/>
  <c r="H23" s="1"/>
  <c r="F22"/>
  <c r="I22" s="1"/>
  <c r="F21"/>
  <c r="I21" s="1"/>
  <c r="F20"/>
  <c r="I20" s="1"/>
  <c r="H19"/>
  <c r="F19"/>
  <c r="I19" s="1"/>
  <c r="E18"/>
  <c r="F18" s="1"/>
  <c r="F17"/>
  <c r="I17" s="1"/>
  <c r="F16"/>
  <c r="H16" s="1"/>
  <c r="I91" i="8"/>
  <c r="F85"/>
  <c r="H85" s="1"/>
  <c r="F84"/>
  <c r="H84" s="1"/>
  <c r="H82"/>
  <c r="H80"/>
  <c r="I78"/>
  <c r="F78"/>
  <c r="H78" s="1"/>
  <c r="H77"/>
  <c r="F76"/>
  <c r="H76" s="1"/>
  <c r="H75"/>
  <c r="F74"/>
  <c r="H74" s="1"/>
  <c r="F72"/>
  <c r="H72" s="1"/>
  <c r="I72"/>
  <c r="F71"/>
  <c r="H71" s="1"/>
  <c r="E70"/>
  <c r="F70" s="1"/>
  <c r="H70" s="1"/>
  <c r="F69"/>
  <c r="H69" s="1"/>
  <c r="F68"/>
  <c r="H68" s="1"/>
  <c r="E67"/>
  <c r="F67" s="1"/>
  <c r="H67" s="1"/>
  <c r="F66"/>
  <c r="H66" s="1"/>
  <c r="H65"/>
  <c r="F64"/>
  <c r="H64" s="1"/>
  <c r="H52" i="11" l="1"/>
  <c r="I52"/>
  <c r="H53"/>
  <c r="I53"/>
  <c r="H21" i="9"/>
  <c r="H43" i="13"/>
  <c r="I43"/>
  <c r="H18"/>
  <c r="I18"/>
  <c r="H42"/>
  <c r="I42"/>
  <c r="H52"/>
  <c r="I52"/>
  <c r="H70"/>
  <c r="I70"/>
  <c r="H16"/>
  <c r="I17"/>
  <c r="H19"/>
  <c r="I20"/>
  <c r="H21"/>
  <c r="I22"/>
  <c r="H23"/>
  <c r="I26"/>
  <c r="H27"/>
  <c r="I28"/>
  <c r="H31"/>
  <c r="I32"/>
  <c r="H33"/>
  <c r="I34"/>
  <c r="H40"/>
  <c r="I41"/>
  <c r="H46"/>
  <c r="I47"/>
  <c r="H48"/>
  <c r="I49"/>
  <c r="H50"/>
  <c r="I51"/>
  <c r="H53"/>
  <c r="I59"/>
  <c r="I66"/>
  <c r="I67"/>
  <c r="H68"/>
  <c r="I69"/>
  <c r="H72"/>
  <c r="I84"/>
  <c r="H85"/>
  <c r="I50" i="12"/>
  <c r="I48"/>
  <c r="I46"/>
  <c r="I66"/>
  <c r="I69"/>
  <c r="I67"/>
  <c r="I49"/>
  <c r="I47"/>
  <c r="I52"/>
  <c r="I53"/>
  <c r="I70"/>
  <c r="I68"/>
  <c r="H27"/>
  <c r="I18"/>
  <c r="H18"/>
  <c r="I43"/>
  <c r="H43"/>
  <c r="I42"/>
  <c r="H42"/>
  <c r="I16"/>
  <c r="H20"/>
  <c r="I21"/>
  <c r="H22"/>
  <c r="I23"/>
  <c r="H26"/>
  <c r="H28"/>
  <c r="I31"/>
  <c r="H32"/>
  <c r="I33"/>
  <c r="H34"/>
  <c r="I40"/>
  <c r="H41"/>
  <c r="I51"/>
  <c r="H59"/>
  <c r="H72"/>
  <c r="I84"/>
  <c r="H85"/>
  <c r="H18" i="11"/>
  <c r="I18"/>
  <c r="H42"/>
  <c r="I42"/>
  <c r="H43"/>
  <c r="H16"/>
  <c r="I17"/>
  <c r="H19"/>
  <c r="I20"/>
  <c r="H21"/>
  <c r="I22"/>
  <c r="H23"/>
  <c r="I26"/>
  <c r="H27"/>
  <c r="I28"/>
  <c r="H31"/>
  <c r="I32"/>
  <c r="H33"/>
  <c r="I34"/>
  <c r="H40"/>
  <c r="I41"/>
  <c r="H51"/>
  <c r="H72"/>
  <c r="I86"/>
  <c r="H87"/>
  <c r="H43" i="10"/>
  <c r="H18"/>
  <c r="I18"/>
  <c r="H42"/>
  <c r="I42"/>
  <c r="H16"/>
  <c r="I17"/>
  <c r="H19"/>
  <c r="I20"/>
  <c r="H21"/>
  <c r="I22"/>
  <c r="H23"/>
  <c r="I26"/>
  <c r="H27"/>
  <c r="I28"/>
  <c r="H31"/>
  <c r="I32"/>
  <c r="H33"/>
  <c r="I34"/>
  <c r="H40"/>
  <c r="I41"/>
  <c r="H51"/>
  <c r="I59"/>
  <c r="H72"/>
  <c r="I84"/>
  <c r="H85"/>
  <c r="H43" i="9"/>
  <c r="I18"/>
  <c r="H18"/>
  <c r="I42"/>
  <c r="H42"/>
  <c r="I16"/>
  <c r="H17"/>
  <c r="H20"/>
  <c r="H22"/>
  <c r="I23"/>
  <c r="H26"/>
  <c r="I27"/>
  <c r="H28"/>
  <c r="I31"/>
  <c r="H32"/>
  <c r="I33"/>
  <c r="H34"/>
  <c r="I40"/>
  <c r="H41"/>
  <c r="I51"/>
  <c r="H59"/>
  <c r="I72"/>
  <c r="I84"/>
  <c r="H85"/>
  <c r="I85" i="8"/>
  <c r="I84"/>
  <c r="I99" i="11" l="1"/>
  <c r="I92" i="9"/>
  <c r="I92" i="12"/>
  <c r="I95" i="10"/>
  <c r="F62" i="8" l="1"/>
  <c r="H60"/>
  <c r="F59"/>
  <c r="H59" s="1"/>
  <c r="I56"/>
  <c r="F56"/>
  <c r="I55"/>
  <c r="F55"/>
  <c r="H54"/>
  <c r="H53" s="1"/>
  <c r="F53"/>
  <c r="F52"/>
  <c r="E52"/>
  <c r="H55" l="1"/>
  <c r="H56"/>
  <c r="H52"/>
  <c r="I59"/>
  <c r="H62"/>
  <c r="F51"/>
  <c r="H50" s="1"/>
  <c r="F50"/>
  <c r="F49"/>
  <c r="H48" s="1"/>
  <c r="F48"/>
  <c r="F47"/>
  <c r="H46" s="1"/>
  <c r="F46"/>
  <c r="H44"/>
  <c r="E43"/>
  <c r="E42"/>
  <c r="H41"/>
  <c r="F41"/>
  <c r="H40"/>
  <c r="F40"/>
  <c r="I39"/>
  <c r="H39"/>
  <c r="H37"/>
  <c r="H36"/>
  <c r="H35"/>
  <c r="F35"/>
  <c r="I35" s="1"/>
  <c r="E35"/>
  <c r="F34"/>
  <c r="I34" s="1"/>
  <c r="H34" s="1"/>
  <c r="I33"/>
  <c r="H33" s="1"/>
  <c r="F33"/>
  <c r="I32"/>
  <c r="H32" s="1"/>
  <c r="F32"/>
  <c r="I31"/>
  <c r="H31" s="1"/>
  <c r="F31"/>
  <c r="I28"/>
  <c r="H28" s="1"/>
  <c r="F28"/>
  <c r="I27"/>
  <c r="H27" s="1"/>
  <c r="F27"/>
  <c r="F26"/>
  <c r="I26" s="1"/>
  <c r="I25"/>
  <c r="H25"/>
  <c r="I24"/>
  <c r="H24"/>
  <c r="F23"/>
  <c r="I23" s="1"/>
  <c r="F22"/>
  <c r="H22" s="1"/>
  <c r="H21"/>
  <c r="F21"/>
  <c r="I21" s="1"/>
  <c r="F20"/>
  <c r="H20" s="1"/>
  <c r="H23" l="1"/>
  <c r="I20"/>
  <c r="I22"/>
  <c r="H26"/>
  <c r="I40"/>
  <c r="I41"/>
  <c r="H47"/>
  <c r="H49"/>
  <c r="I51"/>
  <c r="H51" s="1"/>
  <c r="F19"/>
  <c r="I19" s="1"/>
  <c r="H19" l="1"/>
  <c r="E18"/>
  <c r="F17"/>
  <c r="H17" s="1"/>
  <c r="F16"/>
  <c r="H16" s="1"/>
  <c r="I16" l="1"/>
  <c r="I17"/>
  <c r="F18"/>
  <c r="I18"/>
  <c r="F42"/>
  <c r="I42"/>
  <c r="F43"/>
  <c r="H18"/>
  <c r="H42"/>
  <c r="H43"/>
  <c r="I93" l="1"/>
</calcChain>
</file>

<file path=xl/sharedStrings.xml><?xml version="1.0" encoding="utf-8"?>
<sst xmlns="http://schemas.openxmlformats.org/spreadsheetml/2006/main" count="2706" uniqueCount="235">
  <si>
    <t>№ позиции</t>
  </si>
  <si>
    <r>
      <t>Наименование вида работы (услуги)</t>
    </r>
    <r>
      <rPr>
        <vertAlign val="superscript"/>
        <sz val="10"/>
        <rFont val="Times New Roman"/>
        <family val="1"/>
        <charset val="204"/>
      </rPr>
      <t>2</t>
    </r>
  </si>
  <si>
    <t>Единица измерения работы (услуги)</t>
  </si>
  <si>
    <t>Цена выполненной работы  (оказанной услуги), в рублях</t>
  </si>
  <si>
    <t>I. Санитарное содержание помещений общего пользования</t>
  </si>
  <si>
    <t>Зимняя уборка</t>
  </si>
  <si>
    <t>(прописью)</t>
  </si>
  <si>
    <t>3. Работы (услуги) выполнены (оказаны) полностью, в установленные сроки, с надлежащим качеством.</t>
  </si>
  <si>
    <t>4. Претензий по выполнению условий Договора Стороны друг к другу не имеют.</t>
  </si>
  <si>
    <t>Подписи Сторон:</t>
  </si>
  <si>
    <t>Исполнитель -</t>
  </si>
  <si>
    <t>(должность, ФИО)</t>
  </si>
  <si>
    <t>(подпись)</t>
  </si>
  <si>
    <t>Заказчик -</t>
  </si>
  <si>
    <t>________________</t>
  </si>
  <si>
    <t>Примечания:</t>
  </si>
  <si>
    <r>
      <t>1</t>
    </r>
    <r>
      <rPr>
        <sz val="10"/>
        <rFont val="Times New Roman"/>
        <family val="1"/>
        <charset val="204"/>
      </rPr>
      <t> В соответствии с пунктом 4 части 8 статьи 161.1 Жилищного кодекса Российской Федерации (Собрание законодательства Российской Федерации, 2005, N 1, ст.14; 2011, N 23, ст.3263; 2014, N 30, ст.4264, 2015, N 27, ст.3967) председатель совета многоквартирного дома подписывает в том числе акты приемки оказанных услуг и (или) выполненных работ по содержанию и текущему ремонту общего имущества в многоквартирном доме.</t>
    </r>
  </si>
  <si>
    <r>
      <t>2</t>
    </r>
    <r>
      <rPr>
        <sz val="10"/>
        <rFont val="Times New Roman"/>
        <family val="1"/>
        <charset val="204"/>
      </rPr>
      <t> Минимальный перечень услуг и работ, необходимых для обеспечения надлежащего содержания общего имущества в многоквартирном доме, утвержден постановлением Правительства Российской Федерации от 3 апреля 2013 года N 290.</t>
    </r>
  </si>
  <si>
    <t>Периодичность</t>
  </si>
  <si>
    <t>Количественный показатель выполненной работы (оказанной услуги)</t>
  </si>
  <si>
    <r>
      <t>4</t>
    </r>
    <r>
      <rPr>
        <sz val="10"/>
        <rFont val="Times New Roman"/>
        <family val="1"/>
        <charset val="204"/>
      </rPr>
      <t xml:space="preserve"> Сметная стоимость за единицу выполненной работы по договору </t>
    </r>
    <r>
      <rPr>
        <sz val="10"/>
        <color rgb="FFFF0000"/>
        <rFont val="Times New Roman"/>
        <family val="1"/>
        <charset val="204"/>
      </rPr>
      <t xml:space="preserve">подряда </t>
    </r>
    <r>
      <rPr>
        <sz val="10"/>
        <rFont val="Times New Roman"/>
        <family val="1"/>
        <charset val="204"/>
      </rPr>
      <t>по выполнению работ по ремонту общего имущества в многоквартирном доме.</t>
    </r>
  </si>
  <si>
    <r>
      <t>3</t>
    </r>
    <r>
      <rPr>
        <sz val="10"/>
        <rFont val="Times New Roman"/>
        <family val="1"/>
        <charset val="204"/>
      </rPr>
      <t xml:space="preserve"> Стоимость за единицу выполненной работы (оказанной услуги) </t>
    </r>
    <r>
      <rPr>
        <sz val="10"/>
        <color rgb="FFFF0000"/>
        <rFont val="Times New Roman"/>
        <family val="1"/>
        <charset val="204"/>
      </rPr>
      <t xml:space="preserve">по договору управления </t>
    </r>
    <r>
      <rPr>
        <sz val="10"/>
        <rFont val="Times New Roman"/>
        <family val="1"/>
        <charset val="204"/>
      </rPr>
      <t xml:space="preserve">многоквартирным домом или </t>
    </r>
    <r>
      <rPr>
        <sz val="10"/>
        <color rgb="FFFF0000"/>
        <rFont val="Times New Roman"/>
        <family val="1"/>
        <charset val="204"/>
      </rPr>
      <t>договору оказания услуг</t>
    </r>
    <r>
      <rPr>
        <sz val="10"/>
        <rFont val="Times New Roman"/>
        <family val="1"/>
        <charset val="204"/>
      </rPr>
      <t xml:space="preserve"> по содержанию и (или) выполнению работ по ремонту общего имущества в многоквартирном доме.</t>
    </r>
  </si>
  <si>
    <t>Стоимость выполненной работы (оказанной услуги)  за единицу</t>
  </si>
  <si>
    <t>Вывоз ТБО и КГО</t>
  </si>
  <si>
    <t xml:space="preserve">кв. м </t>
  </si>
  <si>
    <t>Механизированная уборка дворовой территории</t>
  </si>
  <si>
    <t>Уборка газонов сильной загрязненности</t>
  </si>
  <si>
    <t>Летняя уборка</t>
  </si>
  <si>
    <t>1000 м2</t>
  </si>
  <si>
    <t>шт.</t>
  </si>
  <si>
    <t>м/час</t>
  </si>
  <si>
    <t>м3</t>
  </si>
  <si>
    <t>Осмотр деревянных конструкций стропил</t>
  </si>
  <si>
    <t>100 м3</t>
  </si>
  <si>
    <t>Осмотр деревянных заполнений проемов</t>
  </si>
  <si>
    <t>Осмотр внутренней и наружной отделки здания</t>
  </si>
  <si>
    <t>Осмотр каменных конструкций</t>
  </si>
  <si>
    <t>100 лест.</t>
  </si>
  <si>
    <t>Осмотр вводных электрических щитков</t>
  </si>
  <si>
    <t>100 шт.</t>
  </si>
  <si>
    <t>Проверка вентканалов</t>
  </si>
  <si>
    <t>2 раза в год</t>
  </si>
  <si>
    <t>Кровля</t>
  </si>
  <si>
    <t>Чердак, подвал, технический этаж</t>
  </si>
  <si>
    <t>Очистка от мусора</t>
  </si>
  <si>
    <t>Отопление</t>
  </si>
  <si>
    <t>Ликвидация воздушных пробок в стояках</t>
  </si>
  <si>
    <t>Ликвидация воздушных пробок в радиаторах</t>
  </si>
  <si>
    <t xml:space="preserve">Промывка СО </t>
  </si>
  <si>
    <t>Спуск воды и наполнение системы без осмотра</t>
  </si>
  <si>
    <t>Гидравлическое испытание СО</t>
  </si>
  <si>
    <t>Итого текущий ремонт</t>
  </si>
  <si>
    <t>100 м2</t>
  </si>
  <si>
    <t>1 раз в год</t>
  </si>
  <si>
    <t>1 м2</t>
  </si>
  <si>
    <t xml:space="preserve">Осмотр СО </t>
  </si>
  <si>
    <t>Проверка на прогрев отопительных приборов</t>
  </si>
  <si>
    <t>прибор</t>
  </si>
  <si>
    <t>Обязательные работы по содержанию общего имущества собственников помещений в многоквартирном доме</t>
  </si>
  <si>
    <t>Работы по текущему ремонту и по заявкам</t>
  </si>
  <si>
    <t>5. Настоящий Акт составлен в 2 экземплярах, имеющих одинаковую юридическую силу, по одному для каждой из Сторон</t>
  </si>
  <si>
    <t>пгт. Ярега</t>
  </si>
  <si>
    <t>155 раз</t>
  </si>
  <si>
    <t>Подборка мусора на контейнерной площадке</t>
  </si>
  <si>
    <t xml:space="preserve">Погрузка травы, ветвей </t>
  </si>
  <si>
    <t>Вывоз смета, травы, ветвей и т.п.- м/ч</t>
  </si>
  <si>
    <t>по необходимости</t>
  </si>
  <si>
    <t xml:space="preserve">Сдвигание снега в дни снегопада </t>
  </si>
  <si>
    <t xml:space="preserve">Подметание снега с тротуара, крылец, конт. площадок </t>
  </si>
  <si>
    <t>Стоимость песка -100м2-0,002м3</t>
  </si>
  <si>
    <t>3 раза в год</t>
  </si>
  <si>
    <t>6 раз за сезон</t>
  </si>
  <si>
    <t>Электроснабжение</t>
  </si>
  <si>
    <t>Смена ламп накаливания</t>
  </si>
  <si>
    <t>Смена плавкой вставки в электрощите</t>
  </si>
  <si>
    <t>Вентканалы, дымоходы</t>
  </si>
  <si>
    <t>100м</t>
  </si>
  <si>
    <t>Услуги по выпуску квитанций, сопровождение собраний, работа с должниками</t>
  </si>
  <si>
    <t xml:space="preserve">Непредвиденные расходы </t>
  </si>
  <si>
    <t>Итого:</t>
  </si>
  <si>
    <t>Очистка территории 1-го класса с усовершенствованным покрытием под скребок: ступеньки и площадки крылец, контейнерные площадки</t>
  </si>
  <si>
    <t>II. Уборка земельного участка</t>
  </si>
  <si>
    <t>ООО «Жилсервис»</t>
  </si>
  <si>
    <t>Влажное подметание лестничных клеток 1 этажа</t>
  </si>
  <si>
    <t>Работа автовышки</t>
  </si>
  <si>
    <t>ТО внутренних сетей водопровода и канализации</t>
  </si>
  <si>
    <t>Замена ламп ДРЛ</t>
  </si>
  <si>
    <t>генеральный директор Куканов Ю.Л.</t>
  </si>
  <si>
    <t>10м2</t>
  </si>
  <si>
    <t>ТО внутридомового газ.оборудования</t>
  </si>
  <si>
    <t>Влажное подметание лестничных клеток 2-3 этажа</t>
  </si>
  <si>
    <t>Мытье лестничных  площадок и маршей 1-3 этаж.</t>
  </si>
  <si>
    <t>100м2</t>
  </si>
  <si>
    <t>Мытье окон</t>
  </si>
  <si>
    <t xml:space="preserve">1 раз в год     </t>
  </si>
  <si>
    <t>Влажная протирка подоконников</t>
  </si>
  <si>
    <t>Влажная протирка перил</t>
  </si>
  <si>
    <t>Влажная протирка почтовых ящиков</t>
  </si>
  <si>
    <t xml:space="preserve">Влажная уборка стен </t>
  </si>
  <si>
    <t>Влажная протирка дверей</t>
  </si>
  <si>
    <t>Влажная протирка отопительных приборов</t>
  </si>
  <si>
    <t>Уборка газонов</t>
  </si>
  <si>
    <t>1000м2</t>
  </si>
  <si>
    <t>52 раза в сезон</t>
  </si>
  <si>
    <t>Подметание территории с усовершенствованным покрытием асф.: крыльца, контейнерн. пл., проезд, тротуар</t>
  </si>
  <si>
    <t>78 раз за сезон</t>
  </si>
  <si>
    <t>Очистка урн от мусора</t>
  </si>
  <si>
    <t>Уборка контейнерной площадки (16 кв.м.)</t>
  </si>
  <si>
    <t>30 раз за сезон</t>
  </si>
  <si>
    <t>155 раз за сезон</t>
  </si>
  <si>
    <t>35 раз за сезон</t>
  </si>
  <si>
    <t xml:space="preserve">Пескопосыпка территории: крыльца и тротуары </t>
  </si>
  <si>
    <t>20 раз за сезон</t>
  </si>
  <si>
    <t>Осмотр шиферной кровли</t>
  </si>
  <si>
    <t>Осмотр электросетей, арматуры и электрооборудования на чердаках, подвалах и техэтажах</t>
  </si>
  <si>
    <t>Осмотр электросетей,арматуры и электооборудования на лестничных клетках</t>
  </si>
  <si>
    <t>шт</t>
  </si>
  <si>
    <t>Очистка края кровли от слежавшегося снега со сбрасыванием сосулек (10% от S кровли и козырьки)</t>
  </si>
  <si>
    <t>маш-час</t>
  </si>
  <si>
    <t>100м3</t>
  </si>
  <si>
    <t>1000м3</t>
  </si>
  <si>
    <t>Вода для промывки СО</t>
  </si>
  <si>
    <t>Техническое обслуживание наружных газопроводов</t>
  </si>
  <si>
    <t>Смена светодиодных светильников</t>
  </si>
  <si>
    <t>1 шт.</t>
  </si>
  <si>
    <t>Стоимость светодиодного светильника</t>
  </si>
  <si>
    <t>руб.</t>
  </si>
  <si>
    <t>Прочистка каналов</t>
  </si>
  <si>
    <t>Аварийно-диспетчерское обслуживание</t>
  </si>
  <si>
    <t xml:space="preserve">приемки оказанных услуг и выполненных работ по содержанию и текущему ремонту
общего имущества в многоквартирном доме №7 по ул.Нефтяников пгт.Ярега
</t>
  </si>
  <si>
    <t>Влажная протирка шкафов для щитов и слаботочн.устройств</t>
  </si>
  <si>
    <t>руб/м2 в мес.</t>
  </si>
  <si>
    <t>Возмещение затрат управляющей компании по косметическому ремонту подъездов</t>
  </si>
  <si>
    <t>руб</t>
  </si>
  <si>
    <t>АКТ №1</t>
  </si>
  <si>
    <r>
      <t>1.  Исполнителем   предъявлены   к   приемке   следующие   оказанные   на   основании   Договора   на   содержание   и   ремонт   многоквартирного   дома   №</t>
    </r>
    <r>
      <rPr>
        <u/>
        <sz val="12"/>
        <rFont val="Times New Roman"/>
        <family val="1"/>
        <charset val="204"/>
      </rPr>
      <t xml:space="preserve">      </t>
    </r>
    <r>
      <rPr>
        <sz val="12"/>
        <rFont val="Times New Roman"/>
        <family val="1"/>
        <charset val="204"/>
      </rPr>
      <t xml:space="preserve"> от</t>
    </r>
    <r>
      <rPr>
        <u/>
        <sz val="12"/>
        <rFont val="Times New Roman"/>
        <family val="1"/>
        <charset val="204"/>
      </rPr>
      <t xml:space="preserve">                      </t>
    </r>
    <r>
      <rPr>
        <sz val="12"/>
        <rFont val="Times New Roman"/>
        <family val="1"/>
        <charset val="204"/>
      </rPr>
      <t>20    г. (далее - "Договор") услуги и выполненные работы по содержанию и текущему ремонту общего имущества в многоквартирном доме, расположенном по адресу: г.Ухта, пгт.Ярега, ул.Нефтяников, д.7</t>
    </r>
  </si>
  <si>
    <r>
      <t xml:space="preserve">    Собственники помещений в многоквартирном доме, расположенном по адресу:  пгт.Ярега, ул.Нефтяников, д.7, именуемые в дальнейшем "Заказчик", в лице </t>
    </r>
    <r>
      <rPr>
        <u/>
        <sz val="12"/>
        <color theme="1"/>
        <rFont val="Times New Roman"/>
        <family val="1"/>
        <charset val="204"/>
      </rPr>
      <t xml:space="preserve">                                                                                                 </t>
    </r>
    <r>
      <rPr>
        <sz val="12"/>
        <color theme="1"/>
        <rFont val="Times New Roman"/>
        <family val="1"/>
        <charset val="204"/>
      </rPr>
      <t>, являющегося собственником квартиры №</t>
    </r>
    <r>
      <rPr>
        <u/>
        <sz val="12"/>
        <color theme="1"/>
        <rFont val="Times New Roman"/>
        <family val="1"/>
        <charset val="204"/>
      </rPr>
      <t xml:space="preserve">          </t>
    </r>
    <r>
      <rPr>
        <sz val="12"/>
        <color theme="1"/>
        <rFont val="Times New Roman"/>
        <family val="1"/>
        <charset val="204"/>
      </rPr>
      <t>, находящихся в данном    многоквартирном доме, действующего на основании решения от 28.07.2016г. стороны, и ООО «Жилсервис», именуемое в дальнейшем "Исполнитель", в лице генерального директора Куканова  Юрия Леонидовича, действующего на основании Устава, с другой стороны, совместно именуемые "Стороны", составили настоящий Акт о нижеследующем:</t>
    </r>
  </si>
  <si>
    <t>III. Проведение технических осмотров</t>
  </si>
  <si>
    <t>IV. Содержание общего имущества МКД</t>
  </si>
  <si>
    <t>V. Прочие услуги</t>
  </si>
  <si>
    <t>Итого затраты за месяц</t>
  </si>
  <si>
    <t>156 раз в год</t>
  </si>
  <si>
    <t>104 раза в год</t>
  </si>
  <si>
    <t xml:space="preserve">24 раза в год </t>
  </si>
  <si>
    <t>2 раз в год</t>
  </si>
  <si>
    <t>Проверка дымоходов</t>
  </si>
  <si>
    <t>5 раз в год</t>
  </si>
  <si>
    <t>водосток</t>
  </si>
  <si>
    <t>Спуск воды после промывки СО в канализацию</t>
  </si>
  <si>
    <t>10 шт.</t>
  </si>
  <si>
    <t>ежемесячно</t>
  </si>
  <si>
    <t>АКТ №2</t>
  </si>
  <si>
    <t>1 шт</t>
  </si>
  <si>
    <t>АКТ №3</t>
  </si>
  <si>
    <t>III. Содержание общего имущества МКД</t>
  </si>
  <si>
    <t>IV. Прочие услуги</t>
  </si>
  <si>
    <t>АКТ №4</t>
  </si>
  <si>
    <t>АКТ №5</t>
  </si>
  <si>
    <t>АКТ №6</t>
  </si>
  <si>
    <t>АКТ №7</t>
  </si>
  <si>
    <t>АКТ №8</t>
  </si>
  <si>
    <t>АКТ №9</t>
  </si>
  <si>
    <t>АКТ №10</t>
  </si>
  <si>
    <t>АКТ №11</t>
  </si>
  <si>
    <t>АКТ №12</t>
  </si>
  <si>
    <t>за период с 01.01.2018 г. по 31.01.2018 г.</t>
  </si>
  <si>
    <t>Дератизация</t>
  </si>
  <si>
    <t>м2</t>
  </si>
  <si>
    <t>Устройство стяжек цементных толщиной 20 мм</t>
  </si>
  <si>
    <t>за период с 01.02.2018 г. по 28.02.2018 г.</t>
  </si>
  <si>
    <t>за период с 01.03.2018 г. по 31.03.2018 г.</t>
  </si>
  <si>
    <t>Смена арматуры - вентилей и клапанов обратных муфтовых диаметром до 20 мм</t>
  </si>
  <si>
    <t>за период с 01.04.2018 г. по 30.04.2018 г.</t>
  </si>
  <si>
    <t>Ремонт силового предохранительного шкафа( со стоимостью материала)</t>
  </si>
  <si>
    <t>Подключение и отключение сварочного аппарата</t>
  </si>
  <si>
    <t>Внеплановый осмотр вводных электрических щитков</t>
  </si>
  <si>
    <t>100шт</t>
  </si>
  <si>
    <t>Очистка крыш от слежавшегося снега со сбрасыванием сосулек</t>
  </si>
  <si>
    <t>Устройство козырьков</t>
  </si>
  <si>
    <t>1м2 горизонтальной проекции</t>
  </si>
  <si>
    <t>Смена дверных приборов - петли</t>
  </si>
  <si>
    <t>10 шт</t>
  </si>
  <si>
    <t>за период с 01.05.2018 г. по 31.05.2018 г.</t>
  </si>
  <si>
    <t>2. Всего за период с 01.04.2017 по 30.04.2017 выполнено работ (оказано услуг) на общую сумму: 52971,97 руб.</t>
  </si>
  <si>
    <t>(пятьдесят два рубля девятьсот семьдесят один рубль 97 копеек)</t>
  </si>
  <si>
    <t>2. Всего за период с 01.05.2018 по 31.05.2018 выполнено работ (оказано услуг) на общую сумму: 93964,79 руб.</t>
  </si>
  <si>
    <t>(девяносто три тысячи девятьсот шестьдесят четыре рубля 79 копеек)</t>
  </si>
  <si>
    <t>за период с 01.06.2018 г. по 30.06.2018 г.</t>
  </si>
  <si>
    <t>Заделка подвальных окон фанерой</t>
  </si>
  <si>
    <t xml:space="preserve">Уплотнение сгонов с применением льняной пряди или асбестового шнура (без разборки сгонов) </t>
  </si>
  <si>
    <t>1 соединение</t>
  </si>
  <si>
    <t>2. Всего за период с 01.06.2018 по 30.06.2018 выполнено работ (оказано услуг) на общую сумму: 45409,85 руб.</t>
  </si>
  <si>
    <t>(сорок пять тысяч четыреста девять рублей 85 копеек)</t>
  </si>
  <si>
    <t>за период с 01.07.2018 г. по 31.07.2018 г.</t>
  </si>
  <si>
    <t>2. Всего за период с 01.07.2018 по 31.07.2018 выполнено работ (оказано услуг) на общую сумму: 35884,83 руб.</t>
  </si>
  <si>
    <t>(тридцать пять тысяч восемьсот восемьдесят четыре рубля 83 копейки)</t>
  </si>
  <si>
    <t>ООО «Движение»</t>
  </si>
  <si>
    <r>
      <t xml:space="preserve">    Собственники помещений в многоквартирном доме, расположенном по адресу:  пгт.Ярега, ул.Нефтяников, д.7, именуемые в дальнейшем "Заказчик", в лице </t>
    </r>
    <r>
      <rPr>
        <u/>
        <sz val="12"/>
        <color theme="1"/>
        <rFont val="Times New Roman"/>
        <family val="1"/>
        <charset val="204"/>
      </rPr>
      <t xml:space="preserve">                                                                                                 </t>
    </r>
    <r>
      <rPr>
        <sz val="12"/>
        <color theme="1"/>
        <rFont val="Times New Roman"/>
        <family val="1"/>
        <charset val="204"/>
      </rPr>
      <t>, являющегося собственником квартиры №</t>
    </r>
    <r>
      <rPr>
        <u/>
        <sz val="12"/>
        <color theme="1"/>
        <rFont val="Times New Roman"/>
        <family val="1"/>
        <charset val="204"/>
      </rPr>
      <t xml:space="preserve">          </t>
    </r>
    <r>
      <rPr>
        <sz val="12"/>
        <color theme="1"/>
        <rFont val="Times New Roman"/>
        <family val="1"/>
        <charset val="204"/>
      </rPr>
      <t>, находящихся в данном    многоквартирном доме, действующего на основании решения от 28.07.2016г. стороны, и ООО «Движение», именуемое в дальнейшем "Исполнитель", в лице генерального директора Куканова  Юрия Леонидовича, действующего на основании Устава, с другой стороны, совместно именуемые "Стороны", составили настоящий Акт о нижеследующем:</t>
    </r>
  </si>
  <si>
    <t>2. Всего за период с 01.01.2018 по 31.01.2018 выполнено работ (оказано услуг) на общую сумму: 52431,78 руб.</t>
  </si>
  <si>
    <t>(пятьдесят две тысячи четыреста тридцать один рубль 78 копеек )</t>
  </si>
  <si>
    <t>2. Всего за период с 01.02.2018 по 28.02.2018 выполнено работ (оказано услуг) на общую сумму: 41685,91 руб.</t>
  </si>
  <si>
    <t>(сорок одна тысяча шестьсот восемьдесят пять рублей 91 копейка)</t>
  </si>
  <si>
    <t>2. Всего за период с 01.03.2018 по 31.03.2018 выполнено работ (оказано услуг) на общую сумму: 39833,61 руб.</t>
  </si>
  <si>
    <t>(тридцать девять тысяч восемьсот тридцать три рубля 61 копейка)</t>
  </si>
  <si>
    <t>за период с 01.08.2018 г. по 31.08.2018 г.</t>
  </si>
  <si>
    <t>за период с 01.09.2018 г. по 30.09.2018 г.</t>
  </si>
  <si>
    <t>Оштукатуривание цоколя</t>
  </si>
  <si>
    <t>10 м2</t>
  </si>
  <si>
    <t>Работа автопогрузчика</t>
  </si>
  <si>
    <t>маш/час</t>
  </si>
  <si>
    <t>Ремонт отмостки отдельными частями</t>
  </si>
  <si>
    <t xml:space="preserve">1 м </t>
  </si>
  <si>
    <t>2. Всего за период с 01.09.2018 по 30.09.2018 выполнено работ (оказано услуг) на общую сумму: 49289,08 руб.</t>
  </si>
  <si>
    <t>(сорок девять тысяч двести восемьдесят девять рублей 08 копеек)</t>
  </si>
  <si>
    <t>Смена прокладок на полотенцесушителе</t>
  </si>
  <si>
    <t>2. Всего за период с 01.08.2018 по 31.08.2018 выполнено работ (оказано услуг) на общую сумму: 36247,43 руб.</t>
  </si>
  <si>
    <t>(тридцать шесть тысяч двести сорок семь рублей 43 копейки)</t>
  </si>
  <si>
    <t>за период с 01.10.2018 г. по 31.10.2018 г.</t>
  </si>
  <si>
    <t>Внеплановая проверка вентканалов</t>
  </si>
  <si>
    <t>Ремонт входной площадки</t>
  </si>
  <si>
    <t>2. Всего за период с 01.10.2018 по 31.10.2018 выполнено работ (оказано услуг) на общую сумму: 50771,18 руб.</t>
  </si>
  <si>
    <t>(пятьдесят тысяч семьсот семьдесят один рубль 18 копеек)</t>
  </si>
  <si>
    <t>за период с 01.11.2018 г. по 30.11.2018 г.</t>
  </si>
  <si>
    <t>Очистка вручную от снега и наледи люков каналиационных и водопроводных колодцев</t>
  </si>
  <si>
    <t>2. Всего за период с 01.11.2018 по 30.11.2018 выполнено работ (оказано услуг) на общую сумму: 30149,39 руб.</t>
  </si>
  <si>
    <t>(тридцать тысяч сто сорок девять рублей 39 копеек)</t>
  </si>
  <si>
    <t>за период с 01.12.2018 г. по 31.12.2018 г.</t>
  </si>
  <si>
    <t>Внеплановый осмотр водопроводов, канализации, отопления в квартирах</t>
  </si>
  <si>
    <t>100 кв.</t>
  </si>
  <si>
    <t>Смена внутренних трубопроводов на полипропиленовые трубы PN 20 Dу 20</t>
  </si>
  <si>
    <t>м</t>
  </si>
  <si>
    <t>Муфта разъемная 20*1/2 НР</t>
  </si>
  <si>
    <t>Колено 20*90</t>
  </si>
  <si>
    <t>2. Всего за период с 01.12.2018 по 31.12.2018 выполнено работ (оказано услуг) на общую сумму: 36960,30 руб.</t>
  </si>
  <si>
    <t>(тридцать шесть тысяч девятьсот шестьдесят рублей 30 копеек)</t>
  </si>
</sst>
</file>

<file path=xl/styles.xml><?xml version="1.0" encoding="utf-8"?>
<styleSheet xmlns="http://schemas.openxmlformats.org/spreadsheetml/2006/main">
  <fonts count="2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u/>
      <sz val="12"/>
      <name val="Times New Roman"/>
      <family val="1"/>
      <charset val="204"/>
    </font>
    <font>
      <sz val="10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sz val="10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b/>
      <u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0" fontId="7" fillId="0" borderId="0"/>
    <xf numFmtId="0" fontId="8" fillId="0" borderId="0"/>
    <xf numFmtId="0" fontId="8" fillId="0" borderId="0"/>
  </cellStyleXfs>
  <cellXfs count="157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wrapText="1"/>
    </xf>
    <xf numFmtId="0" fontId="2" fillId="0" borderId="0" xfId="0" applyFont="1"/>
    <xf numFmtId="0" fontId="3" fillId="0" borderId="0" xfId="0" applyFont="1" applyBorder="1" applyAlignment="1">
      <alignment vertical="top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0" fillId="0" borderId="0" xfId="0" applyFill="1"/>
    <xf numFmtId="0" fontId="0" fillId="0" borderId="0" xfId="0" applyBorder="1"/>
    <xf numFmtId="0" fontId="9" fillId="0" borderId="0" xfId="0" applyFont="1" applyAlignment="1">
      <alignment wrapText="1"/>
    </xf>
    <xf numFmtId="0" fontId="2" fillId="0" borderId="0" xfId="0" applyFont="1" applyAlignment="1">
      <alignment horizontal="justify"/>
    </xf>
    <xf numFmtId="0" fontId="2" fillId="0" borderId="0" xfId="0" applyFont="1" applyAlignment="1">
      <alignment horizontal="center" wrapText="1"/>
    </xf>
    <xf numFmtId="4" fontId="11" fillId="0" borderId="3" xfId="0" applyNumberFormat="1" applyFont="1" applyFill="1" applyBorder="1" applyAlignment="1">
      <alignment horizontal="center" vertical="center"/>
    </xf>
    <xf numFmtId="4" fontId="11" fillId="0" borderId="3" xfId="0" applyNumberFormat="1" applyFont="1" applyFill="1" applyBorder="1" applyAlignment="1">
      <alignment horizontal="center"/>
    </xf>
    <xf numFmtId="0" fontId="11" fillId="0" borderId="3" xfId="0" applyFont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/>
    </xf>
    <xf numFmtId="4" fontId="11" fillId="2" borderId="3" xfId="0" applyNumberFormat="1" applyFont="1" applyFill="1" applyBorder="1" applyAlignment="1">
      <alignment horizontal="center" vertical="center" wrapText="1"/>
    </xf>
    <xf numFmtId="4" fontId="11" fillId="0" borderId="3" xfId="0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Border="1" applyAlignment="1">
      <alignment horizontal="center" vertical="top" wrapText="1"/>
    </xf>
    <xf numFmtId="0" fontId="2" fillId="0" borderId="0" xfId="0" applyFont="1" applyAlignment="1">
      <alignment wrapText="1"/>
    </xf>
    <xf numFmtId="0" fontId="15" fillId="0" borderId="0" xfId="0" applyFont="1" applyAlignment="1">
      <alignment horizontal="right" vertical="center"/>
    </xf>
    <xf numFmtId="0" fontId="15" fillId="0" borderId="0" xfId="0" applyFont="1" applyAlignment="1">
      <alignment vertical="center"/>
    </xf>
    <xf numFmtId="0" fontId="15" fillId="0" borderId="0" xfId="0" applyFont="1"/>
    <xf numFmtId="0" fontId="11" fillId="0" borderId="3" xfId="0" applyFont="1" applyFill="1" applyBorder="1" applyAlignment="1">
      <alignment horizontal="center" vertical="center" wrapText="1"/>
    </xf>
    <xf numFmtId="14" fontId="2" fillId="0" borderId="0" xfId="0" applyNumberFormat="1" applyFont="1" applyAlignment="1">
      <alignment wrapText="1"/>
    </xf>
    <xf numFmtId="4" fontId="13" fillId="0" borderId="3" xfId="0" applyNumberFormat="1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left" vertical="center" wrapText="1"/>
    </xf>
    <xf numFmtId="0" fontId="14" fillId="0" borderId="3" xfId="0" applyFont="1" applyBorder="1" applyAlignment="1">
      <alignment horizontal="center" vertical="center"/>
    </xf>
    <xf numFmtId="0" fontId="14" fillId="0" borderId="3" xfId="0" applyFont="1" applyBorder="1"/>
    <xf numFmtId="0" fontId="14" fillId="0" borderId="3" xfId="0" applyFont="1" applyFill="1" applyBorder="1"/>
    <xf numFmtId="4" fontId="11" fillId="2" borderId="3" xfId="0" applyNumberFormat="1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left" vertical="center" wrapText="1"/>
    </xf>
    <xf numFmtId="0" fontId="11" fillId="2" borderId="3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left" vertical="center"/>
    </xf>
    <xf numFmtId="4" fontId="13" fillId="2" borderId="3" xfId="0" applyNumberFormat="1" applyFont="1" applyFill="1" applyBorder="1" applyAlignment="1">
      <alignment horizontal="left" vertical="center"/>
    </xf>
    <xf numFmtId="0" fontId="11" fillId="2" borderId="3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wrapText="1"/>
    </xf>
    <xf numFmtId="1" fontId="11" fillId="0" borderId="3" xfId="0" applyNumberFormat="1" applyFont="1" applyBorder="1" applyAlignment="1">
      <alignment horizontal="center" vertical="center" wrapText="1"/>
    </xf>
    <xf numFmtId="0" fontId="11" fillId="0" borderId="3" xfId="3" applyFont="1" applyBorder="1" applyAlignment="1">
      <alignment horizontal="center" vertical="center"/>
    </xf>
    <xf numFmtId="4" fontId="13" fillId="2" borderId="3" xfId="0" applyNumberFormat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left" wrapText="1"/>
    </xf>
    <xf numFmtId="0" fontId="13" fillId="0" borderId="3" xfId="0" applyFont="1" applyFill="1" applyBorder="1" applyAlignment="1">
      <alignment horizontal="left"/>
    </xf>
    <xf numFmtId="0" fontId="13" fillId="0" borderId="3" xfId="0" applyFont="1" applyFill="1" applyBorder="1" applyAlignment="1">
      <alignment horizontal="center" wrapText="1"/>
    </xf>
    <xf numFmtId="0" fontId="13" fillId="2" borderId="3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/>
    </xf>
    <xf numFmtId="0" fontId="13" fillId="0" borderId="3" xfId="0" applyFont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left" vertical="center"/>
    </xf>
    <xf numFmtId="0" fontId="12" fillId="0" borderId="3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wrapText="1"/>
    </xf>
    <xf numFmtId="0" fontId="11" fillId="0" borderId="3" xfId="0" applyFont="1" applyBorder="1"/>
    <xf numFmtId="0" fontId="3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2" fillId="0" borderId="1" xfId="0" applyFont="1" applyBorder="1" applyAlignment="1">
      <alignment horizontal="center" wrapText="1"/>
    </xf>
    <xf numFmtId="0" fontId="2" fillId="0" borderId="0" xfId="0" applyFont="1" applyBorder="1" applyAlignment="1">
      <alignment horizontal="left" wrapText="1"/>
    </xf>
    <xf numFmtId="0" fontId="13" fillId="0" borderId="3" xfId="0" applyFont="1" applyFill="1" applyBorder="1" applyAlignment="1">
      <alignment horizontal="center" vertical="center" wrapText="1"/>
    </xf>
    <xf numFmtId="4" fontId="11" fillId="2" borderId="0" xfId="0" applyNumberFormat="1" applyFont="1" applyFill="1" applyBorder="1" applyAlignment="1">
      <alignment horizontal="center" vertical="center"/>
    </xf>
    <xf numFmtId="4" fontId="11" fillId="2" borderId="9" xfId="0" applyNumberFormat="1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left" vertical="center"/>
    </xf>
    <xf numFmtId="0" fontId="11" fillId="2" borderId="3" xfId="0" applyNumberFormat="1" applyFont="1" applyFill="1" applyBorder="1" applyAlignment="1" applyProtection="1">
      <alignment horizontal="center" vertical="center" wrapText="1"/>
    </xf>
    <xf numFmtId="0" fontId="3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/>
    </xf>
    <xf numFmtId="0" fontId="13" fillId="0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3" fillId="0" borderId="0" xfId="0" applyFont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13" fillId="0" borderId="3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14" fillId="0" borderId="0" xfId="0" applyFont="1" applyBorder="1" applyAlignment="1">
      <alignment wrapText="1"/>
    </xf>
    <xf numFmtId="0" fontId="12" fillId="0" borderId="3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left" vertical="center" wrapText="1"/>
    </xf>
    <xf numFmtId="0" fontId="11" fillId="0" borderId="8" xfId="0" applyFont="1" applyFill="1" applyBorder="1" applyAlignment="1">
      <alignment horizontal="center" vertical="center"/>
    </xf>
    <xf numFmtId="4" fontId="11" fillId="0" borderId="8" xfId="0" applyNumberFormat="1" applyFont="1" applyFill="1" applyBorder="1" applyAlignment="1">
      <alignment horizontal="center" vertical="center" wrapText="1"/>
    </xf>
    <xf numFmtId="4" fontId="11" fillId="0" borderId="8" xfId="0" applyNumberFormat="1" applyFont="1" applyFill="1" applyBorder="1" applyAlignment="1">
      <alignment horizontal="center" vertical="center"/>
    </xf>
    <xf numFmtId="4" fontId="11" fillId="0" borderId="11" xfId="0" applyNumberFormat="1" applyFont="1" applyFill="1" applyBorder="1" applyAlignment="1">
      <alignment horizontal="center" vertical="center"/>
    </xf>
    <xf numFmtId="4" fontId="11" fillId="0" borderId="12" xfId="0" applyNumberFormat="1" applyFont="1" applyFill="1" applyBorder="1" applyAlignment="1">
      <alignment horizontal="center" vertical="center" wrapText="1"/>
    </xf>
    <xf numFmtId="4" fontId="11" fillId="0" borderId="13" xfId="0" applyNumberFormat="1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left" vertical="center"/>
    </xf>
    <xf numFmtId="4" fontId="17" fillId="0" borderId="8" xfId="0" applyNumberFormat="1" applyFont="1" applyFill="1" applyBorder="1" applyAlignment="1">
      <alignment horizontal="center" vertical="center" wrapText="1"/>
    </xf>
    <xf numFmtId="4" fontId="11" fillId="0" borderId="14" xfId="0" applyNumberFormat="1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left" vertical="center" wrapText="1"/>
    </xf>
    <xf numFmtId="0" fontId="11" fillId="0" borderId="9" xfId="0" applyFont="1" applyFill="1" applyBorder="1" applyAlignment="1">
      <alignment horizontal="center" vertical="center"/>
    </xf>
    <xf numFmtId="4" fontId="11" fillId="0" borderId="9" xfId="0" applyNumberFormat="1" applyFont="1" applyFill="1" applyBorder="1" applyAlignment="1">
      <alignment horizontal="center" vertical="center" wrapText="1"/>
    </xf>
    <xf numFmtId="4" fontId="11" fillId="0" borderId="9" xfId="0" applyNumberFormat="1" applyFont="1" applyFill="1" applyBorder="1" applyAlignment="1">
      <alignment horizontal="center" vertical="center"/>
    </xf>
    <xf numFmtId="4" fontId="11" fillId="0" borderId="15" xfId="0" applyNumberFormat="1" applyFont="1" applyFill="1" applyBorder="1" applyAlignment="1">
      <alignment horizontal="center" vertical="center"/>
    </xf>
    <xf numFmtId="4" fontId="11" fillId="0" borderId="16" xfId="0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left" vertical="center" wrapText="1"/>
    </xf>
    <xf numFmtId="4" fontId="11" fillId="0" borderId="5" xfId="0" applyNumberFormat="1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left" vertical="center" wrapText="1"/>
    </xf>
    <xf numFmtId="4" fontId="11" fillId="2" borderId="8" xfId="0" applyNumberFormat="1" applyFont="1" applyFill="1" applyBorder="1" applyAlignment="1">
      <alignment horizontal="center" vertical="center"/>
    </xf>
    <xf numFmtId="4" fontId="11" fillId="0" borderId="0" xfId="0" applyNumberFormat="1" applyFont="1" applyFill="1" applyBorder="1" applyAlignment="1">
      <alignment horizontal="center" vertical="center" wrapText="1"/>
    </xf>
    <xf numFmtId="4" fontId="11" fillId="2" borderId="5" xfId="0" applyNumberFormat="1" applyFont="1" applyFill="1" applyBorder="1" applyAlignment="1">
      <alignment horizontal="center" vertical="center"/>
    </xf>
    <xf numFmtId="1" fontId="11" fillId="0" borderId="3" xfId="0" applyNumberFormat="1" applyFont="1" applyFill="1" applyBorder="1" applyAlignment="1">
      <alignment horizontal="left" vertical="center" wrapText="1"/>
    </xf>
    <xf numFmtId="0" fontId="11" fillId="0" borderId="3" xfId="0" applyNumberFormat="1" applyFont="1" applyFill="1" applyBorder="1" applyAlignment="1" applyProtection="1">
      <alignment horizontal="left" vertical="center" wrapText="1"/>
    </xf>
    <xf numFmtId="0" fontId="11" fillId="0" borderId="3" xfId="0" applyNumberFormat="1" applyFont="1" applyFill="1" applyBorder="1" applyAlignment="1" applyProtection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4" fontId="11" fillId="0" borderId="4" xfId="0" applyNumberFormat="1" applyFont="1" applyFill="1" applyBorder="1" applyAlignment="1">
      <alignment horizontal="center" vertical="center" wrapText="1"/>
    </xf>
    <xf numFmtId="0" fontId="11" fillId="0" borderId="3" xfId="0" applyNumberFormat="1" applyFont="1" applyFill="1" applyBorder="1" applyAlignment="1" applyProtection="1">
      <alignment horizontal="left" vertical="center"/>
    </xf>
    <xf numFmtId="0" fontId="11" fillId="2" borderId="3" xfId="0" applyNumberFormat="1" applyFont="1" applyFill="1" applyBorder="1" applyAlignment="1" applyProtection="1">
      <alignment horizontal="left" vertical="center"/>
    </xf>
    <xf numFmtId="0" fontId="3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/>
    </xf>
    <xf numFmtId="0" fontId="13" fillId="0" borderId="3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wrapText="1"/>
    </xf>
    <xf numFmtId="0" fontId="3" fillId="0" borderId="2" xfId="0" applyFont="1" applyBorder="1" applyAlignment="1">
      <alignment horizontal="center" vertical="top" wrapText="1"/>
    </xf>
    <xf numFmtId="2" fontId="11" fillId="0" borderId="3" xfId="0" applyNumberFormat="1" applyFont="1" applyFill="1" applyBorder="1" applyAlignment="1">
      <alignment horizontal="center" vertical="center" wrapText="1"/>
    </xf>
    <xf numFmtId="0" fontId="11" fillId="0" borderId="17" xfId="0" applyFont="1" applyFill="1" applyBorder="1" applyAlignment="1">
      <alignment horizontal="center" vertical="center" wrapText="1"/>
    </xf>
    <xf numFmtId="0" fontId="11" fillId="0" borderId="17" xfId="0" applyFont="1" applyFill="1" applyBorder="1" applyAlignment="1">
      <alignment horizontal="center" vertical="center"/>
    </xf>
    <xf numFmtId="0" fontId="11" fillId="0" borderId="17" xfId="0" applyFont="1" applyFill="1" applyBorder="1" applyAlignment="1">
      <alignment horizontal="left" vertical="center" wrapText="1"/>
    </xf>
    <xf numFmtId="4" fontId="11" fillId="0" borderId="17" xfId="0" applyNumberFormat="1" applyFont="1" applyFill="1" applyBorder="1" applyAlignment="1">
      <alignment horizontal="center" vertical="center"/>
    </xf>
    <xf numFmtId="4" fontId="11" fillId="0" borderId="18" xfId="0" applyNumberFormat="1" applyFont="1" applyFill="1" applyBorder="1" applyAlignment="1">
      <alignment horizontal="center" vertical="center"/>
    </xf>
    <xf numFmtId="0" fontId="18" fillId="2" borderId="3" xfId="0" applyFont="1" applyFill="1" applyBorder="1" applyAlignment="1">
      <alignment horizontal="center" vertical="center" wrapText="1"/>
    </xf>
    <xf numFmtId="4" fontId="19" fillId="2" borderId="3" xfId="0" applyNumberFormat="1" applyFont="1" applyFill="1" applyBorder="1" applyAlignment="1">
      <alignment horizontal="center" vertical="center"/>
    </xf>
    <xf numFmtId="0" fontId="11" fillId="2" borderId="3" xfId="0" applyNumberFormat="1" applyFont="1" applyFill="1" applyBorder="1" applyAlignment="1" applyProtection="1">
      <alignment horizontal="center" vertical="center"/>
    </xf>
    <xf numFmtId="0" fontId="20" fillId="2" borderId="3" xfId="0" applyFont="1" applyFill="1" applyBorder="1" applyAlignment="1">
      <alignment horizontal="left" vertical="center" wrapText="1"/>
    </xf>
    <xf numFmtId="0" fontId="11" fillId="2" borderId="3" xfId="0" applyNumberFormat="1" applyFont="1" applyFill="1" applyBorder="1" applyAlignment="1" applyProtection="1">
      <alignment horizontal="left" vertical="center" wrapText="1"/>
    </xf>
    <xf numFmtId="0" fontId="12" fillId="0" borderId="7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wrapText="1"/>
    </xf>
    <xf numFmtId="0" fontId="13" fillId="0" borderId="6" xfId="0" applyFont="1" applyFill="1" applyBorder="1" applyAlignment="1">
      <alignment horizontal="center" wrapText="1"/>
    </xf>
    <xf numFmtId="0" fontId="13" fillId="0" borderId="4" xfId="0" applyFont="1" applyFill="1" applyBorder="1" applyAlignment="1">
      <alignment horizontal="center" wrapText="1"/>
    </xf>
    <xf numFmtId="0" fontId="2" fillId="0" borderId="2" xfId="0" applyFont="1" applyBorder="1" applyAlignment="1">
      <alignment horizontal="left" wrapText="1"/>
    </xf>
    <xf numFmtId="0" fontId="3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5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0" fillId="0" borderId="0" xfId="0" applyAlignment="1"/>
    <xf numFmtId="0" fontId="13" fillId="0" borderId="3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top" wrapText="1"/>
    </xf>
    <xf numFmtId="0" fontId="6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center" wrapText="1"/>
    </xf>
    <xf numFmtId="0" fontId="5" fillId="0" borderId="0" xfId="0" applyFont="1" applyAlignment="1">
      <alignment horizontal="left"/>
    </xf>
    <xf numFmtId="0" fontId="14" fillId="0" borderId="1" xfId="0" applyFont="1" applyBorder="1" applyAlignment="1">
      <alignment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center"/>
    </xf>
    <xf numFmtId="0" fontId="11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/>
    </xf>
    <xf numFmtId="2" fontId="11" fillId="0" borderId="3" xfId="0" applyNumberFormat="1" applyFont="1" applyFill="1" applyBorder="1" applyAlignment="1">
      <alignment horizontal="center" wrapText="1"/>
    </xf>
  </cellXfs>
  <cellStyles count="4">
    <cellStyle name="Обычный" xfId="0" builtinId="0"/>
    <cellStyle name="Обычный 2" xfId="2"/>
    <cellStyle name="Обычный 2 2" xfId="3"/>
    <cellStyle name="Обычный_Соддома № 13 по ул.Чибьюская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114"/>
  <sheetViews>
    <sheetView topLeftCell="A63" workbookViewId="0">
      <selection activeCell="I96" sqref="I96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7" t="s">
        <v>82</v>
      </c>
      <c r="I1" s="26"/>
      <c r="J1" s="1"/>
      <c r="K1" s="1"/>
      <c r="L1" s="1"/>
      <c r="M1" s="1"/>
    </row>
    <row r="2" spans="1:13" ht="15.75" customHeight="1">
      <c r="A2" s="28" t="s">
        <v>61</v>
      </c>
      <c r="J2" s="2"/>
      <c r="K2" s="2"/>
      <c r="L2" s="2"/>
      <c r="M2" s="2"/>
    </row>
    <row r="3" spans="1:13" ht="15.75" customHeight="1">
      <c r="A3" s="137" t="s">
        <v>134</v>
      </c>
      <c r="B3" s="137"/>
      <c r="C3" s="137"/>
      <c r="D3" s="137"/>
      <c r="E3" s="137"/>
      <c r="F3" s="137"/>
      <c r="G3" s="137"/>
      <c r="H3" s="137"/>
      <c r="I3" s="137"/>
      <c r="J3" s="3"/>
      <c r="K3" s="3"/>
      <c r="L3" s="3"/>
    </row>
    <row r="4" spans="1:13" ht="31.5" customHeight="1">
      <c r="A4" s="138" t="s">
        <v>129</v>
      </c>
      <c r="B4" s="138"/>
      <c r="C4" s="138"/>
      <c r="D4" s="138"/>
      <c r="E4" s="138"/>
      <c r="F4" s="138"/>
      <c r="G4" s="138"/>
      <c r="H4" s="138"/>
      <c r="I4" s="138"/>
    </row>
    <row r="5" spans="1:13" ht="15.75" customHeight="1">
      <c r="A5" s="137" t="s">
        <v>165</v>
      </c>
      <c r="B5" s="141"/>
      <c r="C5" s="141"/>
      <c r="D5" s="141"/>
      <c r="E5" s="141"/>
      <c r="F5" s="141"/>
      <c r="G5" s="141"/>
      <c r="H5" s="141"/>
      <c r="I5" s="141"/>
      <c r="J5" s="2"/>
      <c r="K5" s="2"/>
      <c r="L5" s="2"/>
      <c r="M5" s="2"/>
    </row>
    <row r="6" spans="1:13" ht="15.75" customHeight="1">
      <c r="A6" s="2"/>
      <c r="B6" s="57"/>
      <c r="C6" s="57"/>
      <c r="D6" s="57"/>
      <c r="E6" s="57"/>
      <c r="F6" s="68"/>
      <c r="G6" s="57"/>
      <c r="H6" s="68"/>
      <c r="I6" s="30">
        <v>43131</v>
      </c>
      <c r="J6" s="2"/>
      <c r="K6" s="2"/>
      <c r="L6" s="2"/>
      <c r="M6" s="2"/>
    </row>
    <row r="7" spans="1:13" ht="15.75" customHeight="1">
      <c r="B7" s="59"/>
      <c r="C7" s="59"/>
      <c r="D7" s="59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139" t="s">
        <v>136</v>
      </c>
      <c r="B8" s="139"/>
      <c r="C8" s="139"/>
      <c r="D8" s="139"/>
      <c r="E8" s="139"/>
      <c r="F8" s="139"/>
      <c r="G8" s="139"/>
      <c r="H8" s="139"/>
      <c r="I8" s="139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140" t="s">
        <v>135</v>
      </c>
      <c r="B10" s="140"/>
      <c r="C10" s="140"/>
      <c r="D10" s="140"/>
      <c r="E10" s="140"/>
      <c r="F10" s="140"/>
      <c r="G10" s="140"/>
      <c r="H10" s="140"/>
      <c r="I10" s="140"/>
      <c r="J10" s="2"/>
      <c r="K10" s="2"/>
      <c r="L10" s="2"/>
      <c r="M10" s="2"/>
    </row>
    <row r="11" spans="1:13" ht="15.75">
      <c r="A11" s="4"/>
    </row>
    <row r="12" spans="1:13" ht="47.2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142" t="s">
        <v>58</v>
      </c>
      <c r="B14" s="142"/>
      <c r="C14" s="142"/>
      <c r="D14" s="142"/>
      <c r="E14" s="142"/>
      <c r="F14" s="142"/>
      <c r="G14" s="142"/>
      <c r="H14" s="142"/>
      <c r="I14" s="142"/>
      <c r="J14" s="8"/>
      <c r="K14" s="8"/>
      <c r="L14" s="8"/>
      <c r="M14" s="8"/>
    </row>
    <row r="15" spans="1:13" ht="15.75" customHeight="1">
      <c r="A15" s="143" t="s">
        <v>4</v>
      </c>
      <c r="B15" s="143"/>
      <c r="C15" s="143"/>
      <c r="D15" s="143"/>
      <c r="E15" s="143"/>
      <c r="F15" s="143"/>
      <c r="G15" s="143"/>
      <c r="H15" s="143"/>
      <c r="I15" s="143"/>
      <c r="J15" s="8"/>
      <c r="K15" s="8"/>
      <c r="L15" s="8"/>
      <c r="M15" s="8"/>
    </row>
    <row r="16" spans="1:13" ht="15.75" customHeight="1">
      <c r="A16" s="29">
        <v>1</v>
      </c>
      <c r="B16" s="82" t="s">
        <v>83</v>
      </c>
      <c r="C16" s="83" t="s">
        <v>92</v>
      </c>
      <c r="D16" s="82" t="s">
        <v>141</v>
      </c>
      <c r="E16" s="84">
        <v>54.2</v>
      </c>
      <c r="F16" s="85">
        <f>SUM(E16*156/100)</f>
        <v>84.552000000000007</v>
      </c>
      <c r="G16" s="85">
        <v>218.21</v>
      </c>
      <c r="H16" s="86">
        <f t="shared" ref="H16:H26" si="0">SUM(F16*G16/1000)</f>
        <v>18.450091920000002</v>
      </c>
      <c r="I16" s="13">
        <f>F16/12*G16</f>
        <v>1537.5076600000002</v>
      </c>
      <c r="J16" s="8"/>
      <c r="K16" s="8"/>
      <c r="L16" s="8"/>
      <c r="M16" s="8"/>
    </row>
    <row r="17" spans="1:13" ht="15.75" customHeight="1">
      <c r="A17" s="29">
        <v>2</v>
      </c>
      <c r="B17" s="82" t="s">
        <v>90</v>
      </c>
      <c r="C17" s="83" t="s">
        <v>92</v>
      </c>
      <c r="D17" s="82" t="s">
        <v>142</v>
      </c>
      <c r="E17" s="84">
        <v>108.5</v>
      </c>
      <c r="F17" s="85">
        <f>SUM(E17*104/100)</f>
        <v>112.84</v>
      </c>
      <c r="G17" s="85">
        <v>218.21</v>
      </c>
      <c r="H17" s="86">
        <f t="shared" si="0"/>
        <v>24.622816400000005</v>
      </c>
      <c r="I17" s="13">
        <f>F17/12*G17</f>
        <v>2051.9013666666669</v>
      </c>
      <c r="J17" s="22"/>
      <c r="K17" s="8"/>
      <c r="L17" s="8"/>
      <c r="M17" s="8"/>
    </row>
    <row r="18" spans="1:13" ht="15.75" customHeight="1">
      <c r="A18" s="29">
        <v>3</v>
      </c>
      <c r="B18" s="82" t="s">
        <v>91</v>
      </c>
      <c r="C18" s="83" t="s">
        <v>92</v>
      </c>
      <c r="D18" s="82" t="s">
        <v>143</v>
      </c>
      <c r="E18" s="84">
        <f>SUM(E16+E17)</f>
        <v>162.69999999999999</v>
      </c>
      <c r="F18" s="85">
        <f>SUM(E18*24/100)</f>
        <v>39.047999999999995</v>
      </c>
      <c r="G18" s="85">
        <v>627.77</v>
      </c>
      <c r="H18" s="86">
        <f t="shared" si="0"/>
        <v>24.513162959999995</v>
      </c>
      <c r="I18" s="13">
        <f>F18/12*G18</f>
        <v>2042.7635799999996</v>
      </c>
      <c r="J18" s="22"/>
      <c r="K18" s="8"/>
      <c r="L18" s="8"/>
      <c r="M18" s="8"/>
    </row>
    <row r="19" spans="1:13" ht="15.75" hidden="1" customHeight="1">
      <c r="A19" s="29">
        <v>4</v>
      </c>
      <c r="B19" s="82" t="s">
        <v>93</v>
      </c>
      <c r="C19" s="83" t="s">
        <v>88</v>
      </c>
      <c r="D19" s="82" t="s">
        <v>94</v>
      </c>
      <c r="E19" s="84">
        <v>15.3</v>
      </c>
      <c r="F19" s="85">
        <f>SUM(E19/10)</f>
        <v>1.53</v>
      </c>
      <c r="G19" s="85">
        <v>211.74</v>
      </c>
      <c r="H19" s="86">
        <f t="shared" si="0"/>
        <v>0.32396219999999998</v>
      </c>
      <c r="I19" s="13">
        <f>F19/2*G19</f>
        <v>161.9811</v>
      </c>
      <c r="J19" s="22"/>
      <c r="K19" s="8"/>
      <c r="L19" s="8"/>
      <c r="M19" s="8"/>
    </row>
    <row r="20" spans="1:13" ht="15.75" hidden="1" customHeight="1">
      <c r="A20" s="29">
        <v>5</v>
      </c>
      <c r="B20" s="82" t="s">
        <v>96</v>
      </c>
      <c r="C20" s="83" t="s">
        <v>92</v>
      </c>
      <c r="D20" s="82" t="s">
        <v>41</v>
      </c>
      <c r="E20" s="84">
        <v>19.62</v>
      </c>
      <c r="F20" s="85">
        <f>SUM(E20*2/100)</f>
        <v>0.39240000000000003</v>
      </c>
      <c r="G20" s="85">
        <v>271.12</v>
      </c>
      <c r="H20" s="86">
        <f t="shared" si="0"/>
        <v>0.106387488</v>
      </c>
      <c r="I20" s="13">
        <f>F20/2*G20</f>
        <v>53.193744000000002</v>
      </c>
      <c r="J20" s="22"/>
      <c r="K20" s="8"/>
      <c r="L20" s="8"/>
      <c r="M20" s="8"/>
    </row>
    <row r="21" spans="1:13" ht="15.75" hidden="1" customHeight="1">
      <c r="A21" s="29">
        <v>6</v>
      </c>
      <c r="B21" s="82" t="s">
        <v>97</v>
      </c>
      <c r="C21" s="83" t="s">
        <v>92</v>
      </c>
      <c r="D21" s="82" t="s">
        <v>41</v>
      </c>
      <c r="E21" s="84">
        <v>8.68</v>
      </c>
      <c r="F21" s="85">
        <f>SUM(E21*2/100)</f>
        <v>0.1736</v>
      </c>
      <c r="G21" s="85">
        <v>268.92</v>
      </c>
      <c r="H21" s="86">
        <f t="shared" si="0"/>
        <v>4.6684512000000004E-2</v>
      </c>
      <c r="I21" s="13">
        <f>F21/2*G21</f>
        <v>23.342256000000003</v>
      </c>
      <c r="J21" s="22"/>
      <c r="K21" s="8"/>
      <c r="L21" s="8"/>
      <c r="M21" s="8"/>
    </row>
    <row r="22" spans="1:13" ht="15.75" hidden="1" customHeight="1">
      <c r="A22" s="29">
        <v>7</v>
      </c>
      <c r="B22" s="82" t="s">
        <v>98</v>
      </c>
      <c r="C22" s="83" t="s">
        <v>52</v>
      </c>
      <c r="D22" s="82" t="s">
        <v>94</v>
      </c>
      <c r="E22" s="84">
        <v>215</v>
      </c>
      <c r="F22" s="85">
        <f>SUM(E22/100)</f>
        <v>2.15</v>
      </c>
      <c r="G22" s="85">
        <v>335.05</v>
      </c>
      <c r="H22" s="86">
        <f t="shared" si="0"/>
        <v>0.72035749999999998</v>
      </c>
      <c r="I22" s="13">
        <f>F22*G22</f>
        <v>720.35749999999996</v>
      </c>
      <c r="J22" s="22"/>
      <c r="K22" s="8"/>
      <c r="L22" s="8"/>
      <c r="M22" s="8"/>
    </row>
    <row r="23" spans="1:13" ht="15.75" hidden="1" customHeight="1">
      <c r="A23" s="29">
        <v>8</v>
      </c>
      <c r="B23" s="82" t="s">
        <v>99</v>
      </c>
      <c r="C23" s="83" t="s">
        <v>52</v>
      </c>
      <c r="D23" s="82" t="s">
        <v>94</v>
      </c>
      <c r="E23" s="87">
        <v>17.64</v>
      </c>
      <c r="F23" s="85">
        <f>SUM(E23/100)</f>
        <v>0.1764</v>
      </c>
      <c r="G23" s="85">
        <v>55.1</v>
      </c>
      <c r="H23" s="86">
        <f t="shared" si="0"/>
        <v>9.7196399999999999E-3</v>
      </c>
      <c r="I23" s="13">
        <f>F23*G23</f>
        <v>9.7196400000000001</v>
      </c>
      <c r="J23" s="22"/>
      <c r="K23" s="8"/>
      <c r="L23" s="8"/>
      <c r="M23" s="8"/>
    </row>
    <row r="24" spans="1:13" ht="15.75" hidden="1" customHeight="1">
      <c r="A24" s="29">
        <v>9</v>
      </c>
      <c r="B24" s="82" t="s">
        <v>95</v>
      </c>
      <c r="C24" s="83" t="s">
        <v>52</v>
      </c>
      <c r="D24" s="82" t="s">
        <v>94</v>
      </c>
      <c r="E24" s="18">
        <v>4.5</v>
      </c>
      <c r="F24" s="88">
        <v>0.05</v>
      </c>
      <c r="G24" s="85">
        <v>484.94</v>
      </c>
      <c r="H24" s="86">
        <f>F24*G24/1000</f>
        <v>2.4247000000000001E-2</v>
      </c>
      <c r="I24" s="13">
        <f>F24*G24</f>
        <v>24.247</v>
      </c>
      <c r="J24" s="22"/>
      <c r="K24" s="8"/>
      <c r="L24" s="8"/>
      <c r="M24" s="8"/>
    </row>
    <row r="25" spans="1:13" ht="15.75" hidden="1" customHeight="1">
      <c r="A25" s="29">
        <v>10</v>
      </c>
      <c r="B25" s="82" t="s">
        <v>130</v>
      </c>
      <c r="C25" s="83" t="s">
        <v>52</v>
      </c>
      <c r="D25" s="82" t="s">
        <v>94</v>
      </c>
      <c r="E25" s="87">
        <v>9.4499999999999993</v>
      </c>
      <c r="F25" s="85">
        <v>0.09</v>
      </c>
      <c r="G25" s="85">
        <v>268.92</v>
      </c>
      <c r="H25" s="86">
        <f>F25*G25/1000</f>
        <v>2.42028E-2</v>
      </c>
      <c r="I25" s="13">
        <f>F25*G25</f>
        <v>24.2028</v>
      </c>
      <c r="J25" s="22"/>
      <c r="K25" s="8"/>
      <c r="L25" s="8"/>
      <c r="M25" s="8"/>
    </row>
    <row r="26" spans="1:13" ht="15.75" hidden="1" customHeight="1">
      <c r="A26" s="29">
        <v>11</v>
      </c>
      <c r="B26" s="82" t="s">
        <v>100</v>
      </c>
      <c r="C26" s="83" t="s">
        <v>52</v>
      </c>
      <c r="D26" s="82" t="s">
        <v>94</v>
      </c>
      <c r="E26" s="84">
        <v>14.4</v>
      </c>
      <c r="F26" s="85">
        <f>SUM(E26/100)</f>
        <v>0.14400000000000002</v>
      </c>
      <c r="G26" s="85">
        <v>648.04999999999995</v>
      </c>
      <c r="H26" s="86">
        <f t="shared" si="0"/>
        <v>9.3319200000000005E-2</v>
      </c>
      <c r="I26" s="13">
        <f>F26*G26</f>
        <v>93.319200000000009</v>
      </c>
      <c r="J26" s="22"/>
      <c r="K26" s="8"/>
      <c r="L26" s="8"/>
      <c r="M26" s="8"/>
    </row>
    <row r="27" spans="1:13" ht="15.75" customHeight="1">
      <c r="A27" s="29">
        <v>4</v>
      </c>
      <c r="B27" s="82" t="s">
        <v>63</v>
      </c>
      <c r="C27" s="83" t="s">
        <v>31</v>
      </c>
      <c r="D27" s="82"/>
      <c r="E27" s="84">
        <v>0.1</v>
      </c>
      <c r="F27" s="85">
        <f>SUM(E27*365)</f>
        <v>36.5</v>
      </c>
      <c r="G27" s="85">
        <v>182.96</v>
      </c>
      <c r="H27" s="86">
        <f>SUM(F27*G27/1000)</f>
        <v>6.6780400000000002</v>
      </c>
      <c r="I27" s="13">
        <f>F27/12*G27</f>
        <v>556.50333333333333</v>
      </c>
      <c r="J27" s="22"/>
      <c r="K27" s="8"/>
      <c r="L27" s="8"/>
      <c r="M27" s="8"/>
    </row>
    <row r="28" spans="1:13" ht="15.75" customHeight="1">
      <c r="A28" s="29">
        <v>5</v>
      </c>
      <c r="B28" s="89" t="s">
        <v>23</v>
      </c>
      <c r="C28" s="83" t="s">
        <v>24</v>
      </c>
      <c r="D28" s="82"/>
      <c r="E28" s="84">
        <v>1839.1</v>
      </c>
      <c r="F28" s="85">
        <f>SUM(E28*12)</f>
        <v>22069.199999999997</v>
      </c>
      <c r="G28" s="85">
        <v>4.58</v>
      </c>
      <c r="H28" s="86">
        <f>SUM(F28*G28/1000)</f>
        <v>101.07693599999999</v>
      </c>
      <c r="I28" s="13">
        <f>F28/12*G28</f>
        <v>8423.0779999999995</v>
      </c>
      <c r="J28" s="22"/>
      <c r="K28" s="8"/>
      <c r="L28" s="8"/>
      <c r="M28" s="8"/>
    </row>
    <row r="29" spans="1:13" ht="15.75" customHeight="1">
      <c r="A29" s="143" t="s">
        <v>81</v>
      </c>
      <c r="B29" s="143"/>
      <c r="C29" s="143"/>
      <c r="D29" s="143"/>
      <c r="E29" s="143"/>
      <c r="F29" s="143"/>
      <c r="G29" s="143"/>
      <c r="H29" s="143"/>
      <c r="I29" s="143"/>
      <c r="J29" s="22"/>
      <c r="K29" s="8"/>
      <c r="L29" s="8"/>
      <c r="M29" s="8"/>
    </row>
    <row r="30" spans="1:13" ht="15.75" hidden="1" customHeight="1">
      <c r="A30" s="41"/>
      <c r="B30" s="51" t="s">
        <v>27</v>
      </c>
      <c r="C30" s="51"/>
      <c r="D30" s="51"/>
      <c r="E30" s="51"/>
      <c r="F30" s="51"/>
      <c r="G30" s="51"/>
      <c r="H30" s="51"/>
      <c r="I30" s="18"/>
      <c r="J30" s="22"/>
      <c r="K30" s="8"/>
      <c r="L30" s="8"/>
      <c r="M30" s="8"/>
    </row>
    <row r="31" spans="1:13" ht="15.75" hidden="1" customHeight="1">
      <c r="A31" s="41">
        <v>2</v>
      </c>
      <c r="B31" s="32" t="s">
        <v>101</v>
      </c>
      <c r="C31" s="83" t="s">
        <v>102</v>
      </c>
      <c r="D31" s="82" t="s">
        <v>103</v>
      </c>
      <c r="E31" s="85">
        <v>58</v>
      </c>
      <c r="F31" s="85">
        <f>SUM(E31*52/1000)</f>
        <v>3.016</v>
      </c>
      <c r="G31" s="85">
        <v>193.97</v>
      </c>
      <c r="H31" s="86">
        <f>SUM(F31*G31/1000)</f>
        <v>0.58501351999999995</v>
      </c>
      <c r="I31" s="13">
        <f>F31/6*G31</f>
        <v>97.502253333333343</v>
      </c>
      <c r="J31" s="22"/>
      <c r="K31" s="8"/>
      <c r="L31" s="8"/>
      <c r="M31" s="8"/>
    </row>
    <row r="32" spans="1:13" ht="31.5" hidden="1" customHeight="1">
      <c r="A32" s="41">
        <v>3</v>
      </c>
      <c r="B32" s="32" t="s">
        <v>104</v>
      </c>
      <c r="C32" s="83" t="s">
        <v>102</v>
      </c>
      <c r="D32" s="82" t="s">
        <v>105</v>
      </c>
      <c r="E32" s="85">
        <v>48.3</v>
      </c>
      <c r="F32" s="85">
        <f>SUM(E32*78/1000)</f>
        <v>3.7673999999999994</v>
      </c>
      <c r="G32" s="85">
        <v>321.82</v>
      </c>
      <c r="H32" s="86">
        <f>SUM(F32*G32/1000)</f>
        <v>1.2124246679999999</v>
      </c>
      <c r="I32" s="13">
        <f>F32/6*G32</f>
        <v>202.07077799999996</v>
      </c>
      <c r="J32" s="22"/>
      <c r="K32" s="8"/>
      <c r="L32" s="8"/>
      <c r="M32" s="8"/>
    </row>
    <row r="33" spans="1:14" ht="15.75" hidden="1" customHeight="1">
      <c r="A33" s="41">
        <v>4</v>
      </c>
      <c r="B33" s="32" t="s">
        <v>26</v>
      </c>
      <c r="C33" s="83" t="s">
        <v>102</v>
      </c>
      <c r="D33" s="82" t="s">
        <v>53</v>
      </c>
      <c r="E33" s="85">
        <v>58</v>
      </c>
      <c r="F33" s="85">
        <f>SUM(E33/1000)</f>
        <v>5.8000000000000003E-2</v>
      </c>
      <c r="G33" s="85">
        <v>3758.28</v>
      </c>
      <c r="H33" s="86">
        <f>SUM(F33*G33/1000)</f>
        <v>0.21798024000000002</v>
      </c>
      <c r="I33" s="13">
        <f>F33*G33</f>
        <v>217.98024000000001</v>
      </c>
      <c r="J33" s="22"/>
      <c r="K33" s="8"/>
      <c r="L33" s="8"/>
      <c r="M33" s="8"/>
    </row>
    <row r="34" spans="1:14" ht="15.75" hidden="1" customHeight="1">
      <c r="A34" s="41"/>
      <c r="B34" s="32" t="s">
        <v>106</v>
      </c>
      <c r="C34" s="83" t="s">
        <v>39</v>
      </c>
      <c r="D34" s="82" t="s">
        <v>62</v>
      </c>
      <c r="E34" s="85">
        <v>1</v>
      </c>
      <c r="F34" s="85">
        <f>E34*155/100</f>
        <v>1.55</v>
      </c>
      <c r="G34" s="85">
        <v>1620.15</v>
      </c>
      <c r="H34" s="86">
        <f>SUM(F34*G34/1000)</f>
        <v>2.5112325000000002</v>
      </c>
      <c r="I34" s="13">
        <f>F34/6*G34</f>
        <v>418.53875000000005</v>
      </c>
      <c r="J34" s="22"/>
      <c r="K34" s="8"/>
    </row>
    <row r="35" spans="1:14" ht="15.75" hidden="1" customHeight="1">
      <c r="A35" s="41">
        <v>5</v>
      </c>
      <c r="B35" s="32" t="s">
        <v>107</v>
      </c>
      <c r="C35" s="83" t="s">
        <v>29</v>
      </c>
      <c r="D35" s="82" t="s">
        <v>62</v>
      </c>
      <c r="E35" s="90">
        <f>1/3</f>
        <v>0.33333333333333331</v>
      </c>
      <c r="F35" s="85">
        <f>155/3</f>
        <v>51.666666666666664</v>
      </c>
      <c r="G35" s="85">
        <v>70.540000000000006</v>
      </c>
      <c r="H35" s="86">
        <f>SUM(G35*155/3/1000)</f>
        <v>3.644566666666667</v>
      </c>
      <c r="I35" s="13">
        <f>F35/6*G35</f>
        <v>607.42777777777781</v>
      </c>
      <c r="J35" s="23"/>
    </row>
    <row r="36" spans="1:14" ht="15.75" hidden="1" customHeight="1">
      <c r="A36" s="41">
        <v>4</v>
      </c>
      <c r="B36" s="82" t="s">
        <v>64</v>
      </c>
      <c r="C36" s="83" t="s">
        <v>31</v>
      </c>
      <c r="D36" s="82" t="s">
        <v>66</v>
      </c>
      <c r="E36" s="84"/>
      <c r="F36" s="85">
        <v>1</v>
      </c>
      <c r="G36" s="85">
        <v>238.07</v>
      </c>
      <c r="H36" s="86">
        <f>SUM(F36*G36/1000)</f>
        <v>0.23807</v>
      </c>
      <c r="I36" s="13">
        <v>0</v>
      </c>
      <c r="J36" s="23"/>
    </row>
    <row r="37" spans="1:14" ht="15.75" hidden="1" customHeight="1">
      <c r="A37" s="29">
        <v>8</v>
      </c>
      <c r="B37" s="82" t="s">
        <v>65</v>
      </c>
      <c r="C37" s="83" t="s">
        <v>30</v>
      </c>
      <c r="D37" s="82" t="s">
        <v>66</v>
      </c>
      <c r="E37" s="84"/>
      <c r="F37" s="85">
        <v>1</v>
      </c>
      <c r="G37" s="85">
        <v>1413.96</v>
      </c>
      <c r="H37" s="86">
        <f>SUM(F37*G37/1000)</f>
        <v>1.4139600000000001</v>
      </c>
      <c r="I37" s="13">
        <v>0</v>
      </c>
      <c r="J37" s="23"/>
    </row>
    <row r="38" spans="1:14" ht="15.75" customHeight="1">
      <c r="A38" s="41"/>
      <c r="B38" s="49" t="s">
        <v>5</v>
      </c>
      <c r="C38" s="49"/>
      <c r="D38" s="49"/>
      <c r="E38" s="13"/>
      <c r="F38" s="13"/>
      <c r="G38" s="14"/>
      <c r="H38" s="14"/>
      <c r="I38" s="18"/>
      <c r="J38" s="23"/>
    </row>
    <row r="39" spans="1:14" ht="15.75" customHeight="1">
      <c r="A39" s="33">
        <v>6</v>
      </c>
      <c r="B39" s="82" t="s">
        <v>25</v>
      </c>
      <c r="C39" s="83" t="s">
        <v>30</v>
      </c>
      <c r="D39" s="82"/>
      <c r="E39" s="84"/>
      <c r="F39" s="85">
        <v>2</v>
      </c>
      <c r="G39" s="85">
        <v>1900.37</v>
      </c>
      <c r="H39" s="86">
        <f t="shared" ref="H39:H44" si="1">SUM(F39*G39/1000)</f>
        <v>3.8007399999999998</v>
      </c>
      <c r="I39" s="13">
        <f t="shared" ref="I39:I42" si="2">F39/6*G39</f>
        <v>633.45666666666659</v>
      </c>
      <c r="J39" s="23"/>
    </row>
    <row r="40" spans="1:14" ht="15.75" customHeight="1">
      <c r="A40" s="33">
        <v>7</v>
      </c>
      <c r="B40" s="82" t="s">
        <v>67</v>
      </c>
      <c r="C40" s="83" t="s">
        <v>28</v>
      </c>
      <c r="D40" s="82" t="s">
        <v>108</v>
      </c>
      <c r="E40" s="85">
        <v>48.3</v>
      </c>
      <c r="F40" s="85">
        <f>SUM(E40*30/1000)</f>
        <v>1.4490000000000001</v>
      </c>
      <c r="G40" s="85">
        <v>2616.4899999999998</v>
      </c>
      <c r="H40" s="86">
        <f t="shared" si="1"/>
        <v>3.7912940100000001</v>
      </c>
      <c r="I40" s="13">
        <f t="shared" si="2"/>
        <v>631.88233500000001</v>
      </c>
      <c r="J40" s="23"/>
    </row>
    <row r="41" spans="1:14" ht="15.75" customHeight="1">
      <c r="A41" s="33">
        <v>8</v>
      </c>
      <c r="B41" s="82" t="s">
        <v>68</v>
      </c>
      <c r="C41" s="83" t="s">
        <v>28</v>
      </c>
      <c r="D41" s="82" t="s">
        <v>109</v>
      </c>
      <c r="E41" s="85">
        <v>48.3</v>
      </c>
      <c r="F41" s="85">
        <f>SUM(E41*155/1000)</f>
        <v>7.4865000000000004</v>
      </c>
      <c r="G41" s="85">
        <v>436.45</v>
      </c>
      <c r="H41" s="86">
        <f t="shared" si="1"/>
        <v>3.2674829250000004</v>
      </c>
      <c r="I41" s="13">
        <f t="shared" si="2"/>
        <v>544.5804875</v>
      </c>
      <c r="J41" s="23"/>
    </row>
    <row r="42" spans="1:14" ht="47.25" customHeight="1">
      <c r="A42" s="33">
        <v>9</v>
      </c>
      <c r="B42" s="82" t="s">
        <v>80</v>
      </c>
      <c r="C42" s="83" t="s">
        <v>102</v>
      </c>
      <c r="D42" s="82" t="s">
        <v>110</v>
      </c>
      <c r="E42" s="85">
        <f>E40</f>
        <v>48.3</v>
      </c>
      <c r="F42" s="85">
        <f>SUM(E42*35/1000)</f>
        <v>1.6904999999999999</v>
      </c>
      <c r="G42" s="85">
        <v>7221.21</v>
      </c>
      <c r="H42" s="86">
        <f t="shared" si="1"/>
        <v>12.207455505</v>
      </c>
      <c r="I42" s="13">
        <f t="shared" si="2"/>
        <v>2034.5759175000001</v>
      </c>
      <c r="J42" s="23"/>
      <c r="L42" s="19"/>
      <c r="M42" s="20"/>
      <c r="N42" s="21"/>
    </row>
    <row r="43" spans="1:14" ht="15.75" customHeight="1">
      <c r="A43" s="33">
        <v>10</v>
      </c>
      <c r="B43" s="82" t="s">
        <v>111</v>
      </c>
      <c r="C43" s="83" t="s">
        <v>102</v>
      </c>
      <c r="D43" s="82" t="s">
        <v>112</v>
      </c>
      <c r="E43" s="85">
        <f>E40</f>
        <v>48.3</v>
      </c>
      <c r="F43" s="85">
        <f>SUM(E43*20/1000)</f>
        <v>0.96599999999999997</v>
      </c>
      <c r="G43" s="85">
        <v>533.45000000000005</v>
      </c>
      <c r="H43" s="86">
        <f t="shared" si="1"/>
        <v>0.51531270000000007</v>
      </c>
      <c r="I43" s="13">
        <f>F43/7.5*G43</f>
        <v>68.708359999999999</v>
      </c>
      <c r="J43" s="23"/>
      <c r="L43" s="19"/>
      <c r="M43" s="20"/>
      <c r="N43" s="21"/>
    </row>
    <row r="44" spans="1:14" ht="15.75" customHeight="1">
      <c r="A44" s="33">
        <v>11</v>
      </c>
      <c r="B44" s="82" t="s">
        <v>69</v>
      </c>
      <c r="C44" s="83" t="s">
        <v>31</v>
      </c>
      <c r="D44" s="82"/>
      <c r="E44" s="84"/>
      <c r="F44" s="85">
        <v>0.5</v>
      </c>
      <c r="G44" s="85">
        <v>992.97</v>
      </c>
      <c r="H44" s="86">
        <f t="shared" si="1"/>
        <v>0.49648500000000001</v>
      </c>
      <c r="I44" s="13">
        <f>F44/7.5*G44</f>
        <v>66.198000000000008</v>
      </c>
      <c r="J44" s="23"/>
      <c r="L44" s="19"/>
      <c r="M44" s="20"/>
      <c r="N44" s="21"/>
    </row>
    <row r="45" spans="1:14" ht="15.75" customHeight="1">
      <c r="A45" s="144" t="s">
        <v>137</v>
      </c>
      <c r="B45" s="145"/>
      <c r="C45" s="145"/>
      <c r="D45" s="145"/>
      <c r="E45" s="145"/>
      <c r="F45" s="145"/>
      <c r="G45" s="145"/>
      <c r="H45" s="145"/>
      <c r="I45" s="146"/>
      <c r="J45" s="23"/>
      <c r="L45" s="19"/>
      <c r="M45" s="20"/>
      <c r="N45" s="21"/>
    </row>
    <row r="46" spans="1:14" ht="15.75" hidden="1" customHeight="1">
      <c r="A46" s="41">
        <v>15</v>
      </c>
      <c r="B46" s="82" t="s">
        <v>113</v>
      </c>
      <c r="C46" s="83" t="s">
        <v>102</v>
      </c>
      <c r="D46" s="82" t="s">
        <v>41</v>
      </c>
      <c r="E46" s="84">
        <v>1044.7</v>
      </c>
      <c r="F46" s="85">
        <f>SUM(E46*2/1000)</f>
        <v>2.0893999999999999</v>
      </c>
      <c r="G46" s="13">
        <v>1283.46</v>
      </c>
      <c r="H46" s="86">
        <f t="shared" ref="H46:H56" si="3">SUM(F46*G46/1000)</f>
        <v>2.6816613240000002</v>
      </c>
      <c r="I46" s="13">
        <v>0</v>
      </c>
      <c r="J46" s="23"/>
      <c r="L46" s="19"/>
      <c r="M46" s="20"/>
      <c r="N46" s="21"/>
    </row>
    <row r="47" spans="1:14" ht="15.75" hidden="1" customHeight="1">
      <c r="A47" s="41"/>
      <c r="B47" s="82" t="s">
        <v>34</v>
      </c>
      <c r="C47" s="83" t="s">
        <v>102</v>
      </c>
      <c r="D47" s="82" t="s">
        <v>41</v>
      </c>
      <c r="E47" s="84">
        <v>19.8</v>
      </c>
      <c r="F47" s="85">
        <f>SUM(E47*2/1000)</f>
        <v>3.9600000000000003E-2</v>
      </c>
      <c r="G47" s="13">
        <v>4192.6400000000003</v>
      </c>
      <c r="H47" s="86">
        <f t="shared" si="3"/>
        <v>0.16602854400000003</v>
      </c>
      <c r="I47" s="13">
        <v>0</v>
      </c>
      <c r="J47" s="23"/>
      <c r="L47" s="19"/>
      <c r="M47" s="20"/>
      <c r="N47" s="21"/>
    </row>
    <row r="48" spans="1:14" ht="15.75" hidden="1" customHeight="1">
      <c r="A48" s="41">
        <v>16</v>
      </c>
      <c r="B48" s="82" t="s">
        <v>35</v>
      </c>
      <c r="C48" s="83" t="s">
        <v>102</v>
      </c>
      <c r="D48" s="82" t="s">
        <v>41</v>
      </c>
      <c r="E48" s="84">
        <v>660.84</v>
      </c>
      <c r="F48" s="85">
        <f>SUM(E48*2/1000)</f>
        <v>1.32168</v>
      </c>
      <c r="G48" s="13">
        <v>1711.28</v>
      </c>
      <c r="H48" s="86">
        <f t="shared" si="3"/>
        <v>2.2617645503999997</v>
      </c>
      <c r="I48" s="13">
        <v>0</v>
      </c>
      <c r="J48" s="23"/>
      <c r="L48" s="19"/>
      <c r="M48" s="20"/>
      <c r="N48" s="21"/>
    </row>
    <row r="49" spans="1:14" ht="15.75" hidden="1" customHeight="1">
      <c r="A49" s="41">
        <v>17</v>
      </c>
      <c r="B49" s="82" t="s">
        <v>36</v>
      </c>
      <c r="C49" s="83" t="s">
        <v>102</v>
      </c>
      <c r="D49" s="82" t="s">
        <v>41</v>
      </c>
      <c r="E49" s="84">
        <v>1156.21</v>
      </c>
      <c r="F49" s="85">
        <f>SUM(E49*2/1000)</f>
        <v>2.3124199999999999</v>
      </c>
      <c r="G49" s="13">
        <v>1179.73</v>
      </c>
      <c r="H49" s="86">
        <f t="shared" si="3"/>
        <v>2.7280312466000001</v>
      </c>
      <c r="I49" s="13">
        <v>0</v>
      </c>
      <c r="J49" s="23"/>
      <c r="L49" s="19"/>
      <c r="M49" s="20"/>
      <c r="N49" s="21"/>
    </row>
    <row r="50" spans="1:14" ht="15.75" hidden="1" customHeight="1">
      <c r="A50" s="41">
        <v>18</v>
      </c>
      <c r="B50" s="82" t="s">
        <v>32</v>
      </c>
      <c r="C50" s="83" t="s">
        <v>33</v>
      </c>
      <c r="D50" s="82" t="s">
        <v>144</v>
      </c>
      <c r="E50" s="84">
        <v>17.2</v>
      </c>
      <c r="F50" s="85">
        <f>SUM(E50*2/100)</f>
        <v>0.34399999999999997</v>
      </c>
      <c r="G50" s="13">
        <v>90.61</v>
      </c>
      <c r="H50" s="86">
        <f t="shared" si="3"/>
        <v>3.1169839999999997E-2</v>
      </c>
      <c r="I50" s="13">
        <v>0</v>
      </c>
      <c r="J50" s="23"/>
      <c r="L50" s="19"/>
      <c r="M50" s="20"/>
      <c r="N50" s="21"/>
    </row>
    <row r="51" spans="1:14" ht="15.75" customHeight="1">
      <c r="A51" s="41">
        <v>12</v>
      </c>
      <c r="B51" s="82" t="s">
        <v>55</v>
      </c>
      <c r="C51" s="83" t="s">
        <v>102</v>
      </c>
      <c r="D51" s="82" t="s">
        <v>146</v>
      </c>
      <c r="E51" s="84">
        <v>1839.1</v>
      </c>
      <c r="F51" s="85">
        <f>SUM(E51*5/1000)</f>
        <v>9.1954999999999991</v>
      </c>
      <c r="G51" s="13">
        <v>1711.28</v>
      </c>
      <c r="H51" s="86">
        <f t="shared" si="3"/>
        <v>15.736075239999998</v>
      </c>
      <c r="I51" s="13">
        <f>F51/5*G51</f>
        <v>3147.2150479999996</v>
      </c>
      <c r="J51" s="23"/>
      <c r="L51" s="19"/>
      <c r="M51" s="20"/>
      <c r="N51" s="21"/>
    </row>
    <row r="52" spans="1:14" ht="31.5" hidden="1" customHeight="1">
      <c r="A52" s="41">
        <v>13</v>
      </c>
      <c r="B52" s="82" t="s">
        <v>114</v>
      </c>
      <c r="C52" s="83" t="s">
        <v>102</v>
      </c>
      <c r="D52" s="82" t="s">
        <v>41</v>
      </c>
      <c r="E52" s="84">
        <f>E51</f>
        <v>1839.1</v>
      </c>
      <c r="F52" s="85">
        <f>SUM(E52*2/1000)</f>
        <v>3.6781999999999999</v>
      </c>
      <c r="G52" s="13">
        <v>1510.06</v>
      </c>
      <c r="H52" s="86">
        <f t="shared" si="3"/>
        <v>5.5543026919999994</v>
      </c>
      <c r="I52" s="13">
        <v>0</v>
      </c>
      <c r="J52" s="23"/>
      <c r="L52" s="19"/>
      <c r="M52" s="20"/>
      <c r="N52" s="21"/>
    </row>
    <row r="53" spans="1:14" ht="31.5" hidden="1" customHeight="1">
      <c r="A53" s="41">
        <v>14</v>
      </c>
      <c r="B53" s="82" t="s">
        <v>115</v>
      </c>
      <c r="C53" s="83" t="s">
        <v>37</v>
      </c>
      <c r="D53" s="82" t="s">
        <v>41</v>
      </c>
      <c r="E53" s="84">
        <v>9</v>
      </c>
      <c r="F53" s="85">
        <f>SUM(E53*2/100)</f>
        <v>0.18</v>
      </c>
      <c r="G53" s="13">
        <v>3850.4</v>
      </c>
      <c r="H53" s="86">
        <f t="shared" si="3"/>
        <v>0.69307200000000002</v>
      </c>
      <c r="I53" s="13">
        <v>0</v>
      </c>
      <c r="J53" s="23"/>
      <c r="L53" s="19"/>
      <c r="M53" s="20"/>
      <c r="N53" s="21"/>
    </row>
    <row r="54" spans="1:14" ht="15.75" hidden="1" customHeight="1">
      <c r="A54" s="41">
        <v>15</v>
      </c>
      <c r="B54" s="82" t="s">
        <v>38</v>
      </c>
      <c r="C54" s="83" t="s">
        <v>39</v>
      </c>
      <c r="D54" s="82" t="s">
        <v>41</v>
      </c>
      <c r="E54" s="84">
        <v>1</v>
      </c>
      <c r="F54" s="85">
        <v>0.02</v>
      </c>
      <c r="G54" s="13">
        <v>7033.13</v>
      </c>
      <c r="H54" s="86">
        <f t="shared" si="3"/>
        <v>0.1406626</v>
      </c>
      <c r="I54" s="13">
        <v>0</v>
      </c>
      <c r="J54" s="23"/>
      <c r="L54" s="19"/>
      <c r="M54" s="20"/>
      <c r="N54" s="21"/>
    </row>
    <row r="55" spans="1:14" ht="15.75" customHeight="1">
      <c r="A55" s="41">
        <v>13</v>
      </c>
      <c r="B55" s="82" t="s">
        <v>145</v>
      </c>
      <c r="C55" s="83" t="s">
        <v>29</v>
      </c>
      <c r="D55" s="82" t="s">
        <v>70</v>
      </c>
      <c r="E55" s="84">
        <v>36</v>
      </c>
      <c r="F55" s="85">
        <f>E55*3</f>
        <v>108</v>
      </c>
      <c r="G55" s="13">
        <v>175.6</v>
      </c>
      <c r="H55" s="86">
        <f t="shared" si="3"/>
        <v>18.9648</v>
      </c>
      <c r="I55" s="13">
        <f>E55*G55</f>
        <v>6321.5999999999995</v>
      </c>
      <c r="J55" s="23"/>
      <c r="L55" s="19"/>
      <c r="M55" s="20"/>
      <c r="N55" s="21"/>
    </row>
    <row r="56" spans="1:14" ht="15.75" customHeight="1">
      <c r="A56" s="41">
        <v>14</v>
      </c>
      <c r="B56" s="82" t="s">
        <v>40</v>
      </c>
      <c r="C56" s="83" t="s">
        <v>29</v>
      </c>
      <c r="D56" s="82" t="s">
        <v>70</v>
      </c>
      <c r="E56" s="84">
        <v>36</v>
      </c>
      <c r="F56" s="85">
        <f>E56*3</f>
        <v>108</v>
      </c>
      <c r="G56" s="13">
        <v>81.73</v>
      </c>
      <c r="H56" s="86">
        <f t="shared" si="3"/>
        <v>8.8268400000000007</v>
      </c>
      <c r="I56" s="13">
        <f>E56*G56</f>
        <v>2942.28</v>
      </c>
      <c r="J56" s="23"/>
      <c r="L56" s="19"/>
      <c r="M56" s="20"/>
      <c r="N56" s="21"/>
    </row>
    <row r="57" spans="1:14" ht="15.75" customHeight="1">
      <c r="A57" s="144" t="s">
        <v>138</v>
      </c>
      <c r="B57" s="145"/>
      <c r="C57" s="145"/>
      <c r="D57" s="145"/>
      <c r="E57" s="145"/>
      <c r="F57" s="145"/>
      <c r="G57" s="145"/>
      <c r="H57" s="145"/>
      <c r="I57" s="146"/>
      <c r="J57" s="23"/>
      <c r="L57" s="19"/>
      <c r="M57" s="20"/>
      <c r="N57" s="21"/>
    </row>
    <row r="58" spans="1:14" ht="15.75" hidden="1" customHeight="1">
      <c r="A58" s="53"/>
      <c r="B58" s="48" t="s">
        <v>42</v>
      </c>
      <c r="C58" s="16"/>
      <c r="D58" s="15"/>
      <c r="E58" s="15"/>
      <c r="F58" s="15"/>
      <c r="G58" s="29"/>
      <c r="H58" s="29"/>
      <c r="I58" s="18"/>
      <c r="J58" s="23"/>
      <c r="L58" s="19"/>
      <c r="M58" s="20"/>
      <c r="N58" s="21"/>
    </row>
    <row r="59" spans="1:14" ht="31.5" hidden="1" customHeight="1">
      <c r="A59" s="41">
        <v>15</v>
      </c>
      <c r="B59" s="82" t="s">
        <v>117</v>
      </c>
      <c r="C59" s="83" t="s">
        <v>147</v>
      </c>
      <c r="D59" s="82" t="s">
        <v>71</v>
      </c>
      <c r="E59" s="84">
        <v>12.5</v>
      </c>
      <c r="F59" s="85">
        <f>E59*6/100</f>
        <v>0.75</v>
      </c>
      <c r="G59" s="91">
        <v>2306.62</v>
      </c>
      <c r="H59" s="86">
        <f>F59*G59/1000</f>
        <v>1.729965</v>
      </c>
      <c r="I59" s="13">
        <f>F59/6*G59</f>
        <v>288.32749999999999</v>
      </c>
      <c r="J59" s="23"/>
      <c r="L59" s="19"/>
      <c r="M59" s="20"/>
      <c r="N59" s="21"/>
    </row>
    <row r="60" spans="1:14" ht="15.75" hidden="1" customHeight="1">
      <c r="A60" s="41"/>
      <c r="B60" s="92" t="s">
        <v>84</v>
      </c>
      <c r="C60" s="93" t="s">
        <v>118</v>
      </c>
      <c r="D60" s="37" t="s">
        <v>66</v>
      </c>
      <c r="E60" s="94"/>
      <c r="F60" s="95">
        <v>2</v>
      </c>
      <c r="G60" s="96">
        <v>1501</v>
      </c>
      <c r="H60" s="86">
        <f>F60*G60/1000</f>
        <v>3.0019999999999998</v>
      </c>
      <c r="I60" s="13">
        <v>0</v>
      </c>
      <c r="J60" s="23"/>
      <c r="L60" s="19"/>
      <c r="M60" s="20"/>
      <c r="N60" s="21"/>
    </row>
    <row r="61" spans="1:14" ht="15.75" hidden="1" customHeight="1">
      <c r="A61" s="41"/>
      <c r="B61" s="62" t="s">
        <v>43</v>
      </c>
      <c r="C61" s="62"/>
      <c r="D61" s="62"/>
      <c r="E61" s="62"/>
      <c r="F61" s="76"/>
      <c r="G61" s="63"/>
      <c r="H61" s="63"/>
      <c r="I61" s="35"/>
      <c r="J61" s="23"/>
      <c r="L61" s="19"/>
      <c r="M61" s="20"/>
      <c r="N61" s="21"/>
    </row>
    <row r="62" spans="1:14" ht="15.75" hidden="1" customHeight="1">
      <c r="A62" s="41">
        <v>27</v>
      </c>
      <c r="B62" s="92" t="s">
        <v>44</v>
      </c>
      <c r="C62" s="93" t="s">
        <v>52</v>
      </c>
      <c r="D62" s="92" t="s">
        <v>53</v>
      </c>
      <c r="E62" s="94">
        <v>164</v>
      </c>
      <c r="F62" s="95">
        <f>E62/100</f>
        <v>1.64</v>
      </c>
      <c r="G62" s="96">
        <v>987.51</v>
      </c>
      <c r="H62" s="97">
        <f>G62*F62/1000</f>
        <v>1.6195164</v>
      </c>
      <c r="I62" s="13">
        <v>0</v>
      </c>
      <c r="J62" s="23"/>
      <c r="L62" s="19"/>
      <c r="M62" s="20"/>
      <c r="N62" s="21"/>
    </row>
    <row r="63" spans="1:14" ht="15.75" customHeight="1">
      <c r="A63" s="41"/>
      <c r="B63" s="62" t="s">
        <v>45</v>
      </c>
      <c r="C63" s="16"/>
      <c r="D63" s="37"/>
      <c r="E63" s="15"/>
      <c r="F63" s="77"/>
      <c r="G63" s="64"/>
      <c r="H63" s="63"/>
      <c r="I63" s="18"/>
      <c r="J63" s="23"/>
      <c r="L63" s="19"/>
    </row>
    <row r="64" spans="1:14" ht="15.75" hidden="1" customHeight="1">
      <c r="A64" s="41">
        <v>17</v>
      </c>
      <c r="B64" s="98" t="s">
        <v>46</v>
      </c>
      <c r="C64" s="16" t="s">
        <v>116</v>
      </c>
      <c r="D64" s="98" t="s">
        <v>66</v>
      </c>
      <c r="E64" s="18">
        <v>1</v>
      </c>
      <c r="F64" s="85">
        <f>E64</f>
        <v>1</v>
      </c>
      <c r="G64" s="13">
        <v>276.74</v>
      </c>
      <c r="H64" s="99">
        <f t="shared" ref="H64:H72" si="4">SUM(F64*G64/1000)</f>
        <v>0.27673999999999999</v>
      </c>
      <c r="I64" s="13">
        <v>0</v>
      </c>
    </row>
    <row r="65" spans="1:22" ht="15.75" hidden="1" customHeight="1">
      <c r="A65" s="29">
        <v>29</v>
      </c>
      <c r="B65" s="98" t="s">
        <v>47</v>
      </c>
      <c r="C65" s="16" t="s">
        <v>116</v>
      </c>
      <c r="D65" s="98" t="s">
        <v>66</v>
      </c>
      <c r="E65" s="18">
        <v>3</v>
      </c>
      <c r="F65" s="85">
        <v>3</v>
      </c>
      <c r="G65" s="13">
        <v>94.89</v>
      </c>
      <c r="H65" s="99">
        <f t="shared" si="4"/>
        <v>0.28467000000000003</v>
      </c>
      <c r="I65" s="13">
        <v>0</v>
      </c>
    </row>
    <row r="66" spans="1:22" ht="15.75" hidden="1" customHeight="1">
      <c r="A66" s="29">
        <v>8</v>
      </c>
      <c r="B66" s="98" t="s">
        <v>48</v>
      </c>
      <c r="C66" s="16" t="s">
        <v>119</v>
      </c>
      <c r="D66" s="98" t="s">
        <v>53</v>
      </c>
      <c r="E66" s="84">
        <v>7265</v>
      </c>
      <c r="F66" s="13">
        <f>SUM(E66/100)</f>
        <v>72.650000000000006</v>
      </c>
      <c r="G66" s="13">
        <v>263.99</v>
      </c>
      <c r="H66" s="99">
        <f t="shared" si="4"/>
        <v>19.178873500000002</v>
      </c>
      <c r="I66" s="13">
        <v>0</v>
      </c>
    </row>
    <row r="67" spans="1:22" ht="15.75" hidden="1" customHeight="1">
      <c r="A67" s="29">
        <v>9</v>
      </c>
      <c r="B67" s="98" t="s">
        <v>49</v>
      </c>
      <c r="C67" s="16" t="s">
        <v>120</v>
      </c>
      <c r="D67" s="98" t="s">
        <v>53</v>
      </c>
      <c r="E67" s="84">
        <f>E66</f>
        <v>7265</v>
      </c>
      <c r="F67" s="13">
        <f>SUM(E67/1000)</f>
        <v>7.2649999999999997</v>
      </c>
      <c r="G67" s="13">
        <v>205.57</v>
      </c>
      <c r="H67" s="99">
        <f t="shared" si="4"/>
        <v>1.4934660500000001</v>
      </c>
      <c r="I67" s="13">
        <v>0</v>
      </c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9"/>
    </row>
    <row r="68" spans="1:22" ht="15.75" hidden="1" customHeight="1">
      <c r="A68" s="29">
        <v>10</v>
      </c>
      <c r="B68" s="98" t="s">
        <v>50</v>
      </c>
      <c r="C68" s="16" t="s">
        <v>76</v>
      </c>
      <c r="D68" s="98" t="s">
        <v>53</v>
      </c>
      <c r="E68" s="84">
        <v>1090</v>
      </c>
      <c r="F68" s="13">
        <f>SUM(E68/100)</f>
        <v>10.9</v>
      </c>
      <c r="G68" s="13">
        <v>2581.5300000000002</v>
      </c>
      <c r="H68" s="99">
        <f t="shared" si="4"/>
        <v>28.138677000000005</v>
      </c>
      <c r="I68" s="13">
        <v>0</v>
      </c>
      <c r="J68" s="25"/>
      <c r="K68" s="25"/>
      <c r="L68" s="3"/>
      <c r="M68" s="3"/>
      <c r="N68" s="3"/>
      <c r="O68" s="3"/>
      <c r="P68" s="3"/>
      <c r="Q68" s="3"/>
      <c r="R68" s="3"/>
      <c r="S68" s="3"/>
      <c r="T68" s="3"/>
      <c r="U68" s="3"/>
    </row>
    <row r="69" spans="1:22" ht="15.75" hidden="1" customHeight="1">
      <c r="A69" s="29">
        <v>11</v>
      </c>
      <c r="B69" s="100" t="s">
        <v>121</v>
      </c>
      <c r="C69" s="16" t="s">
        <v>31</v>
      </c>
      <c r="D69" s="98"/>
      <c r="E69" s="84">
        <v>7.6</v>
      </c>
      <c r="F69" s="13">
        <f>SUM(E69)</f>
        <v>7.6</v>
      </c>
      <c r="G69" s="13">
        <v>47.45</v>
      </c>
      <c r="H69" s="99">
        <f t="shared" si="4"/>
        <v>0.36062</v>
      </c>
      <c r="I69" s="13">
        <v>0</v>
      </c>
      <c r="J69" s="3"/>
      <c r="K69" s="3"/>
      <c r="L69" s="3"/>
      <c r="M69" s="3"/>
      <c r="N69" s="3"/>
      <c r="O69" s="3"/>
      <c r="P69" s="3"/>
      <c r="Q69" s="3"/>
      <c r="S69" s="3"/>
      <c r="T69" s="3"/>
      <c r="U69" s="3"/>
    </row>
    <row r="70" spans="1:22" ht="15.75" hidden="1" customHeight="1">
      <c r="A70" s="29">
        <v>12</v>
      </c>
      <c r="B70" s="100" t="s">
        <v>148</v>
      </c>
      <c r="C70" s="16" t="s">
        <v>31</v>
      </c>
      <c r="D70" s="98"/>
      <c r="E70" s="84">
        <f>E69</f>
        <v>7.6</v>
      </c>
      <c r="F70" s="13">
        <f>SUM(E70)</f>
        <v>7.6</v>
      </c>
      <c r="G70" s="13">
        <v>44.27</v>
      </c>
      <c r="H70" s="99">
        <f t="shared" si="4"/>
        <v>0.33645199999999997</v>
      </c>
      <c r="I70" s="13">
        <v>0</v>
      </c>
      <c r="J70" s="5"/>
      <c r="K70" s="5"/>
      <c r="L70" s="5"/>
      <c r="M70" s="5"/>
      <c r="N70" s="5"/>
      <c r="O70" s="5"/>
      <c r="P70" s="5"/>
      <c r="Q70" s="5"/>
      <c r="R70" s="136"/>
      <c r="S70" s="136"/>
      <c r="T70" s="136"/>
      <c r="U70" s="136"/>
    </row>
    <row r="71" spans="1:22" ht="15.75" hidden="1" customHeight="1">
      <c r="A71" s="29">
        <v>13</v>
      </c>
      <c r="B71" s="98" t="s">
        <v>56</v>
      </c>
      <c r="C71" s="16" t="s">
        <v>57</v>
      </c>
      <c r="D71" s="98" t="s">
        <v>53</v>
      </c>
      <c r="E71" s="18">
        <v>2</v>
      </c>
      <c r="F71" s="85">
        <f>SUM(E71)</f>
        <v>2</v>
      </c>
      <c r="G71" s="13">
        <v>62.07</v>
      </c>
      <c r="H71" s="99">
        <f t="shared" si="4"/>
        <v>0.12414</v>
      </c>
      <c r="I71" s="13">
        <v>0</v>
      </c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</row>
    <row r="72" spans="1:22" ht="15.75" customHeight="1">
      <c r="A72" s="29">
        <v>15</v>
      </c>
      <c r="B72" s="98" t="s">
        <v>85</v>
      </c>
      <c r="C72" s="41" t="s">
        <v>131</v>
      </c>
      <c r="D72" s="37" t="s">
        <v>66</v>
      </c>
      <c r="E72" s="17">
        <v>1839.1</v>
      </c>
      <c r="F72" s="101">
        <f>SUM(E72*12)</f>
        <v>22069.199999999997</v>
      </c>
      <c r="G72" s="13">
        <v>2.16</v>
      </c>
      <c r="H72" s="99">
        <f t="shared" si="4"/>
        <v>47.669471999999992</v>
      </c>
      <c r="I72" s="13">
        <f>F72/12*G72</f>
        <v>3972.4559999999997</v>
      </c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</row>
    <row r="73" spans="1:22" ht="15.75" customHeight="1">
      <c r="A73" s="29"/>
      <c r="B73" s="49" t="s">
        <v>72</v>
      </c>
      <c r="C73" s="49"/>
      <c r="D73" s="49"/>
      <c r="E73" s="18"/>
      <c r="F73" s="18"/>
      <c r="G73" s="29"/>
      <c r="H73" s="29"/>
      <c r="I73" s="18"/>
    </row>
    <row r="74" spans="1:22" ht="15.75" hidden="1" customHeight="1">
      <c r="A74" s="29"/>
      <c r="B74" s="98" t="s">
        <v>123</v>
      </c>
      <c r="C74" s="16" t="s">
        <v>124</v>
      </c>
      <c r="D74" s="98" t="s">
        <v>66</v>
      </c>
      <c r="E74" s="18">
        <v>1</v>
      </c>
      <c r="F74" s="13">
        <f>E74</f>
        <v>1</v>
      </c>
      <c r="G74" s="13">
        <v>976.4</v>
      </c>
      <c r="H74" s="99">
        <f t="shared" ref="H74:H78" si="5">SUM(F74*G74/1000)</f>
        <v>0.97639999999999993</v>
      </c>
      <c r="I74" s="13">
        <v>0</v>
      </c>
    </row>
    <row r="75" spans="1:22" ht="15.75" hidden="1" customHeight="1">
      <c r="A75" s="29"/>
      <c r="B75" s="98" t="s">
        <v>125</v>
      </c>
      <c r="C75" s="16" t="s">
        <v>126</v>
      </c>
      <c r="D75" s="98"/>
      <c r="E75" s="18">
        <v>1</v>
      </c>
      <c r="F75" s="13">
        <v>1</v>
      </c>
      <c r="G75" s="13">
        <v>650</v>
      </c>
      <c r="H75" s="99">
        <f t="shared" si="5"/>
        <v>0.65</v>
      </c>
      <c r="I75" s="13">
        <v>0</v>
      </c>
    </row>
    <row r="76" spans="1:22" ht="15.75" hidden="1" customHeight="1">
      <c r="A76" s="29"/>
      <c r="B76" s="98" t="s">
        <v>73</v>
      </c>
      <c r="C76" s="16" t="s">
        <v>149</v>
      </c>
      <c r="D76" s="98" t="s">
        <v>66</v>
      </c>
      <c r="E76" s="18">
        <v>3</v>
      </c>
      <c r="F76" s="13">
        <f>E76/10</f>
        <v>0.3</v>
      </c>
      <c r="G76" s="13">
        <v>624.16999999999996</v>
      </c>
      <c r="H76" s="99">
        <f t="shared" si="5"/>
        <v>0.18725099999999997</v>
      </c>
      <c r="I76" s="13">
        <v>0</v>
      </c>
    </row>
    <row r="77" spans="1:22" ht="15.75" hidden="1" customHeight="1">
      <c r="A77" s="29"/>
      <c r="B77" s="98" t="s">
        <v>74</v>
      </c>
      <c r="C77" s="16" t="s">
        <v>29</v>
      </c>
      <c r="D77" s="98" t="s">
        <v>66</v>
      </c>
      <c r="E77" s="18">
        <v>1</v>
      </c>
      <c r="F77" s="13">
        <v>1</v>
      </c>
      <c r="G77" s="13">
        <v>1061.4100000000001</v>
      </c>
      <c r="H77" s="99">
        <f t="shared" si="5"/>
        <v>1.0614100000000002</v>
      </c>
      <c r="I77" s="13">
        <v>0</v>
      </c>
    </row>
    <row r="78" spans="1:22" ht="15.75" customHeight="1">
      <c r="A78" s="29">
        <v>16</v>
      </c>
      <c r="B78" s="98" t="s">
        <v>86</v>
      </c>
      <c r="C78" s="16" t="s">
        <v>29</v>
      </c>
      <c r="D78" s="98" t="s">
        <v>66</v>
      </c>
      <c r="E78" s="18">
        <v>1</v>
      </c>
      <c r="F78" s="85">
        <f>SUM(E78)</f>
        <v>1</v>
      </c>
      <c r="G78" s="13">
        <v>446.12</v>
      </c>
      <c r="H78" s="99">
        <f t="shared" si="5"/>
        <v>0.44612000000000002</v>
      </c>
      <c r="I78" s="13">
        <f>G78</f>
        <v>446.12</v>
      </c>
    </row>
    <row r="79" spans="1:22" ht="15.75" hidden="1" customHeight="1">
      <c r="A79" s="29"/>
      <c r="B79" s="50" t="s">
        <v>75</v>
      </c>
      <c r="C79" s="38"/>
      <c r="D79" s="29"/>
      <c r="E79" s="18"/>
      <c r="F79" s="18"/>
      <c r="G79" s="36"/>
      <c r="H79" s="36"/>
      <c r="I79" s="18"/>
    </row>
    <row r="80" spans="1:22" ht="15.75" hidden="1" customHeight="1">
      <c r="A80" s="29">
        <v>39</v>
      </c>
      <c r="B80" s="39" t="s">
        <v>127</v>
      </c>
      <c r="C80" s="16" t="s">
        <v>76</v>
      </c>
      <c r="D80" s="98"/>
      <c r="E80" s="18"/>
      <c r="F80" s="13">
        <v>1.3</v>
      </c>
      <c r="G80" s="13">
        <v>3433.68</v>
      </c>
      <c r="H80" s="99">
        <f t="shared" ref="H80" si="6">SUM(F80*G80/1000)</f>
        <v>4.4637839999999995</v>
      </c>
      <c r="I80" s="13">
        <v>0</v>
      </c>
    </row>
    <row r="81" spans="1:9" ht="15.75" hidden="1" customHeight="1">
      <c r="A81" s="53"/>
      <c r="B81" s="62" t="s">
        <v>122</v>
      </c>
      <c r="C81" s="62"/>
      <c r="D81" s="62"/>
      <c r="E81" s="62"/>
      <c r="F81" s="69"/>
      <c r="G81" s="62"/>
      <c r="H81" s="69"/>
      <c r="I81" s="18"/>
    </row>
    <row r="82" spans="1:9" ht="15.75" hidden="1" customHeight="1">
      <c r="A82" s="29">
        <v>36</v>
      </c>
      <c r="B82" s="82" t="s">
        <v>89</v>
      </c>
      <c r="C82" s="16"/>
      <c r="D82" s="98"/>
      <c r="E82" s="102"/>
      <c r="F82" s="13">
        <v>1</v>
      </c>
      <c r="G82" s="13">
        <v>13707.8</v>
      </c>
      <c r="H82" s="99">
        <f>G82*F82/1000</f>
        <v>13.707799999999999</v>
      </c>
      <c r="I82" s="13">
        <v>0</v>
      </c>
    </row>
    <row r="83" spans="1:9" ht="15.75" customHeight="1">
      <c r="A83" s="129" t="s">
        <v>139</v>
      </c>
      <c r="B83" s="130"/>
      <c r="C83" s="130"/>
      <c r="D83" s="130"/>
      <c r="E83" s="130"/>
      <c r="F83" s="130"/>
      <c r="G83" s="130"/>
      <c r="H83" s="130"/>
      <c r="I83" s="131"/>
    </row>
    <row r="84" spans="1:9" ht="15.75" customHeight="1">
      <c r="A84" s="29">
        <v>17</v>
      </c>
      <c r="B84" s="82" t="s">
        <v>128</v>
      </c>
      <c r="C84" s="16" t="s">
        <v>54</v>
      </c>
      <c r="D84" s="104" t="s">
        <v>150</v>
      </c>
      <c r="E84" s="13">
        <v>1839.1</v>
      </c>
      <c r="F84" s="13">
        <f>SUM(E84*12)</f>
        <v>22069.199999999997</v>
      </c>
      <c r="G84" s="13">
        <v>2.95</v>
      </c>
      <c r="H84" s="99">
        <f>SUM(F84*G84/1000)</f>
        <v>65.104139999999987</v>
      </c>
      <c r="I84" s="13">
        <f>F84/12*G84</f>
        <v>5425.3449999999993</v>
      </c>
    </row>
    <row r="85" spans="1:9" ht="31.5" customHeight="1">
      <c r="A85" s="29">
        <v>18</v>
      </c>
      <c r="B85" s="98" t="s">
        <v>77</v>
      </c>
      <c r="C85" s="16"/>
      <c r="D85" s="104" t="s">
        <v>150</v>
      </c>
      <c r="E85" s="84">
        <v>1839.1</v>
      </c>
      <c r="F85" s="13">
        <f>E85*12</f>
        <v>22069.199999999997</v>
      </c>
      <c r="G85" s="13">
        <v>3.05</v>
      </c>
      <c r="H85" s="99">
        <f>F85*G85/1000</f>
        <v>67.311059999999983</v>
      </c>
      <c r="I85" s="13">
        <f>F85/12*G85</f>
        <v>5609.2549999999983</v>
      </c>
    </row>
    <row r="86" spans="1:9" ht="31.5" customHeight="1">
      <c r="A86" s="29">
        <v>19</v>
      </c>
      <c r="B86" s="98" t="s">
        <v>132</v>
      </c>
      <c r="C86" s="16" t="s">
        <v>133</v>
      </c>
      <c r="D86" s="104" t="s">
        <v>150</v>
      </c>
      <c r="E86" s="102"/>
      <c r="F86" s="13"/>
      <c r="G86" s="13"/>
      <c r="H86" s="99">
        <v>59.113</v>
      </c>
      <c r="I86" s="13">
        <v>4926.08</v>
      </c>
    </row>
    <row r="87" spans="1:9" ht="15.75" customHeight="1">
      <c r="A87" s="53"/>
      <c r="B87" s="40" t="s">
        <v>79</v>
      </c>
      <c r="C87" s="41"/>
      <c r="D87" s="15"/>
      <c r="E87" s="15"/>
      <c r="F87" s="15"/>
      <c r="G87" s="18"/>
      <c r="H87" s="18"/>
      <c r="I87" s="31">
        <f>I86+I85+I84+I78+I72+I56+I55+I51+I44+I43+I42+I41+I40+I39+I28+I27+I18+I17+I16</f>
        <v>51381.506754666661</v>
      </c>
    </row>
    <row r="88" spans="1:9" ht="15.75" customHeight="1">
      <c r="A88" s="132" t="s">
        <v>59</v>
      </c>
      <c r="B88" s="133"/>
      <c r="C88" s="133"/>
      <c r="D88" s="133"/>
      <c r="E88" s="133"/>
      <c r="F88" s="133"/>
      <c r="G88" s="133"/>
      <c r="H88" s="133"/>
      <c r="I88" s="134"/>
    </row>
    <row r="89" spans="1:9" ht="15.75" customHeight="1">
      <c r="A89" s="29">
        <v>20</v>
      </c>
      <c r="B89" s="98" t="s">
        <v>166</v>
      </c>
      <c r="C89" s="16" t="s">
        <v>167</v>
      </c>
      <c r="D89" s="98"/>
      <c r="E89" s="18"/>
      <c r="F89" s="13">
        <v>24</v>
      </c>
      <c r="G89" s="13">
        <v>1.2</v>
      </c>
      <c r="H89" s="13">
        <f>F89*G89/1000</f>
        <v>2.8799999999999996E-2</v>
      </c>
      <c r="I89" s="13">
        <f>G89*12</f>
        <v>14.399999999999999</v>
      </c>
    </row>
    <row r="90" spans="1:9" ht="15.75" customHeight="1">
      <c r="A90" s="29">
        <v>21</v>
      </c>
      <c r="B90" s="109" t="s">
        <v>168</v>
      </c>
      <c r="C90" s="106" t="s">
        <v>54</v>
      </c>
      <c r="D90" s="98"/>
      <c r="E90" s="18"/>
      <c r="F90" s="13">
        <v>2.2000000000000002</v>
      </c>
      <c r="G90" s="13">
        <v>470.85</v>
      </c>
      <c r="H90" s="13">
        <f>F90*G90/1000</f>
        <v>1.0358700000000001</v>
      </c>
      <c r="I90" s="13">
        <f>G90*2.2</f>
        <v>1035.8700000000001</v>
      </c>
    </row>
    <row r="91" spans="1:9" ht="15.75" customHeight="1">
      <c r="A91" s="29"/>
      <c r="B91" s="46" t="s">
        <v>51</v>
      </c>
      <c r="C91" s="42"/>
      <c r="D91" s="54"/>
      <c r="E91" s="42">
        <v>1</v>
      </c>
      <c r="F91" s="42"/>
      <c r="G91" s="42"/>
      <c r="H91" s="42"/>
      <c r="I91" s="31">
        <f>SUM(I89:I90)</f>
        <v>1050.2700000000002</v>
      </c>
    </row>
    <row r="92" spans="1:9" ht="15.75" customHeight="1">
      <c r="A92" s="29"/>
      <c r="B92" s="52" t="s">
        <v>78</v>
      </c>
      <c r="C92" s="15"/>
      <c r="D92" s="15"/>
      <c r="E92" s="43"/>
      <c r="F92" s="43"/>
      <c r="G92" s="44"/>
      <c r="H92" s="44"/>
      <c r="I92" s="17">
        <v>0</v>
      </c>
    </row>
    <row r="93" spans="1:9" ht="15.75" customHeight="1">
      <c r="A93" s="55"/>
      <c r="B93" s="47" t="s">
        <v>140</v>
      </c>
      <c r="C93" s="34"/>
      <c r="D93" s="34"/>
      <c r="E93" s="34"/>
      <c r="F93" s="34"/>
      <c r="G93" s="34"/>
      <c r="H93" s="34"/>
      <c r="I93" s="45">
        <f>I87+I91</f>
        <v>52431.776754666658</v>
      </c>
    </row>
    <row r="94" spans="1:9" ht="15.75">
      <c r="A94" s="135" t="s">
        <v>198</v>
      </c>
      <c r="B94" s="135"/>
      <c r="C94" s="135"/>
      <c r="D94" s="135"/>
      <c r="E94" s="135"/>
      <c r="F94" s="135"/>
      <c r="G94" s="135"/>
      <c r="H94" s="135"/>
      <c r="I94" s="135"/>
    </row>
    <row r="95" spans="1:9" ht="15.75">
      <c r="A95" s="61"/>
      <c r="B95" s="151" t="s">
        <v>199</v>
      </c>
      <c r="C95" s="151"/>
      <c r="D95" s="151"/>
      <c r="E95" s="151"/>
      <c r="F95" s="151"/>
      <c r="G95" s="151"/>
      <c r="H95" s="80"/>
      <c r="I95" s="3"/>
    </row>
    <row r="96" spans="1:9">
      <c r="A96" s="56"/>
      <c r="B96" s="147" t="s">
        <v>6</v>
      </c>
      <c r="C96" s="147"/>
      <c r="D96" s="147"/>
      <c r="E96" s="147"/>
      <c r="F96" s="147"/>
      <c r="G96" s="147"/>
      <c r="H96" s="24"/>
      <c r="I96" s="5"/>
    </row>
    <row r="97" spans="1:9">
      <c r="A97" s="10"/>
      <c r="B97" s="10"/>
      <c r="C97" s="10"/>
      <c r="D97" s="10"/>
      <c r="E97" s="10"/>
      <c r="F97" s="10"/>
      <c r="G97" s="10"/>
      <c r="H97" s="10"/>
      <c r="I97" s="10"/>
    </row>
    <row r="98" spans="1:9" ht="15.75">
      <c r="A98" s="155" t="s">
        <v>7</v>
      </c>
      <c r="B98" s="155"/>
      <c r="C98" s="155"/>
      <c r="D98" s="155"/>
      <c r="E98" s="155"/>
      <c r="F98" s="155"/>
      <c r="G98" s="155"/>
      <c r="H98" s="155"/>
      <c r="I98" s="155"/>
    </row>
    <row r="99" spans="1:9" ht="15.75">
      <c r="A99" s="155" t="s">
        <v>8</v>
      </c>
      <c r="B99" s="155"/>
      <c r="C99" s="155"/>
      <c r="D99" s="155"/>
      <c r="E99" s="155"/>
      <c r="F99" s="155"/>
      <c r="G99" s="155"/>
      <c r="H99" s="155"/>
      <c r="I99" s="155"/>
    </row>
    <row r="100" spans="1:9" ht="15.75">
      <c r="A100" s="152" t="s">
        <v>60</v>
      </c>
      <c r="B100" s="152"/>
      <c r="C100" s="152"/>
      <c r="D100" s="152"/>
      <c r="E100" s="152"/>
      <c r="F100" s="152"/>
      <c r="G100" s="152"/>
      <c r="H100" s="152"/>
      <c r="I100" s="152"/>
    </row>
    <row r="101" spans="1:9" ht="15.75">
      <c r="A101" s="11"/>
    </row>
    <row r="102" spans="1:9" ht="15.75">
      <c r="A102" s="153" t="s">
        <v>9</v>
      </c>
      <c r="B102" s="153"/>
      <c r="C102" s="153"/>
      <c r="D102" s="153"/>
      <c r="E102" s="153"/>
      <c r="F102" s="153"/>
      <c r="G102" s="153"/>
      <c r="H102" s="153"/>
      <c r="I102" s="153"/>
    </row>
    <row r="103" spans="1:9" ht="15.75">
      <c r="A103" s="4"/>
    </row>
    <row r="104" spans="1:9" ht="15.75">
      <c r="B104" s="59" t="s">
        <v>10</v>
      </c>
      <c r="C104" s="154" t="s">
        <v>87</v>
      </c>
      <c r="D104" s="154"/>
      <c r="E104" s="154"/>
      <c r="F104" s="78"/>
      <c r="I104" s="60"/>
    </row>
    <row r="105" spans="1:9">
      <c r="A105" s="56"/>
      <c r="C105" s="147" t="s">
        <v>11</v>
      </c>
      <c r="D105" s="147"/>
      <c r="E105" s="147"/>
      <c r="F105" s="24"/>
      <c r="I105" s="58" t="s">
        <v>12</v>
      </c>
    </row>
    <row r="106" spans="1:9" ht="15.75">
      <c r="A106" s="25"/>
      <c r="C106" s="12"/>
      <c r="D106" s="12"/>
      <c r="G106" s="12"/>
      <c r="H106" s="12"/>
    </row>
    <row r="107" spans="1:9" ht="15.75">
      <c r="B107" s="59" t="s">
        <v>13</v>
      </c>
      <c r="C107" s="149"/>
      <c r="D107" s="149"/>
      <c r="E107" s="149"/>
      <c r="F107" s="79"/>
      <c r="I107" s="60"/>
    </row>
    <row r="108" spans="1:9">
      <c r="A108" s="56"/>
      <c r="C108" s="136" t="s">
        <v>11</v>
      </c>
      <c r="D108" s="136"/>
      <c r="E108" s="136"/>
      <c r="F108" s="67"/>
      <c r="I108" s="58" t="s">
        <v>12</v>
      </c>
    </row>
    <row r="109" spans="1:9" ht="15.75">
      <c r="A109" s="4" t="s">
        <v>14</v>
      </c>
    </row>
    <row r="110" spans="1:9">
      <c r="A110" s="150" t="s">
        <v>15</v>
      </c>
      <c r="B110" s="150"/>
      <c r="C110" s="150"/>
      <c r="D110" s="150"/>
      <c r="E110" s="150"/>
      <c r="F110" s="150"/>
      <c r="G110" s="150"/>
      <c r="H110" s="150"/>
      <c r="I110" s="150"/>
    </row>
    <row r="111" spans="1:9" ht="45" customHeight="1">
      <c r="A111" s="148" t="s">
        <v>16</v>
      </c>
      <c r="B111" s="148"/>
      <c r="C111" s="148"/>
      <c r="D111" s="148"/>
      <c r="E111" s="148"/>
      <c r="F111" s="148"/>
      <c r="G111" s="148"/>
      <c r="H111" s="148"/>
      <c r="I111" s="148"/>
    </row>
    <row r="112" spans="1:9" ht="30" customHeight="1">
      <c r="A112" s="148" t="s">
        <v>17</v>
      </c>
      <c r="B112" s="148"/>
      <c r="C112" s="148"/>
      <c r="D112" s="148"/>
      <c r="E112" s="148"/>
      <c r="F112" s="148"/>
      <c r="G112" s="148"/>
      <c r="H112" s="148"/>
      <c r="I112" s="148"/>
    </row>
    <row r="113" spans="1:9" ht="30" customHeight="1">
      <c r="A113" s="148" t="s">
        <v>21</v>
      </c>
      <c r="B113" s="148"/>
      <c r="C113" s="148"/>
      <c r="D113" s="148"/>
      <c r="E113" s="148"/>
      <c r="F113" s="148"/>
      <c r="G113" s="148"/>
      <c r="H113" s="148"/>
      <c r="I113" s="148"/>
    </row>
    <row r="114" spans="1:9" ht="15.75">
      <c r="A114" s="148" t="s">
        <v>20</v>
      </c>
      <c r="B114" s="148"/>
      <c r="C114" s="148"/>
      <c r="D114" s="148"/>
      <c r="E114" s="148"/>
      <c r="F114" s="148"/>
      <c r="G114" s="148"/>
      <c r="H114" s="148"/>
      <c r="I114" s="148"/>
    </row>
  </sheetData>
  <autoFilter ref="I12:I65"/>
  <mergeCells count="29">
    <mergeCell ref="B95:G95"/>
    <mergeCell ref="B96:G96"/>
    <mergeCell ref="A100:I100"/>
    <mergeCell ref="A102:I102"/>
    <mergeCell ref="C104:E104"/>
    <mergeCell ref="A98:I98"/>
    <mergeCell ref="A99:I99"/>
    <mergeCell ref="C105:E105"/>
    <mergeCell ref="A113:I113"/>
    <mergeCell ref="A114:I114"/>
    <mergeCell ref="C107:E107"/>
    <mergeCell ref="C108:E108"/>
    <mergeCell ref="A110:I110"/>
    <mergeCell ref="A111:I111"/>
    <mergeCell ref="A112:I112"/>
    <mergeCell ref="A83:I83"/>
    <mergeCell ref="A88:I88"/>
    <mergeCell ref="A94:I94"/>
    <mergeCell ref="R70:U70"/>
    <mergeCell ref="A3:I3"/>
    <mergeCell ref="A4:I4"/>
    <mergeCell ref="A8:I8"/>
    <mergeCell ref="A10:I10"/>
    <mergeCell ref="A5:I5"/>
    <mergeCell ref="A14:I14"/>
    <mergeCell ref="A15:I15"/>
    <mergeCell ref="A29:I29"/>
    <mergeCell ref="A45:I45"/>
    <mergeCell ref="A57:I57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>
  <dimension ref="A1:V116"/>
  <sheetViews>
    <sheetView topLeftCell="A55" workbookViewId="0">
      <selection activeCell="B89" sqref="B89:I89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7" t="s">
        <v>196</v>
      </c>
      <c r="I1" s="26"/>
      <c r="J1" s="1"/>
      <c r="K1" s="1"/>
      <c r="L1" s="1"/>
      <c r="M1" s="1"/>
    </row>
    <row r="2" spans="1:13" ht="15.75" customHeight="1">
      <c r="A2" s="28" t="s">
        <v>61</v>
      </c>
      <c r="J2" s="2"/>
      <c r="K2" s="2"/>
      <c r="L2" s="2"/>
      <c r="M2" s="2"/>
    </row>
    <row r="3" spans="1:13" ht="15.75" customHeight="1">
      <c r="A3" s="137" t="s">
        <v>162</v>
      </c>
      <c r="B3" s="137"/>
      <c r="C3" s="137"/>
      <c r="D3" s="137"/>
      <c r="E3" s="137"/>
      <c r="F3" s="137"/>
      <c r="G3" s="137"/>
      <c r="H3" s="137"/>
      <c r="I3" s="137"/>
      <c r="J3" s="3"/>
      <c r="K3" s="3"/>
      <c r="L3" s="3"/>
    </row>
    <row r="4" spans="1:13" ht="31.5" customHeight="1">
      <c r="A4" s="138" t="s">
        <v>129</v>
      </c>
      <c r="B4" s="138"/>
      <c r="C4" s="138"/>
      <c r="D4" s="138"/>
      <c r="E4" s="138"/>
      <c r="F4" s="138"/>
      <c r="G4" s="138"/>
      <c r="H4" s="138"/>
      <c r="I4" s="138"/>
    </row>
    <row r="5" spans="1:13" ht="15.75" customHeight="1">
      <c r="A5" s="137" t="s">
        <v>217</v>
      </c>
      <c r="B5" s="141"/>
      <c r="C5" s="141"/>
      <c r="D5" s="141"/>
      <c r="E5" s="141"/>
      <c r="F5" s="141"/>
      <c r="G5" s="141"/>
      <c r="H5" s="141"/>
      <c r="I5" s="141"/>
      <c r="J5" s="2"/>
      <c r="K5" s="2"/>
      <c r="L5" s="2"/>
      <c r="M5" s="2"/>
    </row>
    <row r="6" spans="1:13" ht="15.75" customHeight="1">
      <c r="A6" s="2"/>
      <c r="B6" s="74"/>
      <c r="C6" s="74"/>
      <c r="D6" s="74"/>
      <c r="E6" s="74"/>
      <c r="F6" s="74"/>
      <c r="G6" s="74"/>
      <c r="H6" s="74"/>
      <c r="I6" s="30">
        <v>43404</v>
      </c>
      <c r="J6" s="2"/>
      <c r="K6" s="2"/>
      <c r="L6" s="2"/>
      <c r="M6" s="2"/>
    </row>
    <row r="7" spans="1:13" ht="15.75" customHeight="1">
      <c r="B7" s="70"/>
      <c r="C7" s="70"/>
      <c r="D7" s="70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139" t="s">
        <v>197</v>
      </c>
      <c r="B8" s="139"/>
      <c r="C8" s="139"/>
      <c r="D8" s="139"/>
      <c r="E8" s="139"/>
      <c r="F8" s="139"/>
      <c r="G8" s="139"/>
      <c r="H8" s="139"/>
      <c r="I8" s="139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140" t="s">
        <v>135</v>
      </c>
      <c r="B10" s="140"/>
      <c r="C10" s="140"/>
      <c r="D10" s="140"/>
      <c r="E10" s="140"/>
      <c r="F10" s="140"/>
      <c r="G10" s="140"/>
      <c r="H10" s="140"/>
      <c r="I10" s="140"/>
      <c r="J10" s="2"/>
      <c r="K10" s="2"/>
      <c r="L10" s="2"/>
      <c r="M10" s="2"/>
    </row>
    <row r="11" spans="1:13" ht="15.75">
      <c r="A11" s="4"/>
    </row>
    <row r="12" spans="1:13" ht="47.2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142" t="s">
        <v>58</v>
      </c>
      <c r="B14" s="142"/>
      <c r="C14" s="142"/>
      <c r="D14" s="142"/>
      <c r="E14" s="142"/>
      <c r="F14" s="142"/>
      <c r="G14" s="142"/>
      <c r="H14" s="142"/>
      <c r="I14" s="142"/>
      <c r="J14" s="8"/>
      <c r="K14" s="8"/>
      <c r="L14" s="8"/>
      <c r="M14" s="8"/>
    </row>
    <row r="15" spans="1:13" ht="15.75" customHeight="1">
      <c r="A15" s="143" t="s">
        <v>4</v>
      </c>
      <c r="B15" s="143"/>
      <c r="C15" s="143"/>
      <c r="D15" s="143"/>
      <c r="E15" s="143"/>
      <c r="F15" s="143"/>
      <c r="G15" s="143"/>
      <c r="H15" s="143"/>
      <c r="I15" s="143"/>
      <c r="J15" s="8"/>
      <c r="K15" s="8"/>
      <c r="L15" s="8"/>
      <c r="M15" s="8"/>
    </row>
    <row r="16" spans="1:13" ht="15.75" customHeight="1">
      <c r="A16" s="29">
        <v>1</v>
      </c>
      <c r="B16" s="82" t="s">
        <v>83</v>
      </c>
      <c r="C16" s="83" t="s">
        <v>92</v>
      </c>
      <c r="D16" s="82" t="s">
        <v>141</v>
      </c>
      <c r="E16" s="84">
        <v>54.2</v>
      </c>
      <c r="F16" s="85">
        <f>SUM(E16*156/100)</f>
        <v>84.552000000000007</v>
      </c>
      <c r="G16" s="85">
        <v>218.21</v>
      </c>
      <c r="H16" s="86">
        <f t="shared" ref="H16:H26" si="0">SUM(F16*G16/1000)</f>
        <v>18.450091920000002</v>
      </c>
      <c r="I16" s="13">
        <f>F16/12*G16</f>
        <v>1537.5076600000002</v>
      </c>
      <c r="J16" s="8"/>
      <c r="K16" s="8"/>
      <c r="L16" s="8"/>
      <c r="M16" s="8"/>
    </row>
    <row r="17" spans="1:13" ht="15.75" customHeight="1">
      <c r="A17" s="29">
        <v>2</v>
      </c>
      <c r="B17" s="82" t="s">
        <v>90</v>
      </c>
      <c r="C17" s="83" t="s">
        <v>92</v>
      </c>
      <c r="D17" s="82" t="s">
        <v>142</v>
      </c>
      <c r="E17" s="84">
        <v>108.5</v>
      </c>
      <c r="F17" s="85">
        <f>SUM(E17*104/100)</f>
        <v>112.84</v>
      </c>
      <c r="G17" s="85">
        <v>218.21</v>
      </c>
      <c r="H17" s="86">
        <f t="shared" si="0"/>
        <v>24.622816400000005</v>
      </c>
      <c r="I17" s="13">
        <f>F17/12*G17</f>
        <v>2051.9013666666669</v>
      </c>
      <c r="J17" s="22"/>
      <c r="K17" s="8"/>
      <c r="L17" s="8"/>
      <c r="M17" s="8"/>
    </row>
    <row r="18" spans="1:13" ht="15.75" customHeight="1">
      <c r="A18" s="29">
        <v>3</v>
      </c>
      <c r="B18" s="82" t="s">
        <v>91</v>
      </c>
      <c r="C18" s="83" t="s">
        <v>92</v>
      </c>
      <c r="D18" s="82" t="s">
        <v>143</v>
      </c>
      <c r="E18" s="84">
        <f>SUM(E16+E17)</f>
        <v>162.69999999999999</v>
      </c>
      <c r="F18" s="85">
        <f>SUM(E18*24/100)</f>
        <v>39.047999999999995</v>
      </c>
      <c r="G18" s="85">
        <v>627.77</v>
      </c>
      <c r="H18" s="86">
        <f t="shared" si="0"/>
        <v>24.513162959999995</v>
      </c>
      <c r="I18" s="13">
        <f>F18/12*G18</f>
        <v>2042.7635799999996</v>
      </c>
      <c r="J18" s="22"/>
      <c r="K18" s="8"/>
      <c r="L18" s="8"/>
      <c r="M18" s="8"/>
    </row>
    <row r="19" spans="1:13" ht="15.75" hidden="1" customHeight="1">
      <c r="A19" s="29">
        <v>4</v>
      </c>
      <c r="B19" s="82" t="s">
        <v>93</v>
      </c>
      <c r="C19" s="83" t="s">
        <v>88</v>
      </c>
      <c r="D19" s="82" t="s">
        <v>94</v>
      </c>
      <c r="E19" s="84">
        <v>15.3</v>
      </c>
      <c r="F19" s="85">
        <f>SUM(E19/10)</f>
        <v>1.53</v>
      </c>
      <c r="G19" s="85">
        <v>211.74</v>
      </c>
      <c r="H19" s="86">
        <f t="shared" si="0"/>
        <v>0.32396219999999998</v>
      </c>
      <c r="I19" s="13">
        <f>F19/2*G19</f>
        <v>161.9811</v>
      </c>
      <c r="J19" s="22"/>
      <c r="K19" s="8"/>
      <c r="L19" s="8"/>
      <c r="M19" s="8"/>
    </row>
    <row r="20" spans="1:13" ht="15.75" hidden="1" customHeight="1">
      <c r="A20" s="29">
        <v>4</v>
      </c>
      <c r="B20" s="82" t="s">
        <v>96</v>
      </c>
      <c r="C20" s="83" t="s">
        <v>92</v>
      </c>
      <c r="D20" s="82" t="s">
        <v>41</v>
      </c>
      <c r="E20" s="84">
        <v>19.62</v>
      </c>
      <c r="F20" s="85">
        <f>SUM(E20*2/100)</f>
        <v>0.39240000000000003</v>
      </c>
      <c r="G20" s="85">
        <v>271.12</v>
      </c>
      <c r="H20" s="86">
        <f t="shared" si="0"/>
        <v>0.106387488</v>
      </c>
      <c r="I20" s="13">
        <f>F20/2*G20</f>
        <v>53.193744000000002</v>
      </c>
      <c r="J20" s="22"/>
      <c r="K20" s="8"/>
      <c r="L20" s="8"/>
      <c r="M20" s="8"/>
    </row>
    <row r="21" spans="1:13" ht="15.75" hidden="1" customHeight="1">
      <c r="A21" s="29">
        <v>5</v>
      </c>
      <c r="B21" s="82" t="s">
        <v>97</v>
      </c>
      <c r="C21" s="83" t="s">
        <v>92</v>
      </c>
      <c r="D21" s="82" t="s">
        <v>41</v>
      </c>
      <c r="E21" s="84">
        <v>8.68</v>
      </c>
      <c r="F21" s="85">
        <f>SUM(E21*2/100)</f>
        <v>0.1736</v>
      </c>
      <c r="G21" s="85">
        <v>268.92</v>
      </c>
      <c r="H21" s="86">
        <f t="shared" si="0"/>
        <v>4.6684512000000004E-2</v>
      </c>
      <c r="I21" s="13">
        <f>F21/2*G21</f>
        <v>23.342256000000003</v>
      </c>
      <c r="J21" s="22"/>
      <c r="K21" s="8"/>
      <c r="L21" s="8"/>
      <c r="M21" s="8"/>
    </row>
    <row r="22" spans="1:13" ht="15.75" hidden="1" customHeight="1">
      <c r="A22" s="29">
        <v>7</v>
      </c>
      <c r="B22" s="82" t="s">
        <v>98</v>
      </c>
      <c r="C22" s="83" t="s">
        <v>52</v>
      </c>
      <c r="D22" s="82" t="s">
        <v>94</v>
      </c>
      <c r="E22" s="84">
        <v>215</v>
      </c>
      <c r="F22" s="85">
        <f>SUM(E22/100)</f>
        <v>2.15</v>
      </c>
      <c r="G22" s="85">
        <v>335.05</v>
      </c>
      <c r="H22" s="86">
        <f t="shared" si="0"/>
        <v>0.72035749999999998</v>
      </c>
      <c r="I22" s="13">
        <f>F22*G22</f>
        <v>720.35749999999996</v>
      </c>
      <c r="J22" s="22"/>
      <c r="K22" s="8"/>
      <c r="L22" s="8"/>
      <c r="M22" s="8"/>
    </row>
    <row r="23" spans="1:13" ht="15.75" hidden="1" customHeight="1">
      <c r="A23" s="29">
        <v>8</v>
      </c>
      <c r="B23" s="82" t="s">
        <v>99</v>
      </c>
      <c r="C23" s="83" t="s">
        <v>52</v>
      </c>
      <c r="D23" s="82" t="s">
        <v>94</v>
      </c>
      <c r="E23" s="87">
        <v>17.64</v>
      </c>
      <c r="F23" s="85">
        <f>SUM(E23/100)</f>
        <v>0.1764</v>
      </c>
      <c r="G23" s="85">
        <v>55.1</v>
      </c>
      <c r="H23" s="86">
        <f t="shared" si="0"/>
        <v>9.7196399999999999E-3</v>
      </c>
      <c r="I23" s="13">
        <f>F23*G23</f>
        <v>9.7196400000000001</v>
      </c>
      <c r="J23" s="22"/>
      <c r="K23" s="8"/>
      <c r="L23" s="8"/>
      <c r="M23" s="8"/>
    </row>
    <row r="24" spans="1:13" ht="15.75" hidden="1" customHeight="1">
      <c r="A24" s="29">
        <v>9</v>
      </c>
      <c r="B24" s="82" t="s">
        <v>95</v>
      </c>
      <c r="C24" s="83" t="s">
        <v>52</v>
      </c>
      <c r="D24" s="82" t="s">
        <v>94</v>
      </c>
      <c r="E24" s="18">
        <v>4.5</v>
      </c>
      <c r="F24" s="88">
        <v>0.05</v>
      </c>
      <c r="G24" s="85">
        <v>484.94</v>
      </c>
      <c r="H24" s="86">
        <f>F24*G24/1000</f>
        <v>2.4247000000000001E-2</v>
      </c>
      <c r="I24" s="13">
        <f>F24*G24</f>
        <v>24.247</v>
      </c>
      <c r="J24" s="22"/>
      <c r="K24" s="8"/>
      <c r="L24" s="8"/>
      <c r="M24" s="8"/>
    </row>
    <row r="25" spans="1:13" ht="15.75" hidden="1" customHeight="1">
      <c r="A25" s="29">
        <v>10</v>
      </c>
      <c r="B25" s="82" t="s">
        <v>130</v>
      </c>
      <c r="C25" s="83" t="s">
        <v>52</v>
      </c>
      <c r="D25" s="82" t="s">
        <v>94</v>
      </c>
      <c r="E25" s="87">
        <v>9.4499999999999993</v>
      </c>
      <c r="F25" s="85">
        <v>0.09</v>
      </c>
      <c r="G25" s="85">
        <v>268.92</v>
      </c>
      <c r="H25" s="86">
        <f>F25*G25/1000</f>
        <v>2.42028E-2</v>
      </c>
      <c r="I25" s="13">
        <f>F25*G25</f>
        <v>24.2028</v>
      </c>
      <c r="J25" s="22"/>
      <c r="K25" s="8"/>
      <c r="L25" s="8"/>
      <c r="M25" s="8"/>
    </row>
    <row r="26" spans="1:13" ht="15.75" hidden="1" customHeight="1">
      <c r="A26" s="29">
        <v>11</v>
      </c>
      <c r="B26" s="82" t="s">
        <v>100</v>
      </c>
      <c r="C26" s="83" t="s">
        <v>52</v>
      </c>
      <c r="D26" s="82" t="s">
        <v>94</v>
      </c>
      <c r="E26" s="84">
        <v>14.4</v>
      </c>
      <c r="F26" s="85">
        <f>SUM(E26/100)</f>
        <v>0.14400000000000002</v>
      </c>
      <c r="G26" s="85">
        <v>648.04999999999995</v>
      </c>
      <c r="H26" s="86">
        <f t="shared" si="0"/>
        <v>9.3319200000000005E-2</v>
      </c>
      <c r="I26" s="13">
        <f>F26*G26</f>
        <v>93.319200000000009</v>
      </c>
      <c r="J26" s="22"/>
      <c r="K26" s="8"/>
      <c r="L26" s="8"/>
      <c r="M26" s="8"/>
    </row>
    <row r="27" spans="1:13" ht="15.75" customHeight="1">
      <c r="A27" s="29">
        <v>4</v>
      </c>
      <c r="B27" s="82" t="s">
        <v>63</v>
      </c>
      <c r="C27" s="83" t="s">
        <v>31</v>
      </c>
      <c r="D27" s="82"/>
      <c r="E27" s="84">
        <v>0.1</v>
      </c>
      <c r="F27" s="85">
        <f>SUM(E27*365)</f>
        <v>36.5</v>
      </c>
      <c r="G27" s="85">
        <v>182.96</v>
      </c>
      <c r="H27" s="86">
        <f>SUM(F27*G27/1000)</f>
        <v>6.6780400000000002</v>
      </c>
      <c r="I27" s="13">
        <f>F27/12*G27</f>
        <v>556.50333333333333</v>
      </c>
      <c r="J27" s="22"/>
      <c r="K27" s="8"/>
      <c r="L27" s="8"/>
      <c r="M27" s="8"/>
    </row>
    <row r="28" spans="1:13" ht="15.75" customHeight="1">
      <c r="A28" s="29">
        <v>5</v>
      </c>
      <c r="B28" s="89" t="s">
        <v>23</v>
      </c>
      <c r="C28" s="83" t="s">
        <v>24</v>
      </c>
      <c r="D28" s="82"/>
      <c r="E28" s="84">
        <v>1839.1</v>
      </c>
      <c r="F28" s="85">
        <f>SUM(E28*12)</f>
        <v>22069.199999999997</v>
      </c>
      <c r="G28" s="85">
        <v>4.58</v>
      </c>
      <c r="H28" s="86">
        <f>SUM(F28*G28/1000)</f>
        <v>101.07693599999999</v>
      </c>
      <c r="I28" s="13">
        <f>F28/12*G28</f>
        <v>8423.0779999999995</v>
      </c>
      <c r="J28" s="22"/>
      <c r="K28" s="8"/>
      <c r="L28" s="8"/>
      <c r="M28" s="8"/>
    </row>
    <row r="29" spans="1:13" ht="15.75" customHeight="1">
      <c r="A29" s="143" t="s">
        <v>81</v>
      </c>
      <c r="B29" s="143"/>
      <c r="C29" s="143"/>
      <c r="D29" s="143"/>
      <c r="E29" s="143"/>
      <c r="F29" s="143"/>
      <c r="G29" s="143"/>
      <c r="H29" s="143"/>
      <c r="I29" s="143"/>
      <c r="J29" s="22"/>
      <c r="K29" s="8"/>
      <c r="L29" s="8"/>
      <c r="M29" s="8"/>
    </row>
    <row r="30" spans="1:13" ht="15.75" customHeight="1">
      <c r="A30" s="41"/>
      <c r="B30" s="51" t="s">
        <v>27</v>
      </c>
      <c r="C30" s="51"/>
      <c r="D30" s="51"/>
      <c r="E30" s="51"/>
      <c r="F30" s="51"/>
      <c r="G30" s="51"/>
      <c r="H30" s="51"/>
      <c r="I30" s="18"/>
      <c r="J30" s="22"/>
      <c r="K30" s="8"/>
      <c r="L30" s="8"/>
      <c r="M30" s="8"/>
    </row>
    <row r="31" spans="1:13" ht="15.75" customHeight="1">
      <c r="A31" s="41">
        <v>6</v>
      </c>
      <c r="B31" s="32" t="s">
        <v>101</v>
      </c>
      <c r="C31" s="83" t="s">
        <v>102</v>
      </c>
      <c r="D31" s="82" t="s">
        <v>103</v>
      </c>
      <c r="E31" s="85">
        <v>58</v>
      </c>
      <c r="F31" s="85">
        <f>SUM(E31*52/1000)</f>
        <v>3.016</v>
      </c>
      <c r="G31" s="85">
        <v>193.97</v>
      </c>
      <c r="H31" s="86">
        <f>SUM(F31*G31/1000)</f>
        <v>0.58501351999999995</v>
      </c>
      <c r="I31" s="13">
        <f>F31/6*G31</f>
        <v>97.502253333333343</v>
      </c>
      <c r="J31" s="22"/>
      <c r="K31" s="8"/>
      <c r="L31" s="8"/>
      <c r="M31" s="8"/>
    </row>
    <row r="32" spans="1:13" ht="31.5" customHeight="1">
      <c r="A32" s="41">
        <v>7</v>
      </c>
      <c r="B32" s="32" t="s">
        <v>104</v>
      </c>
      <c r="C32" s="83" t="s">
        <v>102</v>
      </c>
      <c r="D32" s="82" t="s">
        <v>105</v>
      </c>
      <c r="E32" s="85">
        <v>48.3</v>
      </c>
      <c r="F32" s="85">
        <f>SUM(E32*78/1000)</f>
        <v>3.7673999999999994</v>
      </c>
      <c r="G32" s="85">
        <v>321.82</v>
      </c>
      <c r="H32" s="86">
        <f>SUM(F32*G32/1000)</f>
        <v>1.2124246679999999</v>
      </c>
      <c r="I32" s="13">
        <f>F32/6*G32</f>
        <v>202.07077799999996</v>
      </c>
      <c r="J32" s="22"/>
      <c r="K32" s="8"/>
      <c r="L32" s="8"/>
      <c r="M32" s="8"/>
    </row>
    <row r="33" spans="1:14" ht="15.75" hidden="1" customHeight="1">
      <c r="A33" s="41">
        <v>16</v>
      </c>
      <c r="B33" s="32" t="s">
        <v>26</v>
      </c>
      <c r="C33" s="83" t="s">
        <v>102</v>
      </c>
      <c r="D33" s="82" t="s">
        <v>53</v>
      </c>
      <c r="E33" s="85">
        <v>58</v>
      </c>
      <c r="F33" s="85">
        <f>SUM(E33/1000)</f>
        <v>5.8000000000000003E-2</v>
      </c>
      <c r="G33" s="85">
        <v>3758.28</v>
      </c>
      <c r="H33" s="86">
        <f>SUM(F33*G33/1000)</f>
        <v>0.21798024000000002</v>
      </c>
      <c r="I33" s="13">
        <f>F33*G33</f>
        <v>217.98024000000001</v>
      </c>
      <c r="J33" s="22"/>
      <c r="K33" s="8"/>
      <c r="L33" s="8"/>
      <c r="M33" s="8"/>
    </row>
    <row r="34" spans="1:14" ht="15.75" customHeight="1">
      <c r="A34" s="41">
        <v>8</v>
      </c>
      <c r="B34" s="32" t="s">
        <v>106</v>
      </c>
      <c r="C34" s="83" t="s">
        <v>39</v>
      </c>
      <c r="D34" s="82" t="s">
        <v>62</v>
      </c>
      <c r="E34" s="85">
        <v>1</v>
      </c>
      <c r="F34" s="85">
        <f>E34*155/100</f>
        <v>1.55</v>
      </c>
      <c r="G34" s="85">
        <v>1620.15</v>
      </c>
      <c r="H34" s="86">
        <f>SUM(F34*G34/1000)</f>
        <v>2.5112325000000002</v>
      </c>
      <c r="I34" s="13">
        <f>F34/6*G34</f>
        <v>418.53875000000005</v>
      </c>
      <c r="J34" s="22"/>
      <c r="K34" s="8"/>
    </row>
    <row r="35" spans="1:14" ht="15.75" customHeight="1">
      <c r="A35" s="41">
        <v>9</v>
      </c>
      <c r="B35" s="32" t="s">
        <v>107</v>
      </c>
      <c r="C35" s="83" t="s">
        <v>29</v>
      </c>
      <c r="D35" s="82" t="s">
        <v>62</v>
      </c>
      <c r="E35" s="90">
        <f>1/3</f>
        <v>0.33333333333333331</v>
      </c>
      <c r="F35" s="85">
        <f>155/3</f>
        <v>51.666666666666664</v>
      </c>
      <c r="G35" s="85">
        <v>70.540000000000006</v>
      </c>
      <c r="H35" s="86">
        <f>SUM(G35*155/3/1000)</f>
        <v>3.644566666666667</v>
      </c>
      <c r="I35" s="13">
        <f>F35/6*G35</f>
        <v>607.42777777777781</v>
      </c>
      <c r="J35" s="23"/>
    </row>
    <row r="36" spans="1:14" ht="15.75" hidden="1" customHeight="1">
      <c r="A36" s="41">
        <v>4</v>
      </c>
      <c r="B36" s="82" t="s">
        <v>64</v>
      </c>
      <c r="C36" s="83" t="s">
        <v>31</v>
      </c>
      <c r="D36" s="82" t="s">
        <v>66</v>
      </c>
      <c r="E36" s="84"/>
      <c r="F36" s="85">
        <v>1</v>
      </c>
      <c r="G36" s="85">
        <v>238.07</v>
      </c>
      <c r="H36" s="86">
        <f>SUM(F36*G36/1000)</f>
        <v>0.23807</v>
      </c>
      <c r="I36" s="13">
        <v>0</v>
      </c>
      <c r="J36" s="23"/>
    </row>
    <row r="37" spans="1:14" ht="15.75" hidden="1" customHeight="1">
      <c r="A37" s="29">
        <v>8</v>
      </c>
      <c r="B37" s="82" t="s">
        <v>65</v>
      </c>
      <c r="C37" s="83" t="s">
        <v>30</v>
      </c>
      <c r="D37" s="82" t="s">
        <v>66</v>
      </c>
      <c r="E37" s="84"/>
      <c r="F37" s="85">
        <v>1</v>
      </c>
      <c r="G37" s="85">
        <v>1413.96</v>
      </c>
      <c r="H37" s="86">
        <f>SUM(F37*G37/1000)</f>
        <v>1.4139600000000001</v>
      </c>
      <c r="I37" s="13">
        <v>0</v>
      </c>
      <c r="J37" s="23"/>
    </row>
    <row r="38" spans="1:14" ht="15.75" hidden="1" customHeight="1">
      <c r="A38" s="41"/>
      <c r="B38" s="49" t="s">
        <v>5</v>
      </c>
      <c r="C38" s="49"/>
      <c r="D38" s="49"/>
      <c r="E38" s="13"/>
      <c r="F38" s="13"/>
      <c r="G38" s="14"/>
      <c r="H38" s="14"/>
      <c r="I38" s="18"/>
      <c r="J38" s="23"/>
    </row>
    <row r="39" spans="1:14" ht="15.75" hidden="1" customHeight="1">
      <c r="A39" s="33">
        <v>6</v>
      </c>
      <c r="B39" s="82" t="s">
        <v>25</v>
      </c>
      <c r="C39" s="83" t="s">
        <v>30</v>
      </c>
      <c r="D39" s="82"/>
      <c r="E39" s="84"/>
      <c r="F39" s="85">
        <v>2</v>
      </c>
      <c r="G39" s="85">
        <v>1900.37</v>
      </c>
      <c r="H39" s="86">
        <f t="shared" ref="H39:H44" si="1">SUM(F39*G39/1000)</f>
        <v>3.8007399999999998</v>
      </c>
      <c r="I39" s="13">
        <f t="shared" ref="I39:I44" si="2">F39/6*G39</f>
        <v>633.45666666666659</v>
      </c>
      <c r="J39" s="23"/>
    </row>
    <row r="40" spans="1:14" ht="15.75" hidden="1" customHeight="1">
      <c r="A40" s="33">
        <v>7</v>
      </c>
      <c r="B40" s="82" t="s">
        <v>67</v>
      </c>
      <c r="C40" s="83" t="s">
        <v>28</v>
      </c>
      <c r="D40" s="82" t="s">
        <v>108</v>
      </c>
      <c r="E40" s="85">
        <v>48.3</v>
      </c>
      <c r="F40" s="85">
        <f>SUM(E40*30/1000)</f>
        <v>1.4490000000000001</v>
      </c>
      <c r="G40" s="85">
        <v>2616.4899999999998</v>
      </c>
      <c r="H40" s="86">
        <f t="shared" si="1"/>
        <v>3.7912940100000001</v>
      </c>
      <c r="I40" s="13">
        <f t="shared" si="2"/>
        <v>631.88233500000001</v>
      </c>
      <c r="J40" s="23"/>
    </row>
    <row r="41" spans="1:14" ht="15.75" hidden="1" customHeight="1">
      <c r="A41" s="33">
        <v>8</v>
      </c>
      <c r="B41" s="82" t="s">
        <v>68</v>
      </c>
      <c r="C41" s="83" t="s">
        <v>28</v>
      </c>
      <c r="D41" s="82" t="s">
        <v>109</v>
      </c>
      <c r="E41" s="85">
        <v>48.3</v>
      </c>
      <c r="F41" s="85">
        <f>SUM(E41*155/1000)</f>
        <v>7.4865000000000004</v>
      </c>
      <c r="G41" s="85">
        <v>436.45</v>
      </c>
      <c r="H41" s="86">
        <f t="shared" si="1"/>
        <v>3.2674829250000004</v>
      </c>
      <c r="I41" s="13">
        <f t="shared" si="2"/>
        <v>544.5804875</v>
      </c>
      <c r="J41" s="23"/>
    </row>
    <row r="42" spans="1:14" ht="47.25" hidden="1" customHeight="1">
      <c r="A42" s="33">
        <v>9</v>
      </c>
      <c r="B42" s="82" t="s">
        <v>80</v>
      </c>
      <c r="C42" s="83" t="s">
        <v>102</v>
      </c>
      <c r="D42" s="82" t="s">
        <v>110</v>
      </c>
      <c r="E42" s="85">
        <f>E40</f>
        <v>48.3</v>
      </c>
      <c r="F42" s="85">
        <f>SUM(E42*35/1000)</f>
        <v>1.6904999999999999</v>
      </c>
      <c r="G42" s="85">
        <v>7221.21</v>
      </c>
      <c r="H42" s="86">
        <f t="shared" si="1"/>
        <v>12.207455505</v>
      </c>
      <c r="I42" s="13">
        <f t="shared" si="2"/>
        <v>2034.5759175000001</v>
      </c>
      <c r="J42" s="23"/>
      <c r="L42" s="19"/>
      <c r="M42" s="20"/>
      <c r="N42" s="21"/>
    </row>
    <row r="43" spans="1:14" ht="15.75" hidden="1" customHeight="1">
      <c r="A43" s="33">
        <v>10</v>
      </c>
      <c r="B43" s="82" t="s">
        <v>111</v>
      </c>
      <c r="C43" s="83" t="s">
        <v>102</v>
      </c>
      <c r="D43" s="82" t="s">
        <v>112</v>
      </c>
      <c r="E43" s="85">
        <f>E40</f>
        <v>48.3</v>
      </c>
      <c r="F43" s="85">
        <f>SUM(E43*20/1000)</f>
        <v>0.96599999999999997</v>
      </c>
      <c r="G43" s="85">
        <v>533.45000000000005</v>
      </c>
      <c r="H43" s="86">
        <f t="shared" si="1"/>
        <v>0.51531270000000007</v>
      </c>
      <c r="I43" s="13">
        <f t="shared" si="2"/>
        <v>85.885450000000006</v>
      </c>
      <c r="J43" s="23"/>
      <c r="L43" s="19"/>
      <c r="M43" s="20"/>
      <c r="N43" s="21"/>
    </row>
    <row r="44" spans="1:14" ht="15.75" hidden="1" customHeight="1">
      <c r="A44" s="33">
        <v>11</v>
      </c>
      <c r="B44" s="82" t="s">
        <v>69</v>
      </c>
      <c r="C44" s="83" t="s">
        <v>31</v>
      </c>
      <c r="D44" s="82"/>
      <c r="E44" s="84"/>
      <c r="F44" s="85">
        <v>0.5</v>
      </c>
      <c r="G44" s="85">
        <v>992.97</v>
      </c>
      <c r="H44" s="86">
        <f t="shared" si="1"/>
        <v>0.49648500000000001</v>
      </c>
      <c r="I44" s="13">
        <f t="shared" si="2"/>
        <v>82.747500000000002</v>
      </c>
      <c r="J44" s="23"/>
      <c r="L44" s="19"/>
      <c r="M44" s="20"/>
      <c r="N44" s="21"/>
    </row>
    <row r="45" spans="1:14" ht="15.75" customHeight="1">
      <c r="A45" s="144" t="s">
        <v>137</v>
      </c>
      <c r="B45" s="145"/>
      <c r="C45" s="145"/>
      <c r="D45" s="145"/>
      <c r="E45" s="145"/>
      <c r="F45" s="145"/>
      <c r="G45" s="145"/>
      <c r="H45" s="145"/>
      <c r="I45" s="146"/>
      <c r="J45" s="23"/>
      <c r="L45" s="19"/>
      <c r="M45" s="20"/>
      <c r="N45" s="21"/>
    </row>
    <row r="46" spans="1:14" ht="15.75" hidden="1" customHeight="1">
      <c r="A46" s="41">
        <v>12</v>
      </c>
      <c r="B46" s="82" t="s">
        <v>113</v>
      </c>
      <c r="C46" s="83" t="s">
        <v>102</v>
      </c>
      <c r="D46" s="82" t="s">
        <v>41</v>
      </c>
      <c r="E46" s="84">
        <v>1044.7</v>
      </c>
      <c r="F46" s="85">
        <f>SUM(E46*2/1000)</f>
        <v>2.0893999999999999</v>
      </c>
      <c r="G46" s="13">
        <v>1283.46</v>
      </c>
      <c r="H46" s="86">
        <f t="shared" ref="H46:H56" si="3">SUM(F46*G46/1000)</f>
        <v>2.6816613240000002</v>
      </c>
      <c r="I46" s="13">
        <f t="shared" ref="I46:I49" si="4">F46/2*G46</f>
        <v>1340.8306620000001</v>
      </c>
      <c r="J46" s="23"/>
      <c r="L46" s="19"/>
      <c r="M46" s="20"/>
      <c r="N46" s="21"/>
    </row>
    <row r="47" spans="1:14" ht="15.75" hidden="1" customHeight="1">
      <c r="A47" s="41">
        <v>13</v>
      </c>
      <c r="B47" s="82" t="s">
        <v>34</v>
      </c>
      <c r="C47" s="83" t="s">
        <v>102</v>
      </c>
      <c r="D47" s="82" t="s">
        <v>41</v>
      </c>
      <c r="E47" s="84">
        <v>19.8</v>
      </c>
      <c r="F47" s="85">
        <f>SUM(E47*2/1000)</f>
        <v>3.9600000000000003E-2</v>
      </c>
      <c r="G47" s="13">
        <v>4192.6400000000003</v>
      </c>
      <c r="H47" s="86">
        <f t="shared" si="3"/>
        <v>0.16602854400000003</v>
      </c>
      <c r="I47" s="13">
        <f t="shared" si="4"/>
        <v>83.01427200000002</v>
      </c>
      <c r="J47" s="23"/>
      <c r="L47" s="19"/>
      <c r="M47" s="20"/>
      <c r="N47" s="21"/>
    </row>
    <row r="48" spans="1:14" ht="15.75" hidden="1" customHeight="1">
      <c r="A48" s="41">
        <v>14</v>
      </c>
      <c r="B48" s="82" t="s">
        <v>35</v>
      </c>
      <c r="C48" s="83" t="s">
        <v>102</v>
      </c>
      <c r="D48" s="82" t="s">
        <v>41</v>
      </c>
      <c r="E48" s="84">
        <v>660.84</v>
      </c>
      <c r="F48" s="85">
        <f>SUM(E48*2/1000)</f>
        <v>1.32168</v>
      </c>
      <c r="G48" s="13">
        <v>1711.28</v>
      </c>
      <c r="H48" s="86">
        <f t="shared" si="3"/>
        <v>2.2617645503999997</v>
      </c>
      <c r="I48" s="13">
        <f t="shared" si="4"/>
        <v>1130.8822751999999</v>
      </c>
      <c r="J48" s="23"/>
      <c r="L48" s="19"/>
      <c r="M48" s="20"/>
      <c r="N48" s="21"/>
    </row>
    <row r="49" spans="1:14" ht="15.75" hidden="1" customHeight="1">
      <c r="A49" s="41">
        <v>15</v>
      </c>
      <c r="B49" s="82" t="s">
        <v>36</v>
      </c>
      <c r="C49" s="83" t="s">
        <v>102</v>
      </c>
      <c r="D49" s="82" t="s">
        <v>41</v>
      </c>
      <c r="E49" s="84">
        <v>1156.21</v>
      </c>
      <c r="F49" s="85">
        <f>SUM(E49*2/1000)</f>
        <v>2.3124199999999999</v>
      </c>
      <c r="G49" s="13">
        <v>1179.73</v>
      </c>
      <c r="H49" s="86">
        <f t="shared" si="3"/>
        <v>2.7280312466000001</v>
      </c>
      <c r="I49" s="13">
        <f t="shared" si="4"/>
        <v>1364.0156233</v>
      </c>
      <c r="J49" s="23"/>
      <c r="L49" s="19"/>
      <c r="M49" s="20"/>
      <c r="N49" s="21"/>
    </row>
    <row r="50" spans="1:14" ht="15.75" hidden="1" customHeight="1">
      <c r="A50" s="41">
        <v>16</v>
      </c>
      <c r="B50" s="82" t="s">
        <v>32</v>
      </c>
      <c r="C50" s="83" t="s">
        <v>33</v>
      </c>
      <c r="D50" s="82" t="s">
        <v>144</v>
      </c>
      <c r="E50" s="84">
        <v>17.2</v>
      </c>
      <c r="F50" s="85">
        <f>SUM(E50*2/100)</f>
        <v>0.34399999999999997</v>
      </c>
      <c r="G50" s="13">
        <v>90.61</v>
      </c>
      <c r="H50" s="86">
        <f t="shared" si="3"/>
        <v>3.1169839999999997E-2</v>
      </c>
      <c r="I50" s="13">
        <f>F50/2*G50</f>
        <v>15.584919999999999</v>
      </c>
      <c r="J50" s="23"/>
      <c r="L50" s="19"/>
      <c r="M50" s="20"/>
      <c r="N50" s="21"/>
    </row>
    <row r="51" spans="1:14" ht="15.75" hidden="1" customHeight="1">
      <c r="A51" s="41">
        <v>17</v>
      </c>
      <c r="B51" s="82" t="s">
        <v>55</v>
      </c>
      <c r="C51" s="83" t="s">
        <v>102</v>
      </c>
      <c r="D51" s="82" t="s">
        <v>146</v>
      </c>
      <c r="E51" s="84">
        <v>1839.1</v>
      </c>
      <c r="F51" s="85">
        <f>SUM(E51*5/1000)</f>
        <v>9.1954999999999991</v>
      </c>
      <c r="G51" s="13">
        <v>1711.28</v>
      </c>
      <c r="H51" s="86">
        <f t="shared" si="3"/>
        <v>15.736075239999998</v>
      </c>
      <c r="I51" s="13">
        <f>F51/5*G51</f>
        <v>3147.2150479999996</v>
      </c>
      <c r="J51" s="23"/>
      <c r="L51" s="19"/>
      <c r="M51" s="20"/>
      <c r="N51" s="21"/>
    </row>
    <row r="52" spans="1:14" ht="31.5" customHeight="1">
      <c r="A52" s="41">
        <v>10</v>
      </c>
      <c r="B52" s="82" t="s">
        <v>114</v>
      </c>
      <c r="C52" s="83" t="s">
        <v>102</v>
      </c>
      <c r="D52" s="82" t="s">
        <v>41</v>
      </c>
      <c r="E52" s="84">
        <f>E51</f>
        <v>1839.1</v>
      </c>
      <c r="F52" s="85">
        <f>SUM(E52*2/1000)</f>
        <v>3.6781999999999999</v>
      </c>
      <c r="G52" s="13">
        <v>1510.06</v>
      </c>
      <c r="H52" s="86">
        <f t="shared" si="3"/>
        <v>5.5543026919999994</v>
      </c>
      <c r="I52" s="13">
        <f>F52/2*G52</f>
        <v>2777.1513459999996</v>
      </c>
      <c r="J52" s="23"/>
      <c r="L52" s="19"/>
      <c r="M52" s="20"/>
      <c r="N52" s="21"/>
    </row>
    <row r="53" spans="1:14" ht="31.5" customHeight="1">
      <c r="A53" s="41">
        <v>11</v>
      </c>
      <c r="B53" s="82" t="s">
        <v>115</v>
      </c>
      <c r="C53" s="83" t="s">
        <v>37</v>
      </c>
      <c r="D53" s="82" t="s">
        <v>41</v>
      </c>
      <c r="E53" s="84">
        <v>9</v>
      </c>
      <c r="F53" s="85">
        <f>SUM(E53*2/100)</f>
        <v>0.18</v>
      </c>
      <c r="G53" s="13">
        <v>3850.4</v>
      </c>
      <c r="H53" s="86">
        <f t="shared" si="3"/>
        <v>0.69307200000000002</v>
      </c>
      <c r="I53" s="13">
        <f t="shared" ref="I53:I54" si="5">F53/2*G53</f>
        <v>346.536</v>
      </c>
      <c r="J53" s="23"/>
      <c r="L53" s="19"/>
      <c r="M53" s="20"/>
      <c r="N53" s="21"/>
    </row>
    <row r="54" spans="1:14" ht="15.75" customHeight="1">
      <c r="A54" s="41">
        <v>12</v>
      </c>
      <c r="B54" s="82" t="s">
        <v>38</v>
      </c>
      <c r="C54" s="83" t="s">
        <v>39</v>
      </c>
      <c r="D54" s="82" t="s">
        <v>41</v>
      </c>
      <c r="E54" s="84">
        <v>1</v>
      </c>
      <c r="F54" s="85">
        <v>0.02</v>
      </c>
      <c r="G54" s="13">
        <v>7033.13</v>
      </c>
      <c r="H54" s="86">
        <f t="shared" si="3"/>
        <v>0.1406626</v>
      </c>
      <c r="I54" s="13">
        <f t="shared" si="5"/>
        <v>70.331299999999999</v>
      </c>
      <c r="J54" s="23"/>
      <c r="L54" s="19"/>
      <c r="M54" s="20"/>
      <c r="N54" s="21"/>
    </row>
    <row r="55" spans="1:14" ht="15.75" customHeight="1">
      <c r="A55" s="41">
        <v>13</v>
      </c>
      <c r="B55" s="82" t="s">
        <v>145</v>
      </c>
      <c r="C55" s="83" t="s">
        <v>29</v>
      </c>
      <c r="D55" s="82" t="s">
        <v>70</v>
      </c>
      <c r="E55" s="84">
        <v>36</v>
      </c>
      <c r="F55" s="85">
        <f>E55*3</f>
        <v>108</v>
      </c>
      <c r="G55" s="13">
        <v>175.6</v>
      </c>
      <c r="H55" s="86">
        <f t="shared" si="3"/>
        <v>18.9648</v>
      </c>
      <c r="I55" s="13">
        <f>E55*G55</f>
        <v>6321.5999999999995</v>
      </c>
      <c r="J55" s="23"/>
      <c r="L55" s="19"/>
      <c r="M55" s="20"/>
      <c r="N55" s="21"/>
    </row>
    <row r="56" spans="1:14" ht="15.75" customHeight="1">
      <c r="A56" s="41">
        <v>14</v>
      </c>
      <c r="B56" s="82" t="s">
        <v>40</v>
      </c>
      <c r="C56" s="83" t="s">
        <v>29</v>
      </c>
      <c r="D56" s="82" t="s">
        <v>70</v>
      </c>
      <c r="E56" s="84">
        <v>36</v>
      </c>
      <c r="F56" s="85">
        <f>E56*3</f>
        <v>108</v>
      </c>
      <c r="G56" s="13">
        <v>81.73</v>
      </c>
      <c r="H56" s="86">
        <f t="shared" si="3"/>
        <v>8.8268400000000007</v>
      </c>
      <c r="I56" s="13">
        <f>E56*G56</f>
        <v>2942.28</v>
      </c>
      <c r="J56" s="23"/>
      <c r="L56" s="19"/>
      <c r="M56" s="20"/>
      <c r="N56" s="21"/>
    </row>
    <row r="57" spans="1:14" ht="15.75" customHeight="1">
      <c r="A57" s="144" t="s">
        <v>138</v>
      </c>
      <c r="B57" s="145"/>
      <c r="C57" s="145"/>
      <c r="D57" s="145"/>
      <c r="E57" s="145"/>
      <c r="F57" s="145"/>
      <c r="G57" s="145"/>
      <c r="H57" s="145"/>
      <c r="I57" s="146"/>
      <c r="J57" s="23"/>
      <c r="L57" s="19"/>
      <c r="M57" s="20"/>
      <c r="N57" s="21"/>
    </row>
    <row r="58" spans="1:14" ht="15.75" hidden="1" customHeight="1">
      <c r="A58" s="81"/>
      <c r="B58" s="48" t="s">
        <v>42</v>
      </c>
      <c r="C58" s="16"/>
      <c r="D58" s="15"/>
      <c r="E58" s="15"/>
      <c r="F58" s="15"/>
      <c r="G58" s="29"/>
      <c r="H58" s="29"/>
      <c r="I58" s="18"/>
      <c r="J58" s="23"/>
      <c r="L58" s="19"/>
      <c r="M58" s="20"/>
      <c r="N58" s="21"/>
    </row>
    <row r="59" spans="1:14" ht="31.5" hidden="1" customHeight="1">
      <c r="A59" s="41">
        <v>12</v>
      </c>
      <c r="B59" s="82" t="s">
        <v>117</v>
      </c>
      <c r="C59" s="83" t="s">
        <v>147</v>
      </c>
      <c r="D59" s="82" t="s">
        <v>71</v>
      </c>
      <c r="E59" s="84">
        <v>12.5</v>
      </c>
      <c r="F59" s="85">
        <f>E59*6/100</f>
        <v>0.75</v>
      </c>
      <c r="G59" s="91">
        <v>2306.62</v>
      </c>
      <c r="H59" s="86">
        <f>F59*G59/1000</f>
        <v>1.729965</v>
      </c>
      <c r="I59" s="13">
        <f>F59/6*G59</f>
        <v>288.32749999999999</v>
      </c>
      <c r="J59" s="23"/>
      <c r="L59" s="19"/>
      <c r="M59" s="20"/>
      <c r="N59" s="21"/>
    </row>
    <row r="60" spans="1:14" ht="15.75" hidden="1" customHeight="1">
      <c r="A60" s="41">
        <v>13</v>
      </c>
      <c r="B60" s="92" t="s">
        <v>84</v>
      </c>
      <c r="C60" s="93" t="s">
        <v>118</v>
      </c>
      <c r="D60" s="37" t="s">
        <v>66</v>
      </c>
      <c r="E60" s="94"/>
      <c r="F60" s="95">
        <v>2</v>
      </c>
      <c r="G60" s="96">
        <v>1501</v>
      </c>
      <c r="H60" s="86">
        <f>F60*G60/1000</f>
        <v>3.0019999999999998</v>
      </c>
      <c r="I60" s="13">
        <f>G60*0.5</f>
        <v>750.5</v>
      </c>
      <c r="J60" s="23"/>
      <c r="L60" s="19"/>
      <c r="M60" s="20"/>
      <c r="N60" s="21"/>
    </row>
    <row r="61" spans="1:14" ht="15.75" hidden="1" customHeight="1">
      <c r="A61" s="41"/>
      <c r="B61" s="75" t="s">
        <v>43</v>
      </c>
      <c r="C61" s="75"/>
      <c r="D61" s="75"/>
      <c r="E61" s="75"/>
      <c r="F61" s="76"/>
      <c r="G61" s="63"/>
      <c r="H61" s="63"/>
      <c r="I61" s="35"/>
      <c r="J61" s="23"/>
      <c r="L61" s="19"/>
      <c r="M61" s="20"/>
      <c r="N61" s="21"/>
    </row>
    <row r="62" spans="1:14" ht="15.75" hidden="1" customHeight="1">
      <c r="A62" s="41">
        <v>27</v>
      </c>
      <c r="B62" s="92" t="s">
        <v>44</v>
      </c>
      <c r="C62" s="93" t="s">
        <v>52</v>
      </c>
      <c r="D62" s="92" t="s">
        <v>53</v>
      </c>
      <c r="E62" s="94">
        <v>164</v>
      </c>
      <c r="F62" s="95">
        <f>E62/100</f>
        <v>1.64</v>
      </c>
      <c r="G62" s="96">
        <v>987.51</v>
      </c>
      <c r="H62" s="97">
        <f>G62*F62/1000</f>
        <v>1.6195164</v>
      </c>
      <c r="I62" s="13">
        <v>0</v>
      </c>
      <c r="J62" s="23"/>
      <c r="L62" s="19"/>
      <c r="M62" s="20"/>
      <c r="N62" s="21"/>
    </row>
    <row r="63" spans="1:14" ht="15.75" customHeight="1">
      <c r="A63" s="41"/>
      <c r="B63" s="75" t="s">
        <v>45</v>
      </c>
      <c r="C63" s="16"/>
      <c r="D63" s="37"/>
      <c r="E63" s="15"/>
      <c r="F63" s="77"/>
      <c r="G63" s="64"/>
      <c r="H63" s="63"/>
      <c r="I63" s="18"/>
      <c r="J63" s="23"/>
      <c r="L63" s="19"/>
    </row>
    <row r="64" spans="1:14" ht="15.75" hidden="1" customHeight="1">
      <c r="A64" s="41">
        <v>17</v>
      </c>
      <c r="B64" s="98" t="s">
        <v>46</v>
      </c>
      <c r="C64" s="16" t="s">
        <v>116</v>
      </c>
      <c r="D64" s="98" t="s">
        <v>66</v>
      </c>
      <c r="E64" s="18">
        <v>1</v>
      </c>
      <c r="F64" s="85">
        <f>E64</f>
        <v>1</v>
      </c>
      <c r="G64" s="13">
        <v>276.74</v>
      </c>
      <c r="H64" s="99">
        <f t="shared" ref="H64:H72" si="6">SUM(F64*G64/1000)</f>
        <v>0.27673999999999999</v>
      </c>
      <c r="I64" s="13">
        <v>0</v>
      </c>
    </row>
    <row r="65" spans="1:22" ht="15.75" hidden="1" customHeight="1">
      <c r="A65" s="29">
        <v>29</v>
      </c>
      <c r="B65" s="98" t="s">
        <v>47</v>
      </c>
      <c r="C65" s="16" t="s">
        <v>116</v>
      </c>
      <c r="D65" s="98" t="s">
        <v>66</v>
      </c>
      <c r="E65" s="18">
        <v>3</v>
      </c>
      <c r="F65" s="85">
        <v>3</v>
      </c>
      <c r="G65" s="13">
        <v>94.89</v>
      </c>
      <c r="H65" s="99">
        <f t="shared" si="6"/>
        <v>0.28467000000000003</v>
      </c>
      <c r="I65" s="13">
        <v>0</v>
      </c>
    </row>
    <row r="66" spans="1:22" ht="15.75" hidden="1" customHeight="1">
      <c r="A66" s="29">
        <v>28</v>
      </c>
      <c r="B66" s="98" t="s">
        <v>48</v>
      </c>
      <c r="C66" s="16" t="s">
        <v>119</v>
      </c>
      <c r="D66" s="98" t="s">
        <v>53</v>
      </c>
      <c r="E66" s="84">
        <v>7265</v>
      </c>
      <c r="F66" s="13">
        <f>SUM(E66/100)</f>
        <v>72.650000000000006</v>
      </c>
      <c r="G66" s="13">
        <v>263.99</v>
      </c>
      <c r="H66" s="99">
        <f t="shared" si="6"/>
        <v>19.178873500000002</v>
      </c>
      <c r="I66" s="13">
        <f>F66*G66</f>
        <v>19178.873500000002</v>
      </c>
    </row>
    <row r="67" spans="1:22" ht="15.75" hidden="1" customHeight="1">
      <c r="A67" s="29">
        <v>29</v>
      </c>
      <c r="B67" s="98" t="s">
        <v>49</v>
      </c>
      <c r="C67" s="16" t="s">
        <v>120</v>
      </c>
      <c r="D67" s="98" t="s">
        <v>53</v>
      </c>
      <c r="E67" s="84">
        <f>E66</f>
        <v>7265</v>
      </c>
      <c r="F67" s="13">
        <f>SUM(E67/1000)</f>
        <v>7.2649999999999997</v>
      </c>
      <c r="G67" s="13">
        <v>205.57</v>
      </c>
      <c r="H67" s="99">
        <f t="shared" si="6"/>
        <v>1.4934660500000001</v>
      </c>
      <c r="I67" s="13">
        <f t="shared" ref="I67:I70" si="7">F67*G67</f>
        <v>1493.46605</v>
      </c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9"/>
    </row>
    <row r="68" spans="1:22" ht="15.75" hidden="1" customHeight="1">
      <c r="A68" s="29">
        <v>30</v>
      </c>
      <c r="B68" s="98" t="s">
        <v>50</v>
      </c>
      <c r="C68" s="16" t="s">
        <v>76</v>
      </c>
      <c r="D68" s="98" t="s">
        <v>53</v>
      </c>
      <c r="E68" s="84">
        <v>1090</v>
      </c>
      <c r="F68" s="13">
        <f>SUM(E68/100)</f>
        <v>10.9</v>
      </c>
      <c r="G68" s="13">
        <v>2581.5300000000002</v>
      </c>
      <c r="H68" s="99">
        <f t="shared" si="6"/>
        <v>28.138677000000005</v>
      </c>
      <c r="I68" s="13">
        <f t="shared" si="7"/>
        <v>28138.677000000003</v>
      </c>
      <c r="J68" s="25"/>
      <c r="K68" s="25"/>
      <c r="L68" s="3"/>
      <c r="M68" s="3"/>
      <c r="N68" s="3"/>
      <c r="O68" s="3"/>
      <c r="P68" s="3"/>
      <c r="Q68" s="3"/>
      <c r="R68" s="3"/>
      <c r="S68" s="3"/>
      <c r="T68" s="3"/>
      <c r="U68" s="3"/>
    </row>
    <row r="69" spans="1:22" ht="15.75" hidden="1" customHeight="1">
      <c r="A69" s="29">
        <v>31</v>
      </c>
      <c r="B69" s="100" t="s">
        <v>121</v>
      </c>
      <c r="C69" s="16" t="s">
        <v>31</v>
      </c>
      <c r="D69" s="98"/>
      <c r="E69" s="84">
        <v>7.6</v>
      </c>
      <c r="F69" s="13">
        <f>SUM(E69)</f>
        <v>7.6</v>
      </c>
      <c r="G69" s="13">
        <v>47.45</v>
      </c>
      <c r="H69" s="99">
        <f t="shared" si="6"/>
        <v>0.36062</v>
      </c>
      <c r="I69" s="13">
        <f t="shared" si="7"/>
        <v>360.62</v>
      </c>
      <c r="J69" s="3"/>
      <c r="K69" s="3"/>
      <c r="L69" s="3"/>
      <c r="M69" s="3"/>
      <c r="N69" s="3"/>
      <c r="O69" s="3"/>
      <c r="P69" s="3"/>
      <c r="Q69" s="3"/>
      <c r="S69" s="3"/>
      <c r="T69" s="3"/>
      <c r="U69" s="3"/>
    </row>
    <row r="70" spans="1:22" ht="15.75" hidden="1" customHeight="1">
      <c r="A70" s="29">
        <v>32</v>
      </c>
      <c r="B70" s="100" t="s">
        <v>148</v>
      </c>
      <c r="C70" s="16" t="s">
        <v>31</v>
      </c>
      <c r="D70" s="98"/>
      <c r="E70" s="84">
        <f>E69</f>
        <v>7.6</v>
      </c>
      <c r="F70" s="13">
        <f>SUM(E70)</f>
        <v>7.6</v>
      </c>
      <c r="G70" s="13">
        <v>44.27</v>
      </c>
      <c r="H70" s="99">
        <f t="shared" si="6"/>
        <v>0.33645199999999997</v>
      </c>
      <c r="I70" s="13">
        <f t="shared" si="7"/>
        <v>336.452</v>
      </c>
      <c r="J70" s="5"/>
      <c r="K70" s="5"/>
      <c r="L70" s="5"/>
      <c r="M70" s="5"/>
      <c r="N70" s="5"/>
      <c r="O70" s="5"/>
      <c r="P70" s="5"/>
      <c r="Q70" s="5"/>
      <c r="R70" s="136"/>
      <c r="S70" s="136"/>
      <c r="T70" s="136"/>
      <c r="U70" s="136"/>
    </row>
    <row r="71" spans="1:22" ht="15.75" hidden="1" customHeight="1">
      <c r="A71" s="29">
        <v>18</v>
      </c>
      <c r="B71" s="98" t="s">
        <v>56</v>
      </c>
      <c r="C71" s="16" t="s">
        <v>57</v>
      </c>
      <c r="D71" s="98" t="s">
        <v>53</v>
      </c>
      <c r="E71" s="18">
        <v>2</v>
      </c>
      <c r="F71" s="85">
        <f>SUM(E71)</f>
        <v>2</v>
      </c>
      <c r="G71" s="13">
        <v>62.07</v>
      </c>
      <c r="H71" s="99">
        <f t="shared" si="6"/>
        <v>0.12414</v>
      </c>
      <c r="I71" s="13">
        <f>F71*G71</f>
        <v>124.14</v>
      </c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</row>
    <row r="72" spans="1:22" ht="15.75" customHeight="1">
      <c r="A72" s="29">
        <v>15</v>
      </c>
      <c r="B72" s="98" t="s">
        <v>85</v>
      </c>
      <c r="C72" s="41" t="s">
        <v>131</v>
      </c>
      <c r="D72" s="37" t="s">
        <v>66</v>
      </c>
      <c r="E72" s="17">
        <v>1839.1</v>
      </c>
      <c r="F72" s="101">
        <f>SUM(E72*12)</f>
        <v>22069.199999999997</v>
      </c>
      <c r="G72" s="13">
        <v>2.16</v>
      </c>
      <c r="H72" s="99">
        <f t="shared" si="6"/>
        <v>47.669471999999992</v>
      </c>
      <c r="I72" s="13">
        <f>F72/12*G72</f>
        <v>3972.4559999999997</v>
      </c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</row>
    <row r="73" spans="1:22" ht="15.75" hidden="1" customHeight="1">
      <c r="A73" s="29"/>
      <c r="B73" s="49" t="s">
        <v>72</v>
      </c>
      <c r="C73" s="49"/>
      <c r="D73" s="49"/>
      <c r="E73" s="18"/>
      <c r="F73" s="18"/>
      <c r="G73" s="29"/>
      <c r="H73" s="29"/>
      <c r="I73" s="18"/>
    </row>
    <row r="74" spans="1:22" ht="15.75" hidden="1" customHeight="1">
      <c r="A74" s="29"/>
      <c r="B74" s="98" t="s">
        <v>123</v>
      </c>
      <c r="C74" s="16" t="s">
        <v>124</v>
      </c>
      <c r="D74" s="98" t="s">
        <v>66</v>
      </c>
      <c r="E74" s="18">
        <v>1</v>
      </c>
      <c r="F74" s="13">
        <f>E74</f>
        <v>1</v>
      </c>
      <c r="G74" s="13">
        <v>976.4</v>
      </c>
      <c r="H74" s="99">
        <f t="shared" ref="H74:H78" si="8">SUM(F74*G74/1000)</f>
        <v>0.97639999999999993</v>
      </c>
      <c r="I74" s="13">
        <v>0</v>
      </c>
    </row>
    <row r="75" spans="1:22" ht="15.75" hidden="1" customHeight="1">
      <c r="A75" s="29"/>
      <c r="B75" s="98" t="s">
        <v>125</v>
      </c>
      <c r="C75" s="16" t="s">
        <v>126</v>
      </c>
      <c r="D75" s="98"/>
      <c r="E75" s="18">
        <v>1</v>
      </c>
      <c r="F75" s="13">
        <v>1</v>
      </c>
      <c r="G75" s="13">
        <v>650</v>
      </c>
      <c r="H75" s="99">
        <f t="shared" si="8"/>
        <v>0.65</v>
      </c>
      <c r="I75" s="13">
        <v>0</v>
      </c>
    </row>
    <row r="76" spans="1:22" ht="15.75" hidden="1" customHeight="1">
      <c r="A76" s="29"/>
      <c r="B76" s="98" t="s">
        <v>73</v>
      </c>
      <c r="C76" s="16" t="s">
        <v>149</v>
      </c>
      <c r="D76" s="98" t="s">
        <v>66</v>
      </c>
      <c r="E76" s="18">
        <v>3</v>
      </c>
      <c r="F76" s="13">
        <f>E76/10</f>
        <v>0.3</v>
      </c>
      <c r="G76" s="13">
        <v>624.16999999999996</v>
      </c>
      <c r="H76" s="99">
        <f t="shared" si="8"/>
        <v>0.18725099999999997</v>
      </c>
      <c r="I76" s="13">
        <v>0</v>
      </c>
    </row>
    <row r="77" spans="1:22" ht="15.75" hidden="1" customHeight="1">
      <c r="A77" s="29"/>
      <c r="B77" s="98" t="s">
        <v>74</v>
      </c>
      <c r="C77" s="16" t="s">
        <v>29</v>
      </c>
      <c r="D77" s="98" t="s">
        <v>66</v>
      </c>
      <c r="E77" s="18">
        <v>1</v>
      </c>
      <c r="F77" s="13">
        <v>1</v>
      </c>
      <c r="G77" s="13">
        <v>1061.4100000000001</v>
      </c>
      <c r="H77" s="99">
        <f t="shared" si="8"/>
        <v>1.0614100000000002</v>
      </c>
      <c r="I77" s="13">
        <v>0</v>
      </c>
    </row>
    <row r="78" spans="1:22" ht="18" hidden="1" customHeight="1">
      <c r="A78" s="29">
        <v>17</v>
      </c>
      <c r="B78" s="98" t="s">
        <v>86</v>
      </c>
      <c r="C78" s="16" t="s">
        <v>29</v>
      </c>
      <c r="D78" s="98" t="s">
        <v>66</v>
      </c>
      <c r="E78" s="18">
        <v>1</v>
      </c>
      <c r="F78" s="85">
        <f>SUM(E78)</f>
        <v>1</v>
      </c>
      <c r="G78" s="13">
        <v>446.12</v>
      </c>
      <c r="H78" s="99">
        <f t="shared" si="8"/>
        <v>0.44612000000000002</v>
      </c>
      <c r="I78" s="13">
        <f>G78</f>
        <v>446.12</v>
      </c>
    </row>
    <row r="79" spans="1:22" ht="18.75" customHeight="1">
      <c r="A79" s="29"/>
      <c r="B79" s="50" t="s">
        <v>75</v>
      </c>
      <c r="C79" s="38"/>
      <c r="D79" s="29"/>
      <c r="E79" s="18"/>
      <c r="F79" s="18"/>
      <c r="G79" s="36"/>
      <c r="H79" s="36"/>
      <c r="I79" s="18"/>
    </row>
    <row r="80" spans="1:22" ht="16.5" customHeight="1">
      <c r="A80" s="29">
        <v>16</v>
      </c>
      <c r="B80" s="39" t="s">
        <v>127</v>
      </c>
      <c r="C80" s="16" t="s">
        <v>76</v>
      </c>
      <c r="D80" s="98"/>
      <c r="E80" s="18"/>
      <c r="F80" s="13">
        <v>1.3</v>
      </c>
      <c r="G80" s="13">
        <v>3433.68</v>
      </c>
      <c r="H80" s="99">
        <f t="shared" ref="H80" si="9">SUM(F80*G80/1000)</f>
        <v>4.4637839999999995</v>
      </c>
      <c r="I80" s="13">
        <f>G80*0.03</f>
        <v>103.01039999999999</v>
      </c>
    </row>
    <row r="81" spans="1:9" ht="21.75" hidden="1" customHeight="1">
      <c r="A81" s="81"/>
      <c r="B81" s="75" t="s">
        <v>122</v>
      </c>
      <c r="C81" s="75"/>
      <c r="D81" s="75"/>
      <c r="E81" s="75"/>
      <c r="F81" s="75"/>
      <c r="G81" s="75"/>
      <c r="H81" s="75"/>
      <c r="I81" s="18"/>
    </row>
    <row r="82" spans="1:9" ht="16.5" hidden="1" customHeight="1">
      <c r="A82" s="29">
        <v>15</v>
      </c>
      <c r="B82" s="82" t="s">
        <v>89</v>
      </c>
      <c r="C82" s="16"/>
      <c r="D82" s="98"/>
      <c r="E82" s="102"/>
      <c r="F82" s="13">
        <v>1</v>
      </c>
      <c r="G82" s="13">
        <v>13707.8</v>
      </c>
      <c r="H82" s="99">
        <f>G82*F82/1000</f>
        <v>13.707799999999999</v>
      </c>
      <c r="I82" s="13">
        <f>G82</f>
        <v>13707.8</v>
      </c>
    </row>
    <row r="83" spans="1:9" ht="15.75" customHeight="1">
      <c r="A83" s="129" t="s">
        <v>139</v>
      </c>
      <c r="B83" s="130"/>
      <c r="C83" s="130"/>
      <c r="D83" s="130"/>
      <c r="E83" s="130"/>
      <c r="F83" s="130"/>
      <c r="G83" s="130"/>
      <c r="H83" s="130"/>
      <c r="I83" s="131"/>
    </row>
    <row r="84" spans="1:9" ht="15.75" customHeight="1">
      <c r="A84" s="29">
        <v>17</v>
      </c>
      <c r="B84" s="82" t="s">
        <v>128</v>
      </c>
      <c r="C84" s="16" t="s">
        <v>54</v>
      </c>
      <c r="D84" s="104" t="s">
        <v>150</v>
      </c>
      <c r="E84" s="13">
        <v>1839.1</v>
      </c>
      <c r="F84" s="13">
        <f>SUM(E84*12)</f>
        <v>22069.199999999997</v>
      </c>
      <c r="G84" s="13">
        <v>2.95</v>
      </c>
      <c r="H84" s="99">
        <f>SUM(F84*G84/1000)</f>
        <v>65.104139999999987</v>
      </c>
      <c r="I84" s="13">
        <f>F84/12*G84</f>
        <v>5425.3449999999993</v>
      </c>
    </row>
    <row r="85" spans="1:9" ht="31.5" customHeight="1">
      <c r="A85" s="29">
        <v>18</v>
      </c>
      <c r="B85" s="98" t="s">
        <v>77</v>
      </c>
      <c r="C85" s="16"/>
      <c r="D85" s="104" t="s">
        <v>150</v>
      </c>
      <c r="E85" s="84">
        <v>1839.1</v>
      </c>
      <c r="F85" s="13">
        <f>E85*12</f>
        <v>22069.199999999997</v>
      </c>
      <c r="G85" s="13">
        <v>3.05</v>
      </c>
      <c r="H85" s="99">
        <f>F85*G85/1000</f>
        <v>67.311059999999983</v>
      </c>
      <c r="I85" s="13">
        <f>F85/12*G85</f>
        <v>5609.2549999999983</v>
      </c>
    </row>
    <row r="86" spans="1:9" ht="31.5" customHeight="1">
      <c r="A86" s="29">
        <v>19</v>
      </c>
      <c r="B86" s="98" t="s">
        <v>132</v>
      </c>
      <c r="C86" s="16" t="s">
        <v>133</v>
      </c>
      <c r="D86" s="104" t="s">
        <v>150</v>
      </c>
      <c r="E86" s="102"/>
      <c r="F86" s="13"/>
      <c r="G86" s="13"/>
      <c r="H86" s="99">
        <v>59.113</v>
      </c>
      <c r="I86" s="13">
        <v>4926.08</v>
      </c>
    </row>
    <row r="87" spans="1:9" ht="15.75" customHeight="1">
      <c r="A87" s="81"/>
      <c r="B87" s="40" t="s">
        <v>79</v>
      </c>
      <c r="C87" s="41"/>
      <c r="D87" s="15"/>
      <c r="E87" s="15"/>
      <c r="F87" s="15"/>
      <c r="G87" s="18"/>
      <c r="H87" s="18"/>
      <c r="I87" s="31">
        <f>I86+I85+I84+I80+I72+I56+I55+I54+I53+I52+I35+I34+I32+I31+I28+I27+I18+I17+I16</f>
        <v>48431.33854511111</v>
      </c>
    </row>
    <row r="88" spans="1:9" ht="15.75" customHeight="1">
      <c r="A88" s="132" t="s">
        <v>59</v>
      </c>
      <c r="B88" s="133"/>
      <c r="C88" s="133"/>
      <c r="D88" s="133"/>
      <c r="E88" s="133"/>
      <c r="F88" s="133"/>
      <c r="G88" s="133"/>
      <c r="H88" s="133"/>
      <c r="I88" s="134"/>
    </row>
    <row r="89" spans="1:9" ht="18.75" customHeight="1">
      <c r="A89" s="29">
        <v>20</v>
      </c>
      <c r="B89" s="37" t="s">
        <v>166</v>
      </c>
      <c r="C89" s="38" t="s">
        <v>167</v>
      </c>
      <c r="D89" s="52"/>
      <c r="E89" s="13"/>
      <c r="F89" s="13">
        <v>2</v>
      </c>
      <c r="G89" s="36">
        <v>1.2</v>
      </c>
      <c r="H89" s="99">
        <f t="shared" ref="H89" si="10">G89*F89/1000</f>
        <v>2.3999999999999998E-3</v>
      </c>
      <c r="I89" s="108">
        <f>G89*12</f>
        <v>14.399999999999999</v>
      </c>
    </row>
    <row r="90" spans="1:9" ht="15" customHeight="1">
      <c r="A90" s="29">
        <v>21</v>
      </c>
      <c r="B90" s="128" t="s">
        <v>208</v>
      </c>
      <c r="C90" s="66" t="s">
        <v>209</v>
      </c>
      <c r="D90" s="65"/>
      <c r="E90" s="36"/>
      <c r="F90" s="36"/>
      <c r="G90" s="36">
        <v>1765</v>
      </c>
      <c r="H90" s="103"/>
      <c r="I90" s="118">
        <f>G90*1</f>
        <v>1765</v>
      </c>
    </row>
    <row r="91" spans="1:9" ht="17.25" customHeight="1">
      <c r="A91" s="29">
        <v>22</v>
      </c>
      <c r="B91" s="128" t="s">
        <v>218</v>
      </c>
      <c r="C91" s="66" t="s">
        <v>116</v>
      </c>
      <c r="D91" s="65"/>
      <c r="E91" s="36"/>
      <c r="F91" s="36"/>
      <c r="G91" s="36">
        <v>89.59</v>
      </c>
      <c r="H91" s="103"/>
      <c r="I91" s="118">
        <f>G91*1</f>
        <v>89.59</v>
      </c>
    </row>
    <row r="92" spans="1:9" ht="15.75" customHeight="1">
      <c r="A92" s="29">
        <v>23</v>
      </c>
      <c r="B92" s="110" t="s">
        <v>219</v>
      </c>
      <c r="C92" s="66" t="s">
        <v>54</v>
      </c>
      <c r="D92" s="65"/>
      <c r="E92" s="36"/>
      <c r="F92" s="36"/>
      <c r="G92" s="36">
        <v>470.85</v>
      </c>
      <c r="H92" s="103"/>
      <c r="I92" s="118">
        <f>G92*1</f>
        <v>470.85</v>
      </c>
    </row>
    <row r="93" spans="1:9" ht="15.75" customHeight="1">
      <c r="A93" s="29"/>
      <c r="B93" s="46" t="s">
        <v>51</v>
      </c>
      <c r="C93" s="42"/>
      <c r="D93" s="54"/>
      <c r="E93" s="42">
        <v>1</v>
      </c>
      <c r="F93" s="42"/>
      <c r="G93" s="42"/>
      <c r="H93" s="42"/>
      <c r="I93" s="31">
        <f>SUM(I89:I92)</f>
        <v>2339.84</v>
      </c>
    </row>
    <row r="94" spans="1:9" ht="15.75" customHeight="1">
      <c r="A94" s="29"/>
      <c r="B94" s="52" t="s">
        <v>78</v>
      </c>
      <c r="C94" s="15"/>
      <c r="D94" s="15"/>
      <c r="E94" s="43"/>
      <c r="F94" s="43"/>
      <c r="G94" s="44"/>
      <c r="H94" s="44"/>
      <c r="I94" s="17">
        <v>0</v>
      </c>
    </row>
    <row r="95" spans="1:9" ht="15.75" customHeight="1">
      <c r="A95" s="55"/>
      <c r="B95" s="47" t="s">
        <v>140</v>
      </c>
      <c r="C95" s="34"/>
      <c r="D95" s="34"/>
      <c r="E95" s="34"/>
      <c r="F95" s="34"/>
      <c r="G95" s="34"/>
      <c r="H95" s="34"/>
      <c r="I95" s="45">
        <f>I87+I93</f>
        <v>50771.178545111106</v>
      </c>
    </row>
    <row r="96" spans="1:9" ht="15.75">
      <c r="A96" s="135" t="s">
        <v>220</v>
      </c>
      <c r="B96" s="135"/>
      <c r="C96" s="135"/>
      <c r="D96" s="135"/>
      <c r="E96" s="135"/>
      <c r="F96" s="135"/>
      <c r="G96" s="135"/>
      <c r="H96" s="135"/>
      <c r="I96" s="135"/>
    </row>
    <row r="97" spans="1:9" ht="15.75">
      <c r="A97" s="61"/>
      <c r="B97" s="151" t="s">
        <v>221</v>
      </c>
      <c r="C97" s="151"/>
      <c r="D97" s="151"/>
      <c r="E97" s="151"/>
      <c r="F97" s="151"/>
      <c r="G97" s="151"/>
      <c r="H97" s="80"/>
      <c r="I97" s="3"/>
    </row>
    <row r="98" spans="1:9">
      <c r="A98" s="71"/>
      <c r="B98" s="147" t="s">
        <v>6</v>
      </c>
      <c r="C98" s="147"/>
      <c r="D98" s="147"/>
      <c r="E98" s="147"/>
      <c r="F98" s="147"/>
      <c r="G98" s="147"/>
      <c r="H98" s="24"/>
      <c r="I98" s="5"/>
    </row>
    <row r="99" spans="1:9">
      <c r="A99" s="10"/>
      <c r="B99" s="10"/>
      <c r="C99" s="10"/>
      <c r="D99" s="10"/>
      <c r="E99" s="10"/>
      <c r="F99" s="10"/>
      <c r="G99" s="10"/>
      <c r="H99" s="10"/>
      <c r="I99" s="10"/>
    </row>
    <row r="100" spans="1:9" ht="15.75">
      <c r="A100" s="155" t="s">
        <v>7</v>
      </c>
      <c r="B100" s="155"/>
      <c r="C100" s="155"/>
      <c r="D100" s="155"/>
      <c r="E100" s="155"/>
      <c r="F100" s="155"/>
      <c r="G100" s="155"/>
      <c r="H100" s="155"/>
      <c r="I100" s="155"/>
    </row>
    <row r="101" spans="1:9" ht="15.75">
      <c r="A101" s="155" t="s">
        <v>8</v>
      </c>
      <c r="B101" s="155"/>
      <c r="C101" s="155"/>
      <c r="D101" s="155"/>
      <c r="E101" s="155"/>
      <c r="F101" s="155"/>
      <c r="G101" s="155"/>
      <c r="H101" s="155"/>
      <c r="I101" s="155"/>
    </row>
    <row r="102" spans="1:9" ht="15.75">
      <c r="A102" s="152" t="s">
        <v>60</v>
      </c>
      <c r="B102" s="152"/>
      <c r="C102" s="152"/>
      <c r="D102" s="152"/>
      <c r="E102" s="152"/>
      <c r="F102" s="152"/>
      <c r="G102" s="152"/>
      <c r="H102" s="152"/>
      <c r="I102" s="152"/>
    </row>
    <row r="103" spans="1:9" ht="15.75">
      <c r="A103" s="11"/>
    </row>
    <row r="104" spans="1:9" ht="15.75">
      <c r="A104" s="153" t="s">
        <v>9</v>
      </c>
      <c r="B104" s="153"/>
      <c r="C104" s="153"/>
      <c r="D104" s="153"/>
      <c r="E104" s="153"/>
      <c r="F104" s="153"/>
      <c r="G104" s="153"/>
      <c r="H104" s="153"/>
      <c r="I104" s="153"/>
    </row>
    <row r="105" spans="1:9" ht="15.75">
      <c r="A105" s="4"/>
    </row>
    <row r="106" spans="1:9" ht="15.75">
      <c r="B106" s="70" t="s">
        <v>10</v>
      </c>
      <c r="C106" s="154" t="s">
        <v>87</v>
      </c>
      <c r="D106" s="154"/>
      <c r="E106" s="154"/>
      <c r="F106" s="78"/>
      <c r="I106" s="73"/>
    </row>
    <row r="107" spans="1:9">
      <c r="A107" s="71"/>
      <c r="C107" s="147" t="s">
        <v>11</v>
      </c>
      <c r="D107" s="147"/>
      <c r="E107" s="147"/>
      <c r="F107" s="24"/>
      <c r="I107" s="72" t="s">
        <v>12</v>
      </c>
    </row>
    <row r="108" spans="1:9" ht="15.75">
      <c r="A108" s="25"/>
      <c r="C108" s="12"/>
      <c r="D108" s="12"/>
      <c r="G108" s="12"/>
      <c r="H108" s="12"/>
    </row>
    <row r="109" spans="1:9" ht="15.75">
      <c r="B109" s="70" t="s">
        <v>13</v>
      </c>
      <c r="C109" s="149"/>
      <c r="D109" s="149"/>
      <c r="E109" s="149"/>
      <c r="F109" s="79"/>
      <c r="I109" s="73"/>
    </row>
    <row r="110" spans="1:9">
      <c r="A110" s="71"/>
      <c r="C110" s="136" t="s">
        <v>11</v>
      </c>
      <c r="D110" s="136"/>
      <c r="E110" s="136"/>
      <c r="F110" s="71"/>
      <c r="I110" s="72" t="s">
        <v>12</v>
      </c>
    </row>
    <row r="111" spans="1:9" ht="15.75">
      <c r="A111" s="4" t="s">
        <v>14</v>
      </c>
    </row>
    <row r="112" spans="1:9">
      <c r="A112" s="150" t="s">
        <v>15</v>
      </c>
      <c r="B112" s="150"/>
      <c r="C112" s="150"/>
      <c r="D112" s="150"/>
      <c r="E112" s="150"/>
      <c r="F112" s="150"/>
      <c r="G112" s="150"/>
      <c r="H112" s="150"/>
      <c r="I112" s="150"/>
    </row>
    <row r="113" spans="1:9" ht="45" customHeight="1">
      <c r="A113" s="148" t="s">
        <v>16</v>
      </c>
      <c r="B113" s="148"/>
      <c r="C113" s="148"/>
      <c r="D113" s="148"/>
      <c r="E113" s="148"/>
      <c r="F113" s="148"/>
      <c r="G113" s="148"/>
      <c r="H113" s="148"/>
      <c r="I113" s="148"/>
    </row>
    <row r="114" spans="1:9" ht="30" customHeight="1">
      <c r="A114" s="148" t="s">
        <v>17</v>
      </c>
      <c r="B114" s="148"/>
      <c r="C114" s="148"/>
      <c r="D114" s="148"/>
      <c r="E114" s="148"/>
      <c r="F114" s="148"/>
      <c r="G114" s="148"/>
      <c r="H114" s="148"/>
      <c r="I114" s="148"/>
    </row>
    <row r="115" spans="1:9" ht="30" customHeight="1">
      <c r="A115" s="148" t="s">
        <v>21</v>
      </c>
      <c r="B115" s="148"/>
      <c r="C115" s="148"/>
      <c r="D115" s="148"/>
      <c r="E115" s="148"/>
      <c r="F115" s="148"/>
      <c r="G115" s="148"/>
      <c r="H115" s="148"/>
      <c r="I115" s="148"/>
    </row>
    <row r="116" spans="1:9" ht="15.75">
      <c r="A116" s="148" t="s">
        <v>20</v>
      </c>
      <c r="B116" s="148"/>
      <c r="C116" s="148"/>
      <c r="D116" s="148"/>
      <c r="E116" s="148"/>
      <c r="F116" s="148"/>
      <c r="G116" s="148"/>
      <c r="H116" s="148"/>
      <c r="I116" s="148"/>
    </row>
  </sheetData>
  <autoFilter ref="I12:I65"/>
  <mergeCells count="29">
    <mergeCell ref="A14:I14"/>
    <mergeCell ref="A15:I15"/>
    <mergeCell ref="A29:I29"/>
    <mergeCell ref="A45:I45"/>
    <mergeCell ref="A57:I57"/>
    <mergeCell ref="A3:I3"/>
    <mergeCell ref="A4:I4"/>
    <mergeCell ref="A5:I5"/>
    <mergeCell ref="A8:I8"/>
    <mergeCell ref="A10:I10"/>
    <mergeCell ref="R70:U70"/>
    <mergeCell ref="C110:E110"/>
    <mergeCell ref="A88:I88"/>
    <mergeCell ref="A96:I96"/>
    <mergeCell ref="B97:G97"/>
    <mergeCell ref="B98:G98"/>
    <mergeCell ref="A100:I100"/>
    <mergeCell ref="A101:I101"/>
    <mergeCell ref="A102:I102"/>
    <mergeCell ref="A104:I104"/>
    <mergeCell ref="C106:E106"/>
    <mergeCell ref="C107:E107"/>
    <mergeCell ref="C109:E109"/>
    <mergeCell ref="A83:I83"/>
    <mergeCell ref="A112:I112"/>
    <mergeCell ref="A113:I113"/>
    <mergeCell ref="A114:I114"/>
    <mergeCell ref="A115:I115"/>
    <mergeCell ref="A116:I116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>
  <dimension ref="A1:V114"/>
  <sheetViews>
    <sheetView topLeftCell="A63" workbookViewId="0">
      <selection activeCell="B89" sqref="B89:I90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7" t="s">
        <v>196</v>
      </c>
      <c r="I1" s="26"/>
      <c r="J1" s="1"/>
      <c r="K1" s="1"/>
      <c r="L1" s="1"/>
      <c r="M1" s="1"/>
    </row>
    <row r="2" spans="1:13" ht="15.75" customHeight="1">
      <c r="A2" s="28" t="s">
        <v>61</v>
      </c>
      <c r="J2" s="2"/>
      <c r="K2" s="2"/>
      <c r="L2" s="2"/>
      <c r="M2" s="2"/>
    </row>
    <row r="3" spans="1:13" ht="15.75" customHeight="1">
      <c r="A3" s="137" t="s">
        <v>163</v>
      </c>
      <c r="B3" s="137"/>
      <c r="C3" s="137"/>
      <c r="D3" s="137"/>
      <c r="E3" s="137"/>
      <c r="F3" s="137"/>
      <c r="G3" s="137"/>
      <c r="H3" s="137"/>
      <c r="I3" s="137"/>
      <c r="J3" s="3"/>
      <c r="K3" s="3"/>
      <c r="L3" s="3"/>
    </row>
    <row r="4" spans="1:13" ht="31.5" customHeight="1">
      <c r="A4" s="138" t="s">
        <v>129</v>
      </c>
      <c r="B4" s="138"/>
      <c r="C4" s="138"/>
      <c r="D4" s="138"/>
      <c r="E4" s="138"/>
      <c r="F4" s="138"/>
      <c r="G4" s="138"/>
      <c r="H4" s="138"/>
      <c r="I4" s="138"/>
    </row>
    <row r="5" spans="1:13" ht="15.75" customHeight="1">
      <c r="A5" s="137" t="s">
        <v>222</v>
      </c>
      <c r="B5" s="141"/>
      <c r="C5" s="141"/>
      <c r="D5" s="141"/>
      <c r="E5" s="141"/>
      <c r="F5" s="141"/>
      <c r="G5" s="141"/>
      <c r="H5" s="141"/>
      <c r="I5" s="141"/>
      <c r="J5" s="2"/>
      <c r="K5" s="2"/>
      <c r="L5" s="2"/>
      <c r="M5" s="2"/>
    </row>
    <row r="6" spans="1:13" ht="15.75" customHeight="1">
      <c r="A6" s="2"/>
      <c r="B6" s="112"/>
      <c r="C6" s="112"/>
      <c r="D6" s="112"/>
      <c r="E6" s="112"/>
      <c r="F6" s="112"/>
      <c r="G6" s="112"/>
      <c r="H6" s="112"/>
      <c r="I6" s="30">
        <v>43434</v>
      </c>
      <c r="J6" s="2"/>
      <c r="K6" s="2"/>
      <c r="L6" s="2"/>
      <c r="M6" s="2"/>
    </row>
    <row r="7" spans="1:13" ht="15.75" customHeight="1">
      <c r="B7" s="116"/>
      <c r="C7" s="116"/>
      <c r="D7" s="116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139" t="s">
        <v>197</v>
      </c>
      <c r="B8" s="139"/>
      <c r="C8" s="139"/>
      <c r="D8" s="139"/>
      <c r="E8" s="139"/>
      <c r="F8" s="139"/>
      <c r="G8" s="139"/>
      <c r="H8" s="139"/>
      <c r="I8" s="139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140" t="s">
        <v>135</v>
      </c>
      <c r="B10" s="140"/>
      <c r="C10" s="140"/>
      <c r="D10" s="140"/>
      <c r="E10" s="140"/>
      <c r="F10" s="140"/>
      <c r="G10" s="140"/>
      <c r="H10" s="140"/>
      <c r="I10" s="140"/>
      <c r="J10" s="2"/>
      <c r="K10" s="2"/>
      <c r="L10" s="2"/>
      <c r="M10" s="2"/>
    </row>
    <row r="11" spans="1:13" ht="15.75">
      <c r="A11" s="4"/>
    </row>
    <row r="12" spans="1:13" ht="47.2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142" t="s">
        <v>58</v>
      </c>
      <c r="B14" s="142"/>
      <c r="C14" s="142"/>
      <c r="D14" s="142"/>
      <c r="E14" s="142"/>
      <c r="F14" s="142"/>
      <c r="G14" s="142"/>
      <c r="H14" s="142"/>
      <c r="I14" s="142"/>
      <c r="J14" s="8"/>
      <c r="K14" s="8"/>
      <c r="L14" s="8"/>
      <c r="M14" s="8"/>
    </row>
    <row r="15" spans="1:13" ht="15.75" customHeight="1">
      <c r="A15" s="143" t="s">
        <v>4</v>
      </c>
      <c r="B15" s="143"/>
      <c r="C15" s="143"/>
      <c r="D15" s="143"/>
      <c r="E15" s="143"/>
      <c r="F15" s="143"/>
      <c r="G15" s="143"/>
      <c r="H15" s="143"/>
      <c r="I15" s="143"/>
      <c r="J15" s="8"/>
      <c r="K15" s="8"/>
      <c r="L15" s="8"/>
      <c r="M15" s="8"/>
    </row>
    <row r="16" spans="1:13" ht="15.75" customHeight="1">
      <c r="A16" s="29">
        <v>1</v>
      </c>
      <c r="B16" s="82" t="s">
        <v>83</v>
      </c>
      <c r="C16" s="83" t="s">
        <v>92</v>
      </c>
      <c r="D16" s="82" t="s">
        <v>141</v>
      </c>
      <c r="E16" s="84">
        <v>54.2</v>
      </c>
      <c r="F16" s="85">
        <f>SUM(E16*156/100)</f>
        <v>84.552000000000007</v>
      </c>
      <c r="G16" s="85">
        <v>218.21</v>
      </c>
      <c r="H16" s="86">
        <f t="shared" ref="H16:H26" si="0">SUM(F16*G16/1000)</f>
        <v>18.450091920000002</v>
      </c>
      <c r="I16" s="13">
        <f>F16/12*G16</f>
        <v>1537.5076600000002</v>
      </c>
      <c r="J16" s="8"/>
      <c r="K16" s="8"/>
      <c r="L16" s="8"/>
      <c r="M16" s="8"/>
    </row>
    <row r="17" spans="1:13" ht="15.75" customHeight="1">
      <c r="A17" s="29">
        <v>2</v>
      </c>
      <c r="B17" s="82" t="s">
        <v>90</v>
      </c>
      <c r="C17" s="83" t="s">
        <v>92</v>
      </c>
      <c r="D17" s="82" t="s">
        <v>142</v>
      </c>
      <c r="E17" s="84">
        <v>108.5</v>
      </c>
      <c r="F17" s="85">
        <f>SUM(E17*104/100)</f>
        <v>112.84</v>
      </c>
      <c r="G17" s="85">
        <v>218.21</v>
      </c>
      <c r="H17" s="86">
        <f t="shared" si="0"/>
        <v>24.622816400000005</v>
      </c>
      <c r="I17" s="13">
        <f>F17/12*G17</f>
        <v>2051.9013666666669</v>
      </c>
      <c r="J17" s="22"/>
      <c r="K17" s="8"/>
      <c r="L17" s="8"/>
      <c r="M17" s="8"/>
    </row>
    <row r="18" spans="1:13" ht="15.75" customHeight="1">
      <c r="A18" s="29">
        <v>3</v>
      </c>
      <c r="B18" s="82" t="s">
        <v>91</v>
      </c>
      <c r="C18" s="83" t="s">
        <v>92</v>
      </c>
      <c r="D18" s="82" t="s">
        <v>143</v>
      </c>
      <c r="E18" s="84">
        <f>SUM(E16+E17)</f>
        <v>162.69999999999999</v>
      </c>
      <c r="F18" s="85">
        <f>SUM(E18*24/100)</f>
        <v>39.047999999999995</v>
      </c>
      <c r="G18" s="85">
        <v>627.77</v>
      </c>
      <c r="H18" s="86">
        <f t="shared" si="0"/>
        <v>24.513162959999995</v>
      </c>
      <c r="I18" s="13">
        <f>F18/12*G18</f>
        <v>2042.7635799999996</v>
      </c>
      <c r="J18" s="22"/>
      <c r="K18" s="8"/>
      <c r="L18" s="8"/>
      <c r="M18" s="8"/>
    </row>
    <row r="19" spans="1:13" ht="15.75" hidden="1" customHeight="1">
      <c r="A19" s="29">
        <v>4</v>
      </c>
      <c r="B19" s="82" t="s">
        <v>93</v>
      </c>
      <c r="C19" s="83" t="s">
        <v>88</v>
      </c>
      <c r="D19" s="82" t="s">
        <v>94</v>
      </c>
      <c r="E19" s="84">
        <v>15.3</v>
      </c>
      <c r="F19" s="85">
        <f>SUM(E19/10)</f>
        <v>1.53</v>
      </c>
      <c r="G19" s="85">
        <v>211.74</v>
      </c>
      <c r="H19" s="86">
        <f t="shared" si="0"/>
        <v>0.32396219999999998</v>
      </c>
      <c r="I19" s="13">
        <f>F19/2*G19</f>
        <v>161.9811</v>
      </c>
      <c r="J19" s="22"/>
      <c r="K19" s="8"/>
      <c r="L19" s="8"/>
      <c r="M19" s="8"/>
    </row>
    <row r="20" spans="1:13" ht="15.75" hidden="1" customHeight="1">
      <c r="A20" s="29">
        <v>4</v>
      </c>
      <c r="B20" s="82" t="s">
        <v>96</v>
      </c>
      <c r="C20" s="83" t="s">
        <v>92</v>
      </c>
      <c r="D20" s="82" t="s">
        <v>41</v>
      </c>
      <c r="E20" s="84">
        <v>19.62</v>
      </c>
      <c r="F20" s="85">
        <f>SUM(E20*2/100)</f>
        <v>0.39240000000000003</v>
      </c>
      <c r="G20" s="85">
        <v>271.12</v>
      </c>
      <c r="H20" s="86">
        <f t="shared" si="0"/>
        <v>0.106387488</v>
      </c>
      <c r="I20" s="13">
        <f>F20/2*G20</f>
        <v>53.193744000000002</v>
      </c>
      <c r="J20" s="22"/>
      <c r="K20" s="8"/>
      <c r="L20" s="8"/>
      <c r="M20" s="8"/>
    </row>
    <row r="21" spans="1:13" ht="15.75" hidden="1" customHeight="1">
      <c r="A21" s="29">
        <v>5</v>
      </c>
      <c r="B21" s="82" t="s">
        <v>97</v>
      </c>
      <c r="C21" s="83" t="s">
        <v>92</v>
      </c>
      <c r="D21" s="82" t="s">
        <v>41</v>
      </c>
      <c r="E21" s="84">
        <v>8.68</v>
      </c>
      <c r="F21" s="85">
        <f>SUM(E21*2/100)</f>
        <v>0.1736</v>
      </c>
      <c r="G21" s="85">
        <v>268.92</v>
      </c>
      <c r="H21" s="86">
        <f t="shared" si="0"/>
        <v>4.6684512000000004E-2</v>
      </c>
      <c r="I21" s="13">
        <f>F21/2*G21</f>
        <v>23.342256000000003</v>
      </c>
      <c r="J21" s="22"/>
      <c r="K21" s="8"/>
      <c r="L21" s="8"/>
      <c r="M21" s="8"/>
    </row>
    <row r="22" spans="1:13" ht="15.75" hidden="1" customHeight="1">
      <c r="A22" s="29">
        <v>7</v>
      </c>
      <c r="B22" s="82" t="s">
        <v>98</v>
      </c>
      <c r="C22" s="83" t="s">
        <v>52</v>
      </c>
      <c r="D22" s="82" t="s">
        <v>94</v>
      </c>
      <c r="E22" s="84">
        <v>215</v>
      </c>
      <c r="F22" s="85">
        <f>SUM(E22/100)</f>
        <v>2.15</v>
      </c>
      <c r="G22" s="85">
        <v>335.05</v>
      </c>
      <c r="H22" s="86">
        <f t="shared" si="0"/>
        <v>0.72035749999999998</v>
      </c>
      <c r="I22" s="13">
        <f>F22*G22</f>
        <v>720.35749999999996</v>
      </c>
      <c r="J22" s="22"/>
      <c r="K22" s="8"/>
      <c r="L22" s="8"/>
      <c r="M22" s="8"/>
    </row>
    <row r="23" spans="1:13" ht="15.75" hidden="1" customHeight="1">
      <c r="A23" s="29">
        <v>8</v>
      </c>
      <c r="B23" s="82" t="s">
        <v>99</v>
      </c>
      <c r="C23" s="83" t="s">
        <v>52</v>
      </c>
      <c r="D23" s="82" t="s">
        <v>94</v>
      </c>
      <c r="E23" s="87">
        <v>17.64</v>
      </c>
      <c r="F23" s="85">
        <f>SUM(E23/100)</f>
        <v>0.1764</v>
      </c>
      <c r="G23" s="85">
        <v>55.1</v>
      </c>
      <c r="H23" s="86">
        <f t="shared" si="0"/>
        <v>9.7196399999999999E-3</v>
      </c>
      <c r="I23" s="13">
        <f>F23*G23</f>
        <v>9.7196400000000001</v>
      </c>
      <c r="J23" s="22"/>
      <c r="K23" s="8"/>
      <c r="L23" s="8"/>
      <c r="M23" s="8"/>
    </row>
    <row r="24" spans="1:13" ht="15.75" hidden="1" customHeight="1">
      <c r="A24" s="29">
        <v>9</v>
      </c>
      <c r="B24" s="82" t="s">
        <v>95</v>
      </c>
      <c r="C24" s="83" t="s">
        <v>52</v>
      </c>
      <c r="D24" s="82" t="s">
        <v>94</v>
      </c>
      <c r="E24" s="18">
        <v>4.5</v>
      </c>
      <c r="F24" s="88">
        <v>0.05</v>
      </c>
      <c r="G24" s="85">
        <v>484.94</v>
      </c>
      <c r="H24" s="86">
        <f>F24*G24/1000</f>
        <v>2.4247000000000001E-2</v>
      </c>
      <c r="I24" s="13">
        <f>F24*G24</f>
        <v>24.247</v>
      </c>
      <c r="J24" s="22"/>
      <c r="K24" s="8"/>
      <c r="L24" s="8"/>
      <c r="M24" s="8"/>
    </row>
    <row r="25" spans="1:13" ht="15.75" hidden="1" customHeight="1">
      <c r="A25" s="29">
        <v>10</v>
      </c>
      <c r="B25" s="82" t="s">
        <v>130</v>
      </c>
      <c r="C25" s="83" t="s">
        <v>52</v>
      </c>
      <c r="D25" s="82" t="s">
        <v>94</v>
      </c>
      <c r="E25" s="87">
        <v>9.4499999999999993</v>
      </c>
      <c r="F25" s="85">
        <v>0.09</v>
      </c>
      <c r="G25" s="85">
        <v>268.92</v>
      </c>
      <c r="H25" s="86">
        <f>F25*G25/1000</f>
        <v>2.42028E-2</v>
      </c>
      <c r="I25" s="13">
        <f>F25*G25</f>
        <v>24.2028</v>
      </c>
      <c r="J25" s="22"/>
      <c r="K25" s="8"/>
      <c r="L25" s="8"/>
      <c r="M25" s="8"/>
    </row>
    <row r="26" spans="1:13" ht="15.75" hidden="1" customHeight="1">
      <c r="A26" s="29">
        <v>11</v>
      </c>
      <c r="B26" s="82" t="s">
        <v>100</v>
      </c>
      <c r="C26" s="83" t="s">
        <v>52</v>
      </c>
      <c r="D26" s="82" t="s">
        <v>94</v>
      </c>
      <c r="E26" s="84">
        <v>14.4</v>
      </c>
      <c r="F26" s="85">
        <f>SUM(E26/100)</f>
        <v>0.14400000000000002</v>
      </c>
      <c r="G26" s="85">
        <v>648.04999999999995</v>
      </c>
      <c r="H26" s="86">
        <f t="shared" si="0"/>
        <v>9.3319200000000005E-2</v>
      </c>
      <c r="I26" s="13">
        <f>F26*G26</f>
        <v>93.319200000000009</v>
      </c>
      <c r="J26" s="22"/>
      <c r="K26" s="8"/>
      <c r="L26" s="8"/>
      <c r="M26" s="8"/>
    </row>
    <row r="27" spans="1:13" ht="15.75" customHeight="1">
      <c r="A27" s="29">
        <v>4</v>
      </c>
      <c r="B27" s="82" t="s">
        <v>63</v>
      </c>
      <c r="C27" s="83" t="s">
        <v>31</v>
      </c>
      <c r="D27" s="82"/>
      <c r="E27" s="84">
        <v>0.1</v>
      </c>
      <c r="F27" s="85">
        <f>SUM(E27*365)</f>
        <v>36.5</v>
      </c>
      <c r="G27" s="85">
        <v>182.96</v>
      </c>
      <c r="H27" s="86">
        <f>SUM(F27*G27/1000)</f>
        <v>6.6780400000000002</v>
      </c>
      <c r="I27" s="13">
        <f>F27/12*G27</f>
        <v>556.50333333333333</v>
      </c>
      <c r="J27" s="22"/>
      <c r="K27" s="8"/>
      <c r="L27" s="8"/>
      <c r="M27" s="8"/>
    </row>
    <row r="28" spans="1:13" ht="15.75" hidden="1" customHeight="1">
      <c r="A28" s="29">
        <v>5</v>
      </c>
      <c r="B28" s="89" t="s">
        <v>23</v>
      </c>
      <c r="C28" s="83" t="s">
        <v>24</v>
      </c>
      <c r="D28" s="82"/>
      <c r="E28" s="84">
        <v>1839.1</v>
      </c>
      <c r="F28" s="85">
        <f>SUM(E28*12)</f>
        <v>22069.199999999997</v>
      </c>
      <c r="G28" s="85">
        <v>4.58</v>
      </c>
      <c r="H28" s="86">
        <f>SUM(F28*G28/1000)</f>
        <v>101.07693599999999</v>
      </c>
      <c r="I28" s="13">
        <f>F28/12*G28</f>
        <v>8423.0779999999995</v>
      </c>
      <c r="J28" s="22"/>
      <c r="K28" s="8"/>
      <c r="L28" s="8"/>
      <c r="M28" s="8"/>
    </row>
    <row r="29" spans="1:13" ht="15.75" customHeight="1">
      <c r="A29" s="143" t="s">
        <v>81</v>
      </c>
      <c r="B29" s="143"/>
      <c r="C29" s="143"/>
      <c r="D29" s="143"/>
      <c r="E29" s="143"/>
      <c r="F29" s="143"/>
      <c r="G29" s="143"/>
      <c r="H29" s="143"/>
      <c r="I29" s="143"/>
      <c r="J29" s="22"/>
      <c r="K29" s="8"/>
      <c r="L29" s="8"/>
      <c r="M29" s="8"/>
    </row>
    <row r="30" spans="1:13" ht="15.75" hidden="1" customHeight="1">
      <c r="A30" s="41"/>
      <c r="B30" s="51" t="s">
        <v>27</v>
      </c>
      <c r="C30" s="51"/>
      <c r="D30" s="51"/>
      <c r="E30" s="51"/>
      <c r="F30" s="51"/>
      <c r="G30" s="51"/>
      <c r="H30" s="51"/>
      <c r="I30" s="18"/>
      <c r="J30" s="22"/>
      <c r="K30" s="8"/>
      <c r="L30" s="8"/>
      <c r="M30" s="8"/>
    </row>
    <row r="31" spans="1:13" ht="15.75" hidden="1" customHeight="1">
      <c r="A31" s="41">
        <v>6</v>
      </c>
      <c r="B31" s="32" t="s">
        <v>101</v>
      </c>
      <c r="C31" s="83" t="s">
        <v>102</v>
      </c>
      <c r="D31" s="82" t="s">
        <v>103</v>
      </c>
      <c r="E31" s="85">
        <v>58</v>
      </c>
      <c r="F31" s="85">
        <f>SUM(E31*52/1000)</f>
        <v>3.016</v>
      </c>
      <c r="G31" s="85">
        <v>193.97</v>
      </c>
      <c r="H31" s="86">
        <f>SUM(F31*G31/1000)</f>
        <v>0.58501351999999995</v>
      </c>
      <c r="I31" s="13">
        <f>F31/6*G31</f>
        <v>97.502253333333343</v>
      </c>
      <c r="J31" s="22"/>
      <c r="K31" s="8"/>
      <c r="L31" s="8"/>
      <c r="M31" s="8"/>
    </row>
    <row r="32" spans="1:13" ht="31.5" hidden="1" customHeight="1">
      <c r="A32" s="41">
        <v>7</v>
      </c>
      <c r="B32" s="32" t="s">
        <v>104</v>
      </c>
      <c r="C32" s="83" t="s">
        <v>102</v>
      </c>
      <c r="D32" s="82" t="s">
        <v>105</v>
      </c>
      <c r="E32" s="85">
        <v>48.3</v>
      </c>
      <c r="F32" s="85">
        <f>SUM(E32*78/1000)</f>
        <v>3.7673999999999994</v>
      </c>
      <c r="G32" s="85">
        <v>321.82</v>
      </c>
      <c r="H32" s="86">
        <f>SUM(F32*G32/1000)</f>
        <v>1.2124246679999999</v>
      </c>
      <c r="I32" s="13">
        <f>F32/6*G32</f>
        <v>202.07077799999996</v>
      </c>
      <c r="J32" s="22"/>
      <c r="K32" s="8"/>
      <c r="L32" s="8"/>
      <c r="M32" s="8"/>
    </row>
    <row r="33" spans="1:14" ht="15.75" hidden="1" customHeight="1">
      <c r="A33" s="41">
        <v>16</v>
      </c>
      <c r="B33" s="32" t="s">
        <v>26</v>
      </c>
      <c r="C33" s="83" t="s">
        <v>102</v>
      </c>
      <c r="D33" s="82" t="s">
        <v>53</v>
      </c>
      <c r="E33" s="85">
        <v>58</v>
      </c>
      <c r="F33" s="85">
        <f>SUM(E33/1000)</f>
        <v>5.8000000000000003E-2</v>
      </c>
      <c r="G33" s="85">
        <v>3758.28</v>
      </c>
      <c r="H33" s="86">
        <f>SUM(F33*G33/1000)</f>
        <v>0.21798024000000002</v>
      </c>
      <c r="I33" s="13">
        <f>F33*G33</f>
        <v>217.98024000000001</v>
      </c>
      <c r="J33" s="22"/>
      <c r="K33" s="8"/>
      <c r="L33" s="8"/>
      <c r="M33" s="8"/>
    </row>
    <row r="34" spans="1:14" ht="15.75" hidden="1" customHeight="1">
      <c r="A34" s="41">
        <v>8</v>
      </c>
      <c r="B34" s="32" t="s">
        <v>106</v>
      </c>
      <c r="C34" s="83" t="s">
        <v>39</v>
      </c>
      <c r="D34" s="82" t="s">
        <v>62</v>
      </c>
      <c r="E34" s="85">
        <v>1</v>
      </c>
      <c r="F34" s="85">
        <f>E34*155/100</f>
        <v>1.55</v>
      </c>
      <c r="G34" s="85">
        <v>1620.15</v>
      </c>
      <c r="H34" s="86">
        <f>SUM(F34*G34/1000)</f>
        <v>2.5112325000000002</v>
      </c>
      <c r="I34" s="13">
        <f>F34/6*G34</f>
        <v>418.53875000000005</v>
      </c>
      <c r="J34" s="22"/>
      <c r="K34" s="8"/>
    </row>
    <row r="35" spans="1:14" ht="15.75" hidden="1" customHeight="1">
      <c r="A35" s="41">
        <v>9</v>
      </c>
      <c r="B35" s="32" t="s">
        <v>107</v>
      </c>
      <c r="C35" s="83" t="s">
        <v>29</v>
      </c>
      <c r="D35" s="82" t="s">
        <v>62</v>
      </c>
      <c r="E35" s="90">
        <f>1/3</f>
        <v>0.33333333333333331</v>
      </c>
      <c r="F35" s="85">
        <f>155/3</f>
        <v>51.666666666666664</v>
      </c>
      <c r="G35" s="85">
        <v>70.540000000000006</v>
      </c>
      <c r="H35" s="86">
        <f>SUM(G35*155/3/1000)</f>
        <v>3.644566666666667</v>
      </c>
      <c r="I35" s="13">
        <f>F35/6*G35</f>
        <v>607.42777777777781</v>
      </c>
      <c r="J35" s="23"/>
    </row>
    <row r="36" spans="1:14" ht="15.75" hidden="1" customHeight="1">
      <c r="A36" s="41">
        <v>4</v>
      </c>
      <c r="B36" s="82" t="s">
        <v>64</v>
      </c>
      <c r="C36" s="83" t="s">
        <v>31</v>
      </c>
      <c r="D36" s="82" t="s">
        <v>66</v>
      </c>
      <c r="E36" s="84"/>
      <c r="F36" s="85">
        <v>1</v>
      </c>
      <c r="G36" s="85">
        <v>238.07</v>
      </c>
      <c r="H36" s="86">
        <f>SUM(F36*G36/1000)</f>
        <v>0.23807</v>
      </c>
      <c r="I36" s="13">
        <v>0</v>
      </c>
      <c r="J36" s="23"/>
    </row>
    <row r="37" spans="1:14" ht="15.75" hidden="1" customHeight="1">
      <c r="A37" s="29">
        <v>8</v>
      </c>
      <c r="B37" s="82" t="s">
        <v>65</v>
      </c>
      <c r="C37" s="83" t="s">
        <v>30</v>
      </c>
      <c r="D37" s="82" t="s">
        <v>66</v>
      </c>
      <c r="E37" s="84"/>
      <c r="F37" s="85">
        <v>1</v>
      </c>
      <c r="G37" s="85">
        <v>1413.96</v>
      </c>
      <c r="H37" s="86">
        <f>SUM(F37*G37/1000)</f>
        <v>1.4139600000000001</v>
      </c>
      <c r="I37" s="13">
        <v>0</v>
      </c>
      <c r="J37" s="23"/>
    </row>
    <row r="38" spans="1:14" ht="15.75" customHeight="1">
      <c r="A38" s="41"/>
      <c r="B38" s="49" t="s">
        <v>5</v>
      </c>
      <c r="C38" s="49"/>
      <c r="D38" s="49"/>
      <c r="E38" s="13"/>
      <c r="F38" s="13"/>
      <c r="G38" s="14"/>
      <c r="H38" s="14"/>
      <c r="I38" s="18"/>
      <c r="J38" s="23"/>
    </row>
    <row r="39" spans="1:14" ht="15.75" customHeight="1">
      <c r="A39" s="33">
        <v>5</v>
      </c>
      <c r="B39" s="82" t="s">
        <v>25</v>
      </c>
      <c r="C39" s="83" t="s">
        <v>30</v>
      </c>
      <c r="D39" s="82"/>
      <c r="E39" s="84"/>
      <c r="F39" s="85">
        <v>2</v>
      </c>
      <c r="G39" s="85">
        <v>1900.37</v>
      </c>
      <c r="H39" s="86">
        <f t="shared" ref="H39:H44" si="1">SUM(F39*G39/1000)</f>
        <v>3.8007399999999998</v>
      </c>
      <c r="I39" s="13">
        <f t="shared" ref="I39:I42" si="2">F39/6*G39</f>
        <v>633.45666666666659</v>
      </c>
      <c r="J39" s="23"/>
    </row>
    <row r="40" spans="1:14" ht="15.75" customHeight="1">
      <c r="A40" s="33">
        <v>6</v>
      </c>
      <c r="B40" s="82" t="s">
        <v>67</v>
      </c>
      <c r="C40" s="83" t="s">
        <v>28</v>
      </c>
      <c r="D40" s="82" t="s">
        <v>108</v>
      </c>
      <c r="E40" s="85">
        <v>48.3</v>
      </c>
      <c r="F40" s="85">
        <f>SUM(E40*30/1000)</f>
        <v>1.4490000000000001</v>
      </c>
      <c r="G40" s="85">
        <v>2616.4899999999998</v>
      </c>
      <c r="H40" s="86">
        <f t="shared" si="1"/>
        <v>3.7912940100000001</v>
      </c>
      <c r="I40" s="13">
        <f t="shared" si="2"/>
        <v>631.88233500000001</v>
      </c>
      <c r="J40" s="23"/>
    </row>
    <row r="41" spans="1:14" ht="15.75" customHeight="1">
      <c r="A41" s="33">
        <v>7</v>
      </c>
      <c r="B41" s="82" t="s">
        <v>68</v>
      </c>
      <c r="C41" s="83" t="s">
        <v>28</v>
      </c>
      <c r="D41" s="82" t="s">
        <v>109</v>
      </c>
      <c r="E41" s="85">
        <v>48.3</v>
      </c>
      <c r="F41" s="85">
        <f>SUM(E41*155/1000)</f>
        <v>7.4865000000000004</v>
      </c>
      <c r="G41" s="85">
        <v>436.45</v>
      </c>
      <c r="H41" s="86">
        <f t="shared" si="1"/>
        <v>3.2674829250000004</v>
      </c>
      <c r="I41" s="13">
        <f t="shared" si="2"/>
        <v>544.5804875</v>
      </c>
      <c r="J41" s="23"/>
    </row>
    <row r="42" spans="1:14" ht="47.25" customHeight="1">
      <c r="A42" s="33">
        <v>8</v>
      </c>
      <c r="B42" s="82" t="s">
        <v>80</v>
      </c>
      <c r="C42" s="83" t="s">
        <v>102</v>
      </c>
      <c r="D42" s="82" t="s">
        <v>110</v>
      </c>
      <c r="E42" s="85">
        <f>E40</f>
        <v>48.3</v>
      </c>
      <c r="F42" s="85">
        <f>SUM(E42*35/1000)</f>
        <v>1.6904999999999999</v>
      </c>
      <c r="G42" s="85">
        <v>7221.21</v>
      </c>
      <c r="H42" s="86">
        <f t="shared" si="1"/>
        <v>12.207455505</v>
      </c>
      <c r="I42" s="13">
        <f t="shared" si="2"/>
        <v>2034.5759175000001</v>
      </c>
      <c r="J42" s="23"/>
      <c r="L42" s="19"/>
      <c r="M42" s="20"/>
      <c r="N42" s="21"/>
    </row>
    <row r="43" spans="1:14" ht="15.75" customHeight="1">
      <c r="A43" s="33">
        <v>9</v>
      </c>
      <c r="B43" s="82" t="s">
        <v>111</v>
      </c>
      <c r="C43" s="83" t="s">
        <v>102</v>
      </c>
      <c r="D43" s="82" t="s">
        <v>112</v>
      </c>
      <c r="E43" s="85">
        <f>E40</f>
        <v>48.3</v>
      </c>
      <c r="F43" s="85">
        <f>SUM(E43*20/1000)</f>
        <v>0.96599999999999997</v>
      </c>
      <c r="G43" s="85">
        <v>533.45000000000005</v>
      </c>
      <c r="H43" s="86">
        <f t="shared" si="1"/>
        <v>0.51531270000000007</v>
      </c>
      <c r="I43" s="13">
        <f>F43/7.5*G43</f>
        <v>68.708359999999999</v>
      </c>
      <c r="J43" s="23"/>
      <c r="L43" s="19"/>
      <c r="M43" s="20"/>
      <c r="N43" s="21"/>
    </row>
    <row r="44" spans="1:14" ht="15.75" customHeight="1">
      <c r="A44" s="33">
        <v>10</v>
      </c>
      <c r="B44" s="82" t="s">
        <v>69</v>
      </c>
      <c r="C44" s="83" t="s">
        <v>31</v>
      </c>
      <c r="D44" s="82"/>
      <c r="E44" s="84"/>
      <c r="F44" s="85">
        <v>0.5</v>
      </c>
      <c r="G44" s="85">
        <v>992.97</v>
      </c>
      <c r="H44" s="86">
        <f t="shared" si="1"/>
        <v>0.49648500000000001</v>
      </c>
      <c r="I44" s="13">
        <f>F44/7.5*G44</f>
        <v>66.198000000000008</v>
      </c>
      <c r="J44" s="23"/>
      <c r="L44" s="19"/>
      <c r="M44" s="20"/>
      <c r="N44" s="21"/>
    </row>
    <row r="45" spans="1:14" ht="15.75" hidden="1" customHeight="1">
      <c r="A45" s="144" t="s">
        <v>137</v>
      </c>
      <c r="B45" s="145"/>
      <c r="C45" s="145"/>
      <c r="D45" s="145"/>
      <c r="E45" s="145"/>
      <c r="F45" s="145"/>
      <c r="G45" s="145"/>
      <c r="H45" s="145"/>
      <c r="I45" s="146"/>
      <c r="J45" s="23"/>
      <c r="L45" s="19"/>
      <c r="M45" s="20"/>
      <c r="N45" s="21"/>
    </row>
    <row r="46" spans="1:14" ht="15.75" hidden="1" customHeight="1">
      <c r="A46" s="41">
        <v>12</v>
      </c>
      <c r="B46" s="82" t="s">
        <v>113</v>
      </c>
      <c r="C46" s="83" t="s">
        <v>102</v>
      </c>
      <c r="D46" s="82" t="s">
        <v>41</v>
      </c>
      <c r="E46" s="84">
        <v>1044.7</v>
      </c>
      <c r="F46" s="85">
        <f>SUM(E46*2/1000)</f>
        <v>2.0893999999999999</v>
      </c>
      <c r="G46" s="13">
        <v>1283.46</v>
      </c>
      <c r="H46" s="86">
        <f t="shared" ref="H46:H56" si="3">SUM(F46*G46/1000)</f>
        <v>2.6816613240000002</v>
      </c>
      <c r="I46" s="13">
        <f t="shared" ref="I46:I49" si="4">F46/2*G46</f>
        <v>1340.8306620000001</v>
      </c>
      <c r="J46" s="23"/>
      <c r="L46" s="19"/>
      <c r="M46" s="20"/>
      <c r="N46" s="21"/>
    </row>
    <row r="47" spans="1:14" ht="15.75" hidden="1" customHeight="1">
      <c r="A47" s="41">
        <v>13</v>
      </c>
      <c r="B47" s="82" t="s">
        <v>34</v>
      </c>
      <c r="C47" s="83" t="s">
        <v>102</v>
      </c>
      <c r="D47" s="82" t="s">
        <v>41</v>
      </c>
      <c r="E47" s="84">
        <v>19.8</v>
      </c>
      <c r="F47" s="85">
        <f>SUM(E47*2/1000)</f>
        <v>3.9600000000000003E-2</v>
      </c>
      <c r="G47" s="13">
        <v>4192.6400000000003</v>
      </c>
      <c r="H47" s="86">
        <f t="shared" si="3"/>
        <v>0.16602854400000003</v>
      </c>
      <c r="I47" s="13">
        <f t="shared" si="4"/>
        <v>83.01427200000002</v>
      </c>
      <c r="J47" s="23"/>
      <c r="L47" s="19"/>
      <c r="M47" s="20"/>
      <c r="N47" s="21"/>
    </row>
    <row r="48" spans="1:14" ht="15.75" hidden="1" customHeight="1">
      <c r="A48" s="41">
        <v>14</v>
      </c>
      <c r="B48" s="82" t="s">
        <v>35</v>
      </c>
      <c r="C48" s="83" t="s">
        <v>102</v>
      </c>
      <c r="D48" s="82" t="s">
        <v>41</v>
      </c>
      <c r="E48" s="84">
        <v>660.84</v>
      </c>
      <c r="F48" s="85">
        <f>SUM(E48*2/1000)</f>
        <v>1.32168</v>
      </c>
      <c r="G48" s="13">
        <v>1711.28</v>
      </c>
      <c r="H48" s="86">
        <f t="shared" si="3"/>
        <v>2.2617645503999997</v>
      </c>
      <c r="I48" s="13">
        <f t="shared" si="4"/>
        <v>1130.8822751999999</v>
      </c>
      <c r="J48" s="23"/>
      <c r="L48" s="19"/>
      <c r="M48" s="20"/>
      <c r="N48" s="21"/>
    </row>
    <row r="49" spans="1:14" ht="15.75" hidden="1" customHeight="1">
      <c r="A49" s="41">
        <v>15</v>
      </c>
      <c r="B49" s="82" t="s">
        <v>36</v>
      </c>
      <c r="C49" s="83" t="s">
        <v>102</v>
      </c>
      <c r="D49" s="82" t="s">
        <v>41</v>
      </c>
      <c r="E49" s="84">
        <v>1156.21</v>
      </c>
      <c r="F49" s="85">
        <f>SUM(E49*2/1000)</f>
        <v>2.3124199999999999</v>
      </c>
      <c r="G49" s="13">
        <v>1179.73</v>
      </c>
      <c r="H49" s="86">
        <f t="shared" si="3"/>
        <v>2.7280312466000001</v>
      </c>
      <c r="I49" s="13">
        <f t="shared" si="4"/>
        <v>1364.0156233</v>
      </c>
      <c r="J49" s="23"/>
      <c r="L49" s="19"/>
      <c r="M49" s="20"/>
      <c r="N49" s="21"/>
    </row>
    <row r="50" spans="1:14" ht="15.75" hidden="1" customHeight="1">
      <c r="A50" s="41">
        <v>16</v>
      </c>
      <c r="B50" s="82" t="s">
        <v>32</v>
      </c>
      <c r="C50" s="83" t="s">
        <v>33</v>
      </c>
      <c r="D50" s="82" t="s">
        <v>144</v>
      </c>
      <c r="E50" s="84">
        <v>17.2</v>
      </c>
      <c r="F50" s="85">
        <f>SUM(E50*2/100)</f>
        <v>0.34399999999999997</v>
      </c>
      <c r="G50" s="13">
        <v>90.61</v>
      </c>
      <c r="H50" s="86">
        <f t="shared" si="3"/>
        <v>3.1169839999999997E-2</v>
      </c>
      <c r="I50" s="13">
        <f>F50/2*G50</f>
        <v>15.584919999999999</v>
      </c>
      <c r="J50" s="23"/>
      <c r="L50" s="19"/>
      <c r="M50" s="20"/>
      <c r="N50" s="21"/>
    </row>
    <row r="51" spans="1:14" ht="15.75" hidden="1" customHeight="1">
      <c r="A51" s="41">
        <v>17</v>
      </c>
      <c r="B51" s="82" t="s">
        <v>55</v>
      </c>
      <c r="C51" s="83" t="s">
        <v>102</v>
      </c>
      <c r="D51" s="82" t="s">
        <v>146</v>
      </c>
      <c r="E51" s="84">
        <v>1839.1</v>
      </c>
      <c r="F51" s="85">
        <f>SUM(E51*5/1000)</f>
        <v>9.1954999999999991</v>
      </c>
      <c r="G51" s="13">
        <v>1711.28</v>
      </c>
      <c r="H51" s="86">
        <f t="shared" si="3"/>
        <v>15.736075239999998</v>
      </c>
      <c r="I51" s="13">
        <f>F51/5*G51</f>
        <v>3147.2150479999996</v>
      </c>
      <c r="J51" s="23"/>
      <c r="L51" s="19"/>
      <c r="M51" s="20"/>
      <c r="N51" s="21"/>
    </row>
    <row r="52" spans="1:14" ht="31.5" hidden="1" customHeight="1">
      <c r="A52" s="41">
        <v>10</v>
      </c>
      <c r="B52" s="82" t="s">
        <v>114</v>
      </c>
      <c r="C52" s="83" t="s">
        <v>102</v>
      </c>
      <c r="D52" s="82" t="s">
        <v>41</v>
      </c>
      <c r="E52" s="84">
        <f>E51</f>
        <v>1839.1</v>
      </c>
      <c r="F52" s="85">
        <f>SUM(E52*2/1000)</f>
        <v>3.6781999999999999</v>
      </c>
      <c r="G52" s="13">
        <v>1510.06</v>
      </c>
      <c r="H52" s="86">
        <f t="shared" si="3"/>
        <v>5.5543026919999994</v>
      </c>
      <c r="I52" s="13">
        <f>F52/2*G52</f>
        <v>2777.1513459999996</v>
      </c>
      <c r="J52" s="23"/>
      <c r="L52" s="19"/>
      <c r="M52" s="20"/>
      <c r="N52" s="21"/>
    </row>
    <row r="53" spans="1:14" ht="31.5" hidden="1" customHeight="1">
      <c r="A53" s="41">
        <v>11</v>
      </c>
      <c r="B53" s="82" t="s">
        <v>115</v>
      </c>
      <c r="C53" s="83" t="s">
        <v>37</v>
      </c>
      <c r="D53" s="82" t="s">
        <v>41</v>
      </c>
      <c r="E53" s="84">
        <v>9</v>
      </c>
      <c r="F53" s="85">
        <f>SUM(E53*2/100)</f>
        <v>0.18</v>
      </c>
      <c r="G53" s="13">
        <v>3850.4</v>
      </c>
      <c r="H53" s="86">
        <f t="shared" si="3"/>
        <v>0.69307200000000002</v>
      </c>
      <c r="I53" s="13">
        <f t="shared" ref="I53:I54" si="5">F53/2*G53</f>
        <v>346.536</v>
      </c>
      <c r="J53" s="23"/>
      <c r="L53" s="19"/>
      <c r="M53" s="20"/>
      <c r="N53" s="21"/>
    </row>
    <row r="54" spans="1:14" ht="15.75" hidden="1" customHeight="1">
      <c r="A54" s="41">
        <v>12</v>
      </c>
      <c r="B54" s="82" t="s">
        <v>38</v>
      </c>
      <c r="C54" s="83" t="s">
        <v>39</v>
      </c>
      <c r="D54" s="82" t="s">
        <v>41</v>
      </c>
      <c r="E54" s="84">
        <v>1</v>
      </c>
      <c r="F54" s="85">
        <v>0.02</v>
      </c>
      <c r="G54" s="13">
        <v>7033.13</v>
      </c>
      <c r="H54" s="86">
        <f t="shared" si="3"/>
        <v>0.1406626</v>
      </c>
      <c r="I54" s="13">
        <f t="shared" si="5"/>
        <v>70.331299999999999</v>
      </c>
      <c r="J54" s="23"/>
      <c r="L54" s="19"/>
      <c r="M54" s="20"/>
      <c r="N54" s="21"/>
    </row>
    <row r="55" spans="1:14" ht="15.75" hidden="1" customHeight="1">
      <c r="A55" s="41">
        <v>13</v>
      </c>
      <c r="B55" s="82" t="s">
        <v>145</v>
      </c>
      <c r="C55" s="83" t="s">
        <v>29</v>
      </c>
      <c r="D55" s="82" t="s">
        <v>70</v>
      </c>
      <c r="E55" s="84">
        <v>36</v>
      </c>
      <c r="F55" s="85">
        <f>E55*3</f>
        <v>108</v>
      </c>
      <c r="G55" s="13">
        <v>175.6</v>
      </c>
      <c r="H55" s="86">
        <f t="shared" si="3"/>
        <v>18.9648</v>
      </c>
      <c r="I55" s="13">
        <f>E55*G55</f>
        <v>6321.5999999999995</v>
      </c>
      <c r="J55" s="23"/>
      <c r="L55" s="19"/>
      <c r="M55" s="20"/>
      <c r="N55" s="21"/>
    </row>
    <row r="56" spans="1:14" ht="15.75" hidden="1" customHeight="1">
      <c r="A56" s="41">
        <v>14</v>
      </c>
      <c r="B56" s="82" t="s">
        <v>40</v>
      </c>
      <c r="C56" s="83" t="s">
        <v>29</v>
      </c>
      <c r="D56" s="82" t="s">
        <v>70</v>
      </c>
      <c r="E56" s="84">
        <v>36</v>
      </c>
      <c r="F56" s="85">
        <f>E56*3</f>
        <v>108</v>
      </c>
      <c r="G56" s="13">
        <v>81.73</v>
      </c>
      <c r="H56" s="86">
        <f t="shared" si="3"/>
        <v>8.8268400000000007</v>
      </c>
      <c r="I56" s="13">
        <f>E56*G56</f>
        <v>2942.28</v>
      </c>
      <c r="J56" s="23"/>
      <c r="L56" s="19"/>
      <c r="M56" s="20"/>
      <c r="N56" s="21"/>
    </row>
    <row r="57" spans="1:14" ht="15.75" customHeight="1">
      <c r="A57" s="144" t="s">
        <v>154</v>
      </c>
      <c r="B57" s="145"/>
      <c r="C57" s="145"/>
      <c r="D57" s="145"/>
      <c r="E57" s="145"/>
      <c r="F57" s="145"/>
      <c r="G57" s="145"/>
      <c r="H57" s="145"/>
      <c r="I57" s="146"/>
      <c r="J57" s="23"/>
      <c r="L57" s="19"/>
      <c r="M57" s="20"/>
      <c r="N57" s="21"/>
    </row>
    <row r="58" spans="1:14" ht="15.75" hidden="1" customHeight="1">
      <c r="A58" s="114"/>
      <c r="B58" s="48" t="s">
        <v>42</v>
      </c>
      <c r="C58" s="16"/>
      <c r="D58" s="15"/>
      <c r="E58" s="15"/>
      <c r="F58" s="15"/>
      <c r="G58" s="29"/>
      <c r="H58" s="29"/>
      <c r="I58" s="18"/>
      <c r="J58" s="23"/>
      <c r="L58" s="19"/>
      <c r="M58" s="20"/>
      <c r="N58" s="21"/>
    </row>
    <row r="59" spans="1:14" ht="31.5" hidden="1" customHeight="1">
      <c r="A59" s="41">
        <v>12</v>
      </c>
      <c r="B59" s="82" t="s">
        <v>117</v>
      </c>
      <c r="C59" s="83" t="s">
        <v>147</v>
      </c>
      <c r="D59" s="82" t="s">
        <v>71</v>
      </c>
      <c r="E59" s="84">
        <v>12.5</v>
      </c>
      <c r="F59" s="85">
        <f>E59*6/100</f>
        <v>0.75</v>
      </c>
      <c r="G59" s="91">
        <v>2306.62</v>
      </c>
      <c r="H59" s="86">
        <f>F59*G59/1000</f>
        <v>1.729965</v>
      </c>
      <c r="I59" s="13">
        <f>F59/6*G59</f>
        <v>288.32749999999999</v>
      </c>
      <c r="J59" s="23"/>
      <c r="L59" s="19"/>
      <c r="M59" s="20"/>
      <c r="N59" s="21"/>
    </row>
    <row r="60" spans="1:14" ht="15.75" hidden="1" customHeight="1">
      <c r="A60" s="41">
        <v>13</v>
      </c>
      <c r="B60" s="92" t="s">
        <v>84</v>
      </c>
      <c r="C60" s="93" t="s">
        <v>118</v>
      </c>
      <c r="D60" s="37" t="s">
        <v>66</v>
      </c>
      <c r="E60" s="94"/>
      <c r="F60" s="95">
        <v>2</v>
      </c>
      <c r="G60" s="96">
        <v>1501</v>
      </c>
      <c r="H60" s="86">
        <f>F60*G60/1000</f>
        <v>3.0019999999999998</v>
      </c>
      <c r="I60" s="13">
        <f>G60*0.5</f>
        <v>750.5</v>
      </c>
      <c r="J60" s="23"/>
      <c r="L60" s="19"/>
      <c r="M60" s="20"/>
      <c r="N60" s="21"/>
    </row>
    <row r="61" spans="1:14" ht="15.75" hidden="1" customHeight="1">
      <c r="A61" s="41"/>
      <c r="B61" s="113" t="s">
        <v>43</v>
      </c>
      <c r="C61" s="113"/>
      <c r="D61" s="113"/>
      <c r="E61" s="113"/>
      <c r="F61" s="76"/>
      <c r="G61" s="63"/>
      <c r="H61" s="63"/>
      <c r="I61" s="35"/>
      <c r="J61" s="23"/>
      <c r="L61" s="19"/>
      <c r="M61" s="20"/>
      <c r="N61" s="21"/>
    </row>
    <row r="62" spans="1:14" ht="15.75" hidden="1" customHeight="1">
      <c r="A62" s="41">
        <v>27</v>
      </c>
      <c r="B62" s="92" t="s">
        <v>44</v>
      </c>
      <c r="C62" s="93" t="s">
        <v>52</v>
      </c>
      <c r="D62" s="92" t="s">
        <v>53</v>
      </c>
      <c r="E62" s="94">
        <v>164</v>
      </c>
      <c r="F62" s="95">
        <f>E62/100</f>
        <v>1.64</v>
      </c>
      <c r="G62" s="96">
        <v>987.51</v>
      </c>
      <c r="H62" s="97">
        <f>G62*F62/1000</f>
        <v>1.6195164</v>
      </c>
      <c r="I62" s="13">
        <v>0</v>
      </c>
      <c r="J62" s="23"/>
      <c r="L62" s="19"/>
      <c r="M62" s="20"/>
      <c r="N62" s="21"/>
    </row>
    <row r="63" spans="1:14" ht="15.75" customHeight="1">
      <c r="A63" s="41"/>
      <c r="B63" s="113" t="s">
        <v>45</v>
      </c>
      <c r="C63" s="16"/>
      <c r="D63" s="37"/>
      <c r="E63" s="15"/>
      <c r="F63" s="77"/>
      <c r="G63" s="64"/>
      <c r="H63" s="63"/>
      <c r="I63" s="18"/>
      <c r="J63" s="23"/>
      <c r="L63" s="19"/>
    </row>
    <row r="64" spans="1:14" ht="15.75" hidden="1" customHeight="1">
      <c r="A64" s="41">
        <v>17</v>
      </c>
      <c r="B64" s="98" t="s">
        <v>46</v>
      </c>
      <c r="C64" s="16" t="s">
        <v>116</v>
      </c>
      <c r="D64" s="98" t="s">
        <v>66</v>
      </c>
      <c r="E64" s="18">
        <v>1</v>
      </c>
      <c r="F64" s="85">
        <f>E64</f>
        <v>1</v>
      </c>
      <c r="G64" s="13">
        <v>276.74</v>
      </c>
      <c r="H64" s="99">
        <f t="shared" ref="H64:H72" si="6">SUM(F64*G64/1000)</f>
        <v>0.27673999999999999</v>
      </c>
      <c r="I64" s="13">
        <v>0</v>
      </c>
    </row>
    <row r="65" spans="1:22" ht="15.75" hidden="1" customHeight="1">
      <c r="A65" s="29">
        <v>29</v>
      </c>
      <c r="B65" s="98" t="s">
        <v>47</v>
      </c>
      <c r="C65" s="16" t="s">
        <v>116</v>
      </c>
      <c r="D65" s="98" t="s">
        <v>66</v>
      </c>
      <c r="E65" s="18">
        <v>3</v>
      </c>
      <c r="F65" s="85">
        <v>3</v>
      </c>
      <c r="G65" s="13">
        <v>94.89</v>
      </c>
      <c r="H65" s="99">
        <f t="shared" si="6"/>
        <v>0.28467000000000003</v>
      </c>
      <c r="I65" s="13">
        <v>0</v>
      </c>
    </row>
    <row r="66" spans="1:22" ht="15.75" hidden="1" customHeight="1">
      <c r="A66" s="29">
        <v>28</v>
      </c>
      <c r="B66" s="98" t="s">
        <v>48</v>
      </c>
      <c r="C66" s="16" t="s">
        <v>119</v>
      </c>
      <c r="D66" s="98" t="s">
        <v>53</v>
      </c>
      <c r="E66" s="84">
        <v>7265</v>
      </c>
      <c r="F66" s="13">
        <f>SUM(E66/100)</f>
        <v>72.650000000000006</v>
      </c>
      <c r="G66" s="13">
        <v>263.99</v>
      </c>
      <c r="H66" s="99">
        <f t="shared" si="6"/>
        <v>19.178873500000002</v>
      </c>
      <c r="I66" s="13">
        <f>F66*G66</f>
        <v>19178.873500000002</v>
      </c>
    </row>
    <row r="67" spans="1:22" ht="15.75" hidden="1" customHeight="1">
      <c r="A67" s="29">
        <v>29</v>
      </c>
      <c r="B67" s="98" t="s">
        <v>49</v>
      </c>
      <c r="C67" s="16" t="s">
        <v>120</v>
      </c>
      <c r="D67" s="98" t="s">
        <v>53</v>
      </c>
      <c r="E67" s="84">
        <f>E66</f>
        <v>7265</v>
      </c>
      <c r="F67" s="13">
        <f>SUM(E67/1000)</f>
        <v>7.2649999999999997</v>
      </c>
      <c r="G67" s="13">
        <v>205.57</v>
      </c>
      <c r="H67" s="99">
        <f t="shared" si="6"/>
        <v>1.4934660500000001</v>
      </c>
      <c r="I67" s="13">
        <f t="shared" ref="I67:I70" si="7">F67*G67</f>
        <v>1493.46605</v>
      </c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9"/>
    </row>
    <row r="68" spans="1:22" ht="15.75" hidden="1" customHeight="1">
      <c r="A68" s="29">
        <v>30</v>
      </c>
      <c r="B68" s="98" t="s">
        <v>50</v>
      </c>
      <c r="C68" s="16" t="s">
        <v>76</v>
      </c>
      <c r="D68" s="98" t="s">
        <v>53</v>
      </c>
      <c r="E68" s="84">
        <v>1090</v>
      </c>
      <c r="F68" s="13">
        <f>SUM(E68/100)</f>
        <v>10.9</v>
      </c>
      <c r="G68" s="13">
        <v>2581.5300000000002</v>
      </c>
      <c r="H68" s="99">
        <f t="shared" si="6"/>
        <v>28.138677000000005</v>
      </c>
      <c r="I68" s="13">
        <f t="shared" si="7"/>
        <v>28138.677000000003</v>
      </c>
      <c r="J68" s="25"/>
      <c r="K68" s="25"/>
      <c r="L68" s="3"/>
      <c r="M68" s="3"/>
      <c r="N68" s="3"/>
      <c r="O68" s="3"/>
      <c r="P68" s="3"/>
      <c r="Q68" s="3"/>
      <c r="R68" s="3"/>
      <c r="S68" s="3"/>
      <c r="T68" s="3"/>
      <c r="U68" s="3"/>
    </row>
    <row r="69" spans="1:22" ht="15.75" hidden="1" customHeight="1">
      <c r="A69" s="29">
        <v>31</v>
      </c>
      <c r="B69" s="100" t="s">
        <v>121</v>
      </c>
      <c r="C69" s="16" t="s">
        <v>31</v>
      </c>
      <c r="D69" s="98"/>
      <c r="E69" s="84">
        <v>7.6</v>
      </c>
      <c r="F69" s="13">
        <f>SUM(E69)</f>
        <v>7.6</v>
      </c>
      <c r="G69" s="13">
        <v>47.45</v>
      </c>
      <c r="H69" s="99">
        <f t="shared" si="6"/>
        <v>0.36062</v>
      </c>
      <c r="I69" s="13">
        <f t="shared" si="7"/>
        <v>360.62</v>
      </c>
      <c r="J69" s="3"/>
      <c r="K69" s="3"/>
      <c r="L69" s="3"/>
      <c r="M69" s="3"/>
      <c r="N69" s="3"/>
      <c r="O69" s="3"/>
      <c r="P69" s="3"/>
      <c r="Q69" s="3"/>
      <c r="S69" s="3"/>
      <c r="T69" s="3"/>
      <c r="U69" s="3"/>
    </row>
    <row r="70" spans="1:22" ht="15.75" hidden="1" customHeight="1">
      <c r="A70" s="29">
        <v>32</v>
      </c>
      <c r="B70" s="100" t="s">
        <v>148</v>
      </c>
      <c r="C70" s="16" t="s">
        <v>31</v>
      </c>
      <c r="D70" s="98"/>
      <c r="E70" s="84">
        <f>E69</f>
        <v>7.6</v>
      </c>
      <c r="F70" s="13">
        <f>SUM(E70)</f>
        <v>7.6</v>
      </c>
      <c r="G70" s="13">
        <v>44.27</v>
      </c>
      <c r="H70" s="99">
        <f t="shared" si="6"/>
        <v>0.33645199999999997</v>
      </c>
      <c r="I70" s="13">
        <f t="shared" si="7"/>
        <v>336.452</v>
      </c>
      <c r="J70" s="5"/>
      <c r="K70" s="5"/>
      <c r="L70" s="5"/>
      <c r="M70" s="5"/>
      <c r="N70" s="5"/>
      <c r="O70" s="5"/>
      <c r="P70" s="5"/>
      <c r="Q70" s="5"/>
      <c r="R70" s="136"/>
      <c r="S70" s="136"/>
      <c r="T70" s="136"/>
      <c r="U70" s="136"/>
    </row>
    <row r="71" spans="1:22" ht="15.75" hidden="1" customHeight="1">
      <c r="A71" s="29">
        <v>18</v>
      </c>
      <c r="B71" s="98" t="s">
        <v>56</v>
      </c>
      <c r="C71" s="16" t="s">
        <v>57</v>
      </c>
      <c r="D71" s="98" t="s">
        <v>53</v>
      </c>
      <c r="E71" s="18">
        <v>2</v>
      </c>
      <c r="F71" s="85">
        <f>SUM(E71)</f>
        <v>2</v>
      </c>
      <c r="G71" s="13">
        <v>62.07</v>
      </c>
      <c r="H71" s="99">
        <f t="shared" si="6"/>
        <v>0.12414</v>
      </c>
      <c r="I71" s="13">
        <f>F71*G71</f>
        <v>124.14</v>
      </c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</row>
    <row r="72" spans="1:22" ht="15.75" customHeight="1">
      <c r="A72" s="29">
        <v>11</v>
      </c>
      <c r="B72" s="98" t="s">
        <v>85</v>
      </c>
      <c r="C72" s="41" t="s">
        <v>131</v>
      </c>
      <c r="D72" s="37" t="s">
        <v>66</v>
      </c>
      <c r="E72" s="17">
        <v>1839.1</v>
      </c>
      <c r="F72" s="101">
        <f>SUM(E72*12)</f>
        <v>22069.199999999997</v>
      </c>
      <c r="G72" s="13">
        <v>2.16</v>
      </c>
      <c r="H72" s="99">
        <f t="shared" si="6"/>
        <v>47.669471999999992</v>
      </c>
      <c r="I72" s="13">
        <f>F72/12*G72</f>
        <v>3972.4559999999997</v>
      </c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</row>
    <row r="73" spans="1:22" ht="15.75" hidden="1" customHeight="1">
      <c r="A73" s="29"/>
      <c r="B73" s="49" t="s">
        <v>72</v>
      </c>
      <c r="C73" s="49"/>
      <c r="D73" s="49"/>
      <c r="E73" s="18"/>
      <c r="F73" s="18"/>
      <c r="G73" s="29"/>
      <c r="H73" s="29"/>
      <c r="I73" s="18"/>
    </row>
    <row r="74" spans="1:22" ht="15.75" hidden="1" customHeight="1">
      <c r="A74" s="29"/>
      <c r="B74" s="98" t="s">
        <v>123</v>
      </c>
      <c r="C74" s="16" t="s">
        <v>124</v>
      </c>
      <c r="D74" s="98" t="s">
        <v>66</v>
      </c>
      <c r="E74" s="18">
        <v>1</v>
      </c>
      <c r="F74" s="13">
        <f>E74</f>
        <v>1</v>
      </c>
      <c r="G74" s="13">
        <v>976.4</v>
      </c>
      <c r="H74" s="99">
        <f t="shared" ref="H74:H78" si="8">SUM(F74*G74/1000)</f>
        <v>0.97639999999999993</v>
      </c>
      <c r="I74" s="13">
        <v>0</v>
      </c>
    </row>
    <row r="75" spans="1:22" ht="15.75" hidden="1" customHeight="1">
      <c r="A75" s="29"/>
      <c r="B75" s="98" t="s">
        <v>125</v>
      </c>
      <c r="C75" s="16" t="s">
        <v>126</v>
      </c>
      <c r="D75" s="98"/>
      <c r="E75" s="18">
        <v>1</v>
      </c>
      <c r="F75" s="13">
        <v>1</v>
      </c>
      <c r="G75" s="13">
        <v>650</v>
      </c>
      <c r="H75" s="99">
        <f t="shared" si="8"/>
        <v>0.65</v>
      </c>
      <c r="I75" s="13">
        <v>0</v>
      </c>
    </row>
    <row r="76" spans="1:22" ht="15.75" hidden="1" customHeight="1">
      <c r="A76" s="29"/>
      <c r="B76" s="98" t="s">
        <v>73</v>
      </c>
      <c r="C76" s="16" t="s">
        <v>149</v>
      </c>
      <c r="D76" s="98" t="s">
        <v>66</v>
      </c>
      <c r="E76" s="18">
        <v>3</v>
      </c>
      <c r="F76" s="13">
        <f>E76/10</f>
        <v>0.3</v>
      </c>
      <c r="G76" s="13">
        <v>624.16999999999996</v>
      </c>
      <c r="H76" s="99">
        <f t="shared" si="8"/>
        <v>0.18725099999999997</v>
      </c>
      <c r="I76" s="13">
        <v>0</v>
      </c>
    </row>
    <row r="77" spans="1:22" ht="15.75" hidden="1" customHeight="1">
      <c r="A77" s="29"/>
      <c r="B77" s="98" t="s">
        <v>74</v>
      </c>
      <c r="C77" s="16" t="s">
        <v>29</v>
      </c>
      <c r="D77" s="98" t="s">
        <v>66</v>
      </c>
      <c r="E77" s="18">
        <v>1</v>
      </c>
      <c r="F77" s="13">
        <v>1</v>
      </c>
      <c r="G77" s="13">
        <v>1061.4100000000001</v>
      </c>
      <c r="H77" s="99">
        <f t="shared" si="8"/>
        <v>1.0614100000000002</v>
      </c>
      <c r="I77" s="13">
        <v>0</v>
      </c>
    </row>
    <row r="78" spans="1:22" ht="15.75" hidden="1" customHeight="1">
      <c r="A78" s="29">
        <v>17</v>
      </c>
      <c r="B78" s="98" t="s">
        <v>86</v>
      </c>
      <c r="C78" s="16" t="s">
        <v>29</v>
      </c>
      <c r="D78" s="98" t="s">
        <v>66</v>
      </c>
      <c r="E78" s="18">
        <v>1</v>
      </c>
      <c r="F78" s="85">
        <f>SUM(E78)</f>
        <v>1</v>
      </c>
      <c r="G78" s="13">
        <v>446.12</v>
      </c>
      <c r="H78" s="99">
        <f t="shared" si="8"/>
        <v>0.44612000000000002</v>
      </c>
      <c r="I78" s="13">
        <f>G78</f>
        <v>446.12</v>
      </c>
    </row>
    <row r="79" spans="1:22" ht="15.75" hidden="1" customHeight="1">
      <c r="A79" s="29"/>
      <c r="B79" s="50" t="s">
        <v>75</v>
      </c>
      <c r="C79" s="38"/>
      <c r="D79" s="29"/>
      <c r="E79" s="18"/>
      <c r="F79" s="18"/>
      <c r="G79" s="36"/>
      <c r="H79" s="36"/>
      <c r="I79" s="18"/>
    </row>
    <row r="80" spans="1:22" ht="15.75" hidden="1" customHeight="1">
      <c r="A80" s="29">
        <v>39</v>
      </c>
      <c r="B80" s="39" t="s">
        <v>127</v>
      </c>
      <c r="C80" s="16" t="s">
        <v>76</v>
      </c>
      <c r="D80" s="98"/>
      <c r="E80" s="18"/>
      <c r="F80" s="13">
        <v>1.3</v>
      </c>
      <c r="G80" s="13">
        <v>3433.68</v>
      </c>
      <c r="H80" s="99">
        <f t="shared" ref="H80" si="9">SUM(F80*G80/1000)</f>
        <v>4.4637839999999995</v>
      </c>
      <c r="I80" s="13">
        <v>0</v>
      </c>
    </row>
    <row r="81" spans="1:9" ht="15.75" hidden="1" customHeight="1">
      <c r="A81" s="114"/>
      <c r="B81" s="113" t="s">
        <v>122</v>
      </c>
      <c r="C81" s="113"/>
      <c r="D81" s="113"/>
      <c r="E81" s="113"/>
      <c r="F81" s="113"/>
      <c r="G81" s="113"/>
      <c r="H81" s="113"/>
      <c r="I81" s="18"/>
    </row>
    <row r="82" spans="1:9" ht="15.75" hidden="1" customHeight="1">
      <c r="A82" s="29">
        <v>15</v>
      </c>
      <c r="B82" s="82" t="s">
        <v>89</v>
      </c>
      <c r="C82" s="16"/>
      <c r="D82" s="98"/>
      <c r="E82" s="102"/>
      <c r="F82" s="13">
        <v>1</v>
      </c>
      <c r="G82" s="13">
        <v>13707.8</v>
      </c>
      <c r="H82" s="99">
        <f>G82*F82/1000</f>
        <v>13.707799999999999</v>
      </c>
      <c r="I82" s="13">
        <f>G82</f>
        <v>13707.8</v>
      </c>
    </row>
    <row r="83" spans="1:9" ht="15.75" customHeight="1">
      <c r="A83" s="129" t="s">
        <v>155</v>
      </c>
      <c r="B83" s="130"/>
      <c r="C83" s="130"/>
      <c r="D83" s="130"/>
      <c r="E83" s="130"/>
      <c r="F83" s="130"/>
      <c r="G83" s="130"/>
      <c r="H83" s="130"/>
      <c r="I83" s="131"/>
    </row>
    <row r="84" spans="1:9" ht="15.75" customHeight="1">
      <c r="A84" s="29">
        <v>12</v>
      </c>
      <c r="B84" s="82" t="s">
        <v>128</v>
      </c>
      <c r="C84" s="16" t="s">
        <v>54</v>
      </c>
      <c r="D84" s="104" t="s">
        <v>150</v>
      </c>
      <c r="E84" s="13">
        <v>1839.1</v>
      </c>
      <c r="F84" s="13">
        <f>SUM(E84*12)</f>
        <v>22069.199999999997</v>
      </c>
      <c r="G84" s="13">
        <v>2.95</v>
      </c>
      <c r="H84" s="99">
        <f>SUM(F84*G84/1000)</f>
        <v>65.104139999999987</v>
      </c>
      <c r="I84" s="13">
        <f>F84/12*G84</f>
        <v>5425.3449999999993</v>
      </c>
    </row>
    <row r="85" spans="1:9" ht="31.5" customHeight="1">
      <c r="A85" s="29">
        <v>13</v>
      </c>
      <c r="B85" s="98" t="s">
        <v>77</v>
      </c>
      <c r="C85" s="16"/>
      <c r="D85" s="104" t="s">
        <v>150</v>
      </c>
      <c r="E85" s="84">
        <v>1839.1</v>
      </c>
      <c r="F85" s="13">
        <f>E85*12</f>
        <v>22069.199999999997</v>
      </c>
      <c r="G85" s="13">
        <v>3.05</v>
      </c>
      <c r="H85" s="99">
        <f>F85*G85/1000</f>
        <v>67.311059999999983</v>
      </c>
      <c r="I85" s="13">
        <f>F85/12*G85</f>
        <v>5609.2549999999983</v>
      </c>
    </row>
    <row r="86" spans="1:9" ht="31.5" customHeight="1">
      <c r="A86" s="29">
        <v>14</v>
      </c>
      <c r="B86" s="98" t="s">
        <v>132</v>
      </c>
      <c r="C86" s="16" t="s">
        <v>133</v>
      </c>
      <c r="D86" s="104" t="s">
        <v>150</v>
      </c>
      <c r="E86" s="102"/>
      <c r="F86" s="13"/>
      <c r="G86" s="13"/>
      <c r="H86" s="99">
        <v>59.113</v>
      </c>
      <c r="I86" s="13">
        <v>4926.08</v>
      </c>
    </row>
    <row r="87" spans="1:9" ht="15.75" customHeight="1">
      <c r="A87" s="114"/>
      <c r="B87" s="40" t="s">
        <v>79</v>
      </c>
      <c r="C87" s="41"/>
      <c r="D87" s="15"/>
      <c r="E87" s="15"/>
      <c r="F87" s="15"/>
      <c r="G87" s="18"/>
      <c r="H87" s="18"/>
      <c r="I87" s="31">
        <f>I86+I85+I84+I72+I44+I43+I42+I41+I40+I39+I27+I18+I17+I16</f>
        <v>30101.213706666658</v>
      </c>
    </row>
    <row r="88" spans="1:9" ht="15.75" customHeight="1">
      <c r="A88" s="132" t="s">
        <v>59</v>
      </c>
      <c r="B88" s="133"/>
      <c r="C88" s="133"/>
      <c r="D88" s="133"/>
      <c r="E88" s="133"/>
      <c r="F88" s="133"/>
      <c r="G88" s="133"/>
      <c r="H88" s="133"/>
      <c r="I88" s="134"/>
    </row>
    <row r="89" spans="1:9" ht="15.75" customHeight="1">
      <c r="A89" s="107">
        <v>15</v>
      </c>
      <c r="B89" s="37" t="s">
        <v>166</v>
      </c>
      <c r="C89" s="38" t="s">
        <v>167</v>
      </c>
      <c r="D89" s="52"/>
      <c r="E89" s="13"/>
      <c r="F89" s="13">
        <v>2</v>
      </c>
      <c r="G89" s="36">
        <v>1.2</v>
      </c>
      <c r="H89" s="99">
        <f t="shared" ref="H89" si="10">G89*F89/1000</f>
        <v>2.3999999999999998E-3</v>
      </c>
      <c r="I89" s="108">
        <f>G89*12</f>
        <v>14.399999999999999</v>
      </c>
    </row>
    <row r="90" spans="1:9" ht="30.75" customHeight="1">
      <c r="A90" s="107">
        <v>16</v>
      </c>
      <c r="B90" s="128" t="s">
        <v>223</v>
      </c>
      <c r="C90" s="66" t="s">
        <v>28</v>
      </c>
      <c r="D90" s="52"/>
      <c r="E90" s="13"/>
      <c r="F90" s="13"/>
      <c r="G90" s="36">
        <v>18798.34</v>
      </c>
      <c r="H90" s="99"/>
      <c r="I90" s="108">
        <f>G90*0.599*3/1000</f>
        <v>33.780616979999998</v>
      </c>
    </row>
    <row r="91" spans="1:9" ht="15.75" customHeight="1">
      <c r="A91" s="29"/>
      <c r="B91" s="46" t="s">
        <v>51</v>
      </c>
      <c r="C91" s="42"/>
      <c r="D91" s="54"/>
      <c r="E91" s="42">
        <v>1</v>
      </c>
      <c r="F91" s="42"/>
      <c r="G91" s="42"/>
      <c r="H91" s="42"/>
      <c r="I91" s="31">
        <f>SUM(I89:I90)</f>
        <v>48.180616979999996</v>
      </c>
    </row>
    <row r="92" spans="1:9" ht="15.75" customHeight="1">
      <c r="A92" s="29"/>
      <c r="B92" s="52" t="s">
        <v>78</v>
      </c>
      <c r="C92" s="15"/>
      <c r="D92" s="15"/>
      <c r="E92" s="43"/>
      <c r="F92" s="43"/>
      <c r="G92" s="44"/>
      <c r="H92" s="44"/>
      <c r="I92" s="17">
        <v>0</v>
      </c>
    </row>
    <row r="93" spans="1:9" ht="15.75" customHeight="1">
      <c r="A93" s="55"/>
      <c r="B93" s="47" t="s">
        <v>140</v>
      </c>
      <c r="C93" s="34"/>
      <c r="D93" s="34"/>
      <c r="E93" s="34"/>
      <c r="F93" s="34"/>
      <c r="G93" s="34"/>
      <c r="H93" s="34"/>
      <c r="I93" s="45">
        <f>I87+I91</f>
        <v>30149.394323646658</v>
      </c>
    </row>
    <row r="94" spans="1:9" ht="15.75">
      <c r="A94" s="135" t="s">
        <v>224</v>
      </c>
      <c r="B94" s="135"/>
      <c r="C94" s="135"/>
      <c r="D94" s="135"/>
      <c r="E94" s="135"/>
      <c r="F94" s="135"/>
      <c r="G94" s="135"/>
      <c r="H94" s="135"/>
      <c r="I94" s="135"/>
    </row>
    <row r="95" spans="1:9" ht="15.75">
      <c r="A95" s="61"/>
      <c r="B95" s="151" t="s">
        <v>225</v>
      </c>
      <c r="C95" s="151"/>
      <c r="D95" s="151"/>
      <c r="E95" s="151"/>
      <c r="F95" s="151"/>
      <c r="G95" s="151"/>
      <c r="H95" s="80"/>
      <c r="I95" s="3"/>
    </row>
    <row r="96" spans="1:9">
      <c r="A96" s="111"/>
      <c r="B96" s="147" t="s">
        <v>6</v>
      </c>
      <c r="C96" s="147"/>
      <c r="D96" s="147"/>
      <c r="E96" s="147"/>
      <c r="F96" s="147"/>
      <c r="G96" s="147"/>
      <c r="H96" s="24"/>
      <c r="I96" s="5"/>
    </row>
    <row r="97" spans="1:9">
      <c r="A97" s="10"/>
      <c r="B97" s="10"/>
      <c r="C97" s="10"/>
      <c r="D97" s="10"/>
      <c r="E97" s="10"/>
      <c r="F97" s="10"/>
      <c r="G97" s="10"/>
      <c r="H97" s="10"/>
      <c r="I97" s="10"/>
    </row>
    <row r="98" spans="1:9" ht="15.75">
      <c r="A98" s="155" t="s">
        <v>7</v>
      </c>
      <c r="B98" s="155"/>
      <c r="C98" s="155"/>
      <c r="D98" s="155"/>
      <c r="E98" s="155"/>
      <c r="F98" s="155"/>
      <c r="G98" s="155"/>
      <c r="H98" s="155"/>
      <c r="I98" s="155"/>
    </row>
    <row r="99" spans="1:9" ht="15.75">
      <c r="A99" s="155" t="s">
        <v>8</v>
      </c>
      <c r="B99" s="155"/>
      <c r="C99" s="155"/>
      <c r="D99" s="155"/>
      <c r="E99" s="155"/>
      <c r="F99" s="155"/>
      <c r="G99" s="155"/>
      <c r="H99" s="155"/>
      <c r="I99" s="155"/>
    </row>
    <row r="100" spans="1:9" ht="15.75">
      <c r="A100" s="152" t="s">
        <v>60</v>
      </c>
      <c r="B100" s="152"/>
      <c r="C100" s="152"/>
      <c r="D100" s="152"/>
      <c r="E100" s="152"/>
      <c r="F100" s="152"/>
      <c r="G100" s="152"/>
      <c r="H100" s="152"/>
      <c r="I100" s="152"/>
    </row>
    <row r="101" spans="1:9" ht="15.75">
      <c r="A101" s="11"/>
    </row>
    <row r="102" spans="1:9" ht="15.75">
      <c r="A102" s="153" t="s">
        <v>9</v>
      </c>
      <c r="B102" s="153"/>
      <c r="C102" s="153"/>
      <c r="D102" s="153"/>
      <c r="E102" s="153"/>
      <c r="F102" s="153"/>
      <c r="G102" s="153"/>
      <c r="H102" s="153"/>
      <c r="I102" s="153"/>
    </row>
    <row r="103" spans="1:9" ht="15.75">
      <c r="A103" s="4"/>
    </row>
    <row r="104" spans="1:9" ht="15.75">
      <c r="B104" s="116" t="s">
        <v>10</v>
      </c>
      <c r="C104" s="154" t="s">
        <v>87</v>
      </c>
      <c r="D104" s="154"/>
      <c r="E104" s="154"/>
      <c r="F104" s="78"/>
      <c r="I104" s="115"/>
    </row>
    <row r="105" spans="1:9">
      <c r="A105" s="111"/>
      <c r="C105" s="147" t="s">
        <v>11</v>
      </c>
      <c r="D105" s="147"/>
      <c r="E105" s="147"/>
      <c r="F105" s="24"/>
      <c r="I105" s="117" t="s">
        <v>12</v>
      </c>
    </row>
    <row r="106" spans="1:9" ht="15.75">
      <c r="A106" s="25"/>
      <c r="C106" s="12"/>
      <c r="D106" s="12"/>
      <c r="G106" s="12"/>
      <c r="H106" s="12"/>
    </row>
    <row r="107" spans="1:9" ht="15.75">
      <c r="B107" s="116" t="s">
        <v>13</v>
      </c>
      <c r="C107" s="149"/>
      <c r="D107" s="149"/>
      <c r="E107" s="149"/>
      <c r="F107" s="79"/>
      <c r="I107" s="115"/>
    </row>
    <row r="108" spans="1:9">
      <c r="A108" s="111"/>
      <c r="C108" s="136" t="s">
        <v>11</v>
      </c>
      <c r="D108" s="136"/>
      <c r="E108" s="136"/>
      <c r="F108" s="111"/>
      <c r="I108" s="117" t="s">
        <v>12</v>
      </c>
    </row>
    <row r="109" spans="1:9" ht="15.75">
      <c r="A109" s="4" t="s">
        <v>14</v>
      </c>
    </row>
    <row r="110" spans="1:9">
      <c r="A110" s="150" t="s">
        <v>15</v>
      </c>
      <c r="B110" s="150"/>
      <c r="C110" s="150"/>
      <c r="D110" s="150"/>
      <c r="E110" s="150"/>
      <c r="F110" s="150"/>
      <c r="G110" s="150"/>
      <c r="H110" s="150"/>
      <c r="I110" s="150"/>
    </row>
    <row r="111" spans="1:9" ht="45" customHeight="1">
      <c r="A111" s="148" t="s">
        <v>16</v>
      </c>
      <c r="B111" s="148"/>
      <c r="C111" s="148"/>
      <c r="D111" s="148"/>
      <c r="E111" s="148"/>
      <c r="F111" s="148"/>
      <c r="G111" s="148"/>
      <c r="H111" s="148"/>
      <c r="I111" s="148"/>
    </row>
    <row r="112" spans="1:9" ht="30" customHeight="1">
      <c r="A112" s="148" t="s">
        <v>17</v>
      </c>
      <c r="B112" s="148"/>
      <c r="C112" s="148"/>
      <c r="D112" s="148"/>
      <c r="E112" s="148"/>
      <c r="F112" s="148"/>
      <c r="G112" s="148"/>
      <c r="H112" s="148"/>
      <c r="I112" s="148"/>
    </row>
    <row r="113" spans="1:9" ht="30" customHeight="1">
      <c r="A113" s="148" t="s">
        <v>21</v>
      </c>
      <c r="B113" s="148"/>
      <c r="C113" s="148"/>
      <c r="D113" s="148"/>
      <c r="E113" s="148"/>
      <c r="F113" s="148"/>
      <c r="G113" s="148"/>
      <c r="H113" s="148"/>
      <c r="I113" s="148"/>
    </row>
    <row r="114" spans="1:9" ht="15.75">
      <c r="A114" s="148" t="s">
        <v>20</v>
      </c>
      <c r="B114" s="148"/>
      <c r="C114" s="148"/>
      <c r="D114" s="148"/>
      <c r="E114" s="148"/>
      <c r="F114" s="148"/>
      <c r="G114" s="148"/>
      <c r="H114" s="148"/>
      <c r="I114" s="148"/>
    </row>
  </sheetData>
  <autoFilter ref="I12:I65"/>
  <mergeCells count="29">
    <mergeCell ref="A14:I14"/>
    <mergeCell ref="A15:I15"/>
    <mergeCell ref="A29:I29"/>
    <mergeCell ref="A45:I45"/>
    <mergeCell ref="A57:I57"/>
    <mergeCell ref="A3:I3"/>
    <mergeCell ref="A4:I4"/>
    <mergeCell ref="A5:I5"/>
    <mergeCell ref="A8:I8"/>
    <mergeCell ref="A10:I10"/>
    <mergeCell ref="R70:U70"/>
    <mergeCell ref="C108:E108"/>
    <mergeCell ref="A88:I88"/>
    <mergeCell ref="A94:I94"/>
    <mergeCell ref="B95:G95"/>
    <mergeCell ref="B96:G96"/>
    <mergeCell ref="A98:I98"/>
    <mergeCell ref="A99:I99"/>
    <mergeCell ref="A100:I100"/>
    <mergeCell ref="A102:I102"/>
    <mergeCell ref="C104:E104"/>
    <mergeCell ref="C105:E105"/>
    <mergeCell ref="C107:E107"/>
    <mergeCell ref="A83:I83"/>
    <mergeCell ref="A110:I110"/>
    <mergeCell ref="A111:I111"/>
    <mergeCell ref="A112:I112"/>
    <mergeCell ref="A113:I113"/>
    <mergeCell ref="A114:I114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>
  <dimension ref="A1:V118"/>
  <sheetViews>
    <sheetView tabSelected="1" workbookViewId="0">
      <selection activeCell="I100" sqref="I100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7" t="s">
        <v>196</v>
      </c>
      <c r="I1" s="26"/>
      <c r="J1" s="1"/>
      <c r="K1" s="1"/>
      <c r="L1" s="1"/>
      <c r="M1" s="1"/>
    </row>
    <row r="2" spans="1:13" ht="15.75" customHeight="1">
      <c r="A2" s="28" t="s">
        <v>61</v>
      </c>
      <c r="J2" s="2"/>
      <c r="K2" s="2"/>
      <c r="L2" s="2"/>
      <c r="M2" s="2"/>
    </row>
    <row r="3" spans="1:13" ht="15.75" customHeight="1">
      <c r="A3" s="137" t="s">
        <v>164</v>
      </c>
      <c r="B3" s="137"/>
      <c r="C3" s="137"/>
      <c r="D3" s="137"/>
      <c r="E3" s="137"/>
      <c r="F3" s="137"/>
      <c r="G3" s="137"/>
      <c r="H3" s="137"/>
      <c r="I3" s="137"/>
      <c r="J3" s="3"/>
      <c r="K3" s="3"/>
      <c r="L3" s="3"/>
    </row>
    <row r="4" spans="1:13" ht="31.5" customHeight="1">
      <c r="A4" s="138" t="s">
        <v>129</v>
      </c>
      <c r="B4" s="138"/>
      <c r="C4" s="138"/>
      <c r="D4" s="138"/>
      <c r="E4" s="138"/>
      <c r="F4" s="138"/>
      <c r="G4" s="138"/>
      <c r="H4" s="138"/>
      <c r="I4" s="138"/>
    </row>
    <row r="5" spans="1:13" ht="15.75" customHeight="1">
      <c r="A5" s="137" t="s">
        <v>226</v>
      </c>
      <c r="B5" s="141"/>
      <c r="C5" s="141"/>
      <c r="D5" s="141"/>
      <c r="E5" s="141"/>
      <c r="F5" s="141"/>
      <c r="G5" s="141"/>
      <c r="H5" s="141"/>
      <c r="I5" s="141"/>
      <c r="J5" s="2"/>
      <c r="K5" s="2"/>
      <c r="L5" s="2"/>
      <c r="M5" s="2"/>
    </row>
    <row r="6" spans="1:13" ht="15.75" customHeight="1">
      <c r="A6" s="2"/>
      <c r="B6" s="112"/>
      <c r="C6" s="112"/>
      <c r="D6" s="112"/>
      <c r="E6" s="112"/>
      <c r="F6" s="112"/>
      <c r="G6" s="112"/>
      <c r="H6" s="112"/>
      <c r="I6" s="30">
        <v>43465</v>
      </c>
      <c r="J6" s="2"/>
      <c r="K6" s="2"/>
      <c r="L6" s="2"/>
      <c r="M6" s="2"/>
    </row>
    <row r="7" spans="1:13" ht="15.75" customHeight="1">
      <c r="B7" s="116"/>
      <c r="C7" s="116"/>
      <c r="D7" s="116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139" t="s">
        <v>197</v>
      </c>
      <c r="B8" s="139"/>
      <c r="C8" s="139"/>
      <c r="D8" s="139"/>
      <c r="E8" s="139"/>
      <c r="F8" s="139"/>
      <c r="G8" s="139"/>
      <c r="H8" s="139"/>
      <c r="I8" s="139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140" t="s">
        <v>135</v>
      </c>
      <c r="B10" s="140"/>
      <c r="C10" s="140"/>
      <c r="D10" s="140"/>
      <c r="E10" s="140"/>
      <c r="F10" s="140"/>
      <c r="G10" s="140"/>
      <c r="H10" s="140"/>
      <c r="I10" s="140"/>
      <c r="J10" s="2"/>
      <c r="K10" s="2"/>
      <c r="L10" s="2"/>
      <c r="M10" s="2"/>
    </row>
    <row r="11" spans="1:13" ht="15.75">
      <c r="A11" s="4"/>
    </row>
    <row r="12" spans="1:13" ht="47.2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142" t="s">
        <v>58</v>
      </c>
      <c r="B14" s="142"/>
      <c r="C14" s="142"/>
      <c r="D14" s="142"/>
      <c r="E14" s="142"/>
      <c r="F14" s="142"/>
      <c r="G14" s="142"/>
      <c r="H14" s="142"/>
      <c r="I14" s="142"/>
      <c r="J14" s="8"/>
      <c r="K14" s="8"/>
      <c r="L14" s="8"/>
      <c r="M14" s="8"/>
    </row>
    <row r="15" spans="1:13" ht="15.75" customHeight="1">
      <c r="A15" s="143" t="s">
        <v>4</v>
      </c>
      <c r="B15" s="143"/>
      <c r="C15" s="143"/>
      <c r="D15" s="143"/>
      <c r="E15" s="143"/>
      <c r="F15" s="143"/>
      <c r="G15" s="143"/>
      <c r="H15" s="143"/>
      <c r="I15" s="143"/>
      <c r="J15" s="8"/>
      <c r="K15" s="8"/>
      <c r="L15" s="8"/>
      <c r="M15" s="8"/>
    </row>
    <row r="16" spans="1:13" ht="15.75" customHeight="1">
      <c r="A16" s="29">
        <v>1</v>
      </c>
      <c r="B16" s="82" t="s">
        <v>83</v>
      </c>
      <c r="C16" s="83" t="s">
        <v>92</v>
      </c>
      <c r="D16" s="82" t="s">
        <v>141</v>
      </c>
      <c r="E16" s="84">
        <v>54.2</v>
      </c>
      <c r="F16" s="85">
        <f>SUM(E16*156/100)</f>
        <v>84.552000000000007</v>
      </c>
      <c r="G16" s="85">
        <v>218.21</v>
      </c>
      <c r="H16" s="86">
        <f t="shared" ref="H16:H26" si="0">SUM(F16*G16/1000)</f>
        <v>18.450091920000002</v>
      </c>
      <c r="I16" s="13">
        <f>F16/12*G16</f>
        <v>1537.5076600000002</v>
      </c>
      <c r="J16" s="8"/>
      <c r="K16" s="8"/>
      <c r="L16" s="8"/>
      <c r="M16" s="8"/>
    </row>
    <row r="17" spans="1:13" ht="15.75" customHeight="1">
      <c r="A17" s="29">
        <v>2</v>
      </c>
      <c r="B17" s="82" t="s">
        <v>90</v>
      </c>
      <c r="C17" s="83" t="s">
        <v>92</v>
      </c>
      <c r="D17" s="82" t="s">
        <v>142</v>
      </c>
      <c r="E17" s="84">
        <v>108.5</v>
      </c>
      <c r="F17" s="85">
        <f>SUM(E17*104/100)</f>
        <v>112.84</v>
      </c>
      <c r="G17" s="85">
        <v>218.21</v>
      </c>
      <c r="H17" s="86">
        <f t="shared" si="0"/>
        <v>24.622816400000005</v>
      </c>
      <c r="I17" s="13">
        <f>F17/12*G17</f>
        <v>2051.9013666666669</v>
      </c>
      <c r="J17" s="22"/>
      <c r="K17" s="8"/>
      <c r="L17" s="8"/>
      <c r="M17" s="8"/>
    </row>
    <row r="18" spans="1:13" ht="15.75" customHeight="1">
      <c r="A18" s="29">
        <v>3</v>
      </c>
      <c r="B18" s="82" t="s">
        <v>91</v>
      </c>
      <c r="C18" s="83" t="s">
        <v>92</v>
      </c>
      <c r="D18" s="82" t="s">
        <v>143</v>
      </c>
      <c r="E18" s="84">
        <f>SUM(E16+E17)</f>
        <v>162.69999999999999</v>
      </c>
      <c r="F18" s="85">
        <f>SUM(E18*24/100)</f>
        <v>39.047999999999995</v>
      </c>
      <c r="G18" s="85">
        <v>627.77</v>
      </c>
      <c r="H18" s="86">
        <f t="shared" si="0"/>
        <v>24.513162959999995</v>
      </c>
      <c r="I18" s="13">
        <f>F18/12*G18</f>
        <v>2042.7635799999996</v>
      </c>
      <c r="J18" s="22"/>
      <c r="K18" s="8"/>
      <c r="L18" s="8"/>
      <c r="M18" s="8"/>
    </row>
    <row r="19" spans="1:13" ht="15.75" hidden="1" customHeight="1">
      <c r="A19" s="29">
        <v>4</v>
      </c>
      <c r="B19" s="82" t="s">
        <v>93</v>
      </c>
      <c r="C19" s="83" t="s">
        <v>88</v>
      </c>
      <c r="D19" s="82" t="s">
        <v>94</v>
      </c>
      <c r="E19" s="84">
        <v>15.3</v>
      </c>
      <c r="F19" s="85">
        <f>SUM(E19/10)</f>
        <v>1.53</v>
      </c>
      <c r="G19" s="85">
        <v>211.74</v>
      </c>
      <c r="H19" s="86">
        <f t="shared" si="0"/>
        <v>0.32396219999999998</v>
      </c>
      <c r="I19" s="13">
        <f>F19/2*G19</f>
        <v>161.9811</v>
      </c>
      <c r="J19" s="22"/>
      <c r="K19" s="8"/>
      <c r="L19" s="8"/>
      <c r="M19" s="8"/>
    </row>
    <row r="20" spans="1:13" ht="15.75" hidden="1" customHeight="1">
      <c r="A20" s="29">
        <v>4</v>
      </c>
      <c r="B20" s="82" t="s">
        <v>96</v>
      </c>
      <c r="C20" s="83" t="s">
        <v>92</v>
      </c>
      <c r="D20" s="82" t="s">
        <v>41</v>
      </c>
      <c r="E20" s="84">
        <v>19.62</v>
      </c>
      <c r="F20" s="85">
        <f>SUM(E20*2/100)</f>
        <v>0.39240000000000003</v>
      </c>
      <c r="G20" s="85">
        <v>271.12</v>
      </c>
      <c r="H20" s="86">
        <f t="shared" si="0"/>
        <v>0.106387488</v>
      </c>
      <c r="I20" s="13">
        <f>F20/2*G20</f>
        <v>53.193744000000002</v>
      </c>
      <c r="J20" s="22"/>
      <c r="K20" s="8"/>
      <c r="L20" s="8"/>
      <c r="M20" s="8"/>
    </row>
    <row r="21" spans="1:13" ht="15.75" hidden="1" customHeight="1">
      <c r="A21" s="29">
        <v>5</v>
      </c>
      <c r="B21" s="82" t="s">
        <v>97</v>
      </c>
      <c r="C21" s="83" t="s">
        <v>92</v>
      </c>
      <c r="D21" s="82" t="s">
        <v>41</v>
      </c>
      <c r="E21" s="84">
        <v>8.68</v>
      </c>
      <c r="F21" s="85">
        <f>SUM(E21*2/100)</f>
        <v>0.1736</v>
      </c>
      <c r="G21" s="85">
        <v>268.92</v>
      </c>
      <c r="H21" s="86">
        <f t="shared" si="0"/>
        <v>4.6684512000000004E-2</v>
      </c>
      <c r="I21" s="13">
        <f>F21/2*G21</f>
        <v>23.342256000000003</v>
      </c>
      <c r="J21" s="22"/>
      <c r="K21" s="8"/>
      <c r="L21" s="8"/>
      <c r="M21" s="8"/>
    </row>
    <row r="22" spans="1:13" ht="15.75" hidden="1" customHeight="1">
      <c r="A22" s="29">
        <v>7</v>
      </c>
      <c r="B22" s="82" t="s">
        <v>98</v>
      </c>
      <c r="C22" s="83" t="s">
        <v>52</v>
      </c>
      <c r="D22" s="82" t="s">
        <v>94</v>
      </c>
      <c r="E22" s="84">
        <v>215</v>
      </c>
      <c r="F22" s="85">
        <f>SUM(E22/100)</f>
        <v>2.15</v>
      </c>
      <c r="G22" s="85">
        <v>335.05</v>
      </c>
      <c r="H22" s="86">
        <f t="shared" si="0"/>
        <v>0.72035749999999998</v>
      </c>
      <c r="I22" s="13">
        <f>F22*G22</f>
        <v>720.35749999999996</v>
      </c>
      <c r="J22" s="22"/>
      <c r="K22" s="8"/>
      <c r="L22" s="8"/>
      <c r="M22" s="8"/>
    </row>
    <row r="23" spans="1:13" ht="15.75" hidden="1" customHeight="1">
      <c r="A23" s="29">
        <v>8</v>
      </c>
      <c r="B23" s="82" t="s">
        <v>99</v>
      </c>
      <c r="C23" s="83" t="s">
        <v>52</v>
      </c>
      <c r="D23" s="82" t="s">
        <v>94</v>
      </c>
      <c r="E23" s="87">
        <v>17.64</v>
      </c>
      <c r="F23" s="85">
        <f>SUM(E23/100)</f>
        <v>0.1764</v>
      </c>
      <c r="G23" s="85">
        <v>55.1</v>
      </c>
      <c r="H23" s="86">
        <f t="shared" si="0"/>
        <v>9.7196399999999999E-3</v>
      </c>
      <c r="I23" s="13">
        <f>F23*G23</f>
        <v>9.7196400000000001</v>
      </c>
      <c r="J23" s="22"/>
      <c r="K23" s="8"/>
      <c r="L23" s="8"/>
      <c r="M23" s="8"/>
    </row>
    <row r="24" spans="1:13" ht="15.75" hidden="1" customHeight="1">
      <c r="A24" s="29">
        <v>9</v>
      </c>
      <c r="B24" s="82" t="s">
        <v>95</v>
      </c>
      <c r="C24" s="83" t="s">
        <v>52</v>
      </c>
      <c r="D24" s="82" t="s">
        <v>94</v>
      </c>
      <c r="E24" s="18">
        <v>4.5</v>
      </c>
      <c r="F24" s="88">
        <v>0.05</v>
      </c>
      <c r="G24" s="85">
        <v>484.94</v>
      </c>
      <c r="H24" s="86">
        <f>F24*G24/1000</f>
        <v>2.4247000000000001E-2</v>
      </c>
      <c r="I24" s="13">
        <f>F24*G24</f>
        <v>24.247</v>
      </c>
      <c r="J24" s="22"/>
      <c r="K24" s="8"/>
      <c r="L24" s="8"/>
      <c r="M24" s="8"/>
    </row>
    <row r="25" spans="1:13" ht="15.75" hidden="1" customHeight="1">
      <c r="A25" s="29">
        <v>10</v>
      </c>
      <c r="B25" s="82" t="s">
        <v>130</v>
      </c>
      <c r="C25" s="83" t="s">
        <v>52</v>
      </c>
      <c r="D25" s="82" t="s">
        <v>94</v>
      </c>
      <c r="E25" s="87">
        <v>9.4499999999999993</v>
      </c>
      <c r="F25" s="85">
        <v>0.09</v>
      </c>
      <c r="G25" s="85">
        <v>268.92</v>
      </c>
      <c r="H25" s="86">
        <f>F25*G25/1000</f>
        <v>2.42028E-2</v>
      </c>
      <c r="I25" s="13">
        <f>F25*G25</f>
        <v>24.2028</v>
      </c>
      <c r="J25" s="22"/>
      <c r="K25" s="8"/>
      <c r="L25" s="8"/>
      <c r="M25" s="8"/>
    </row>
    <row r="26" spans="1:13" ht="15.75" hidden="1" customHeight="1">
      <c r="A26" s="29">
        <v>11</v>
      </c>
      <c r="B26" s="82" t="s">
        <v>100</v>
      </c>
      <c r="C26" s="83" t="s">
        <v>52</v>
      </c>
      <c r="D26" s="82" t="s">
        <v>94</v>
      </c>
      <c r="E26" s="84">
        <v>14.4</v>
      </c>
      <c r="F26" s="85">
        <f>SUM(E26/100)</f>
        <v>0.14400000000000002</v>
      </c>
      <c r="G26" s="85">
        <v>648.04999999999995</v>
      </c>
      <c r="H26" s="86">
        <f t="shared" si="0"/>
        <v>9.3319200000000005E-2</v>
      </c>
      <c r="I26" s="13">
        <f>F26*G26</f>
        <v>93.319200000000009</v>
      </c>
      <c r="J26" s="22"/>
      <c r="K26" s="8"/>
      <c r="L26" s="8"/>
      <c r="M26" s="8"/>
    </row>
    <row r="27" spans="1:13" ht="15.75" customHeight="1">
      <c r="A27" s="29">
        <v>4</v>
      </c>
      <c r="B27" s="82" t="s">
        <v>63</v>
      </c>
      <c r="C27" s="83" t="s">
        <v>31</v>
      </c>
      <c r="D27" s="82"/>
      <c r="E27" s="84">
        <v>0.1</v>
      </c>
      <c r="F27" s="85">
        <f>SUM(E27*365)</f>
        <v>36.5</v>
      </c>
      <c r="G27" s="85">
        <v>182.96</v>
      </c>
      <c r="H27" s="86">
        <f>SUM(F27*G27/1000)</f>
        <v>6.6780400000000002</v>
      </c>
      <c r="I27" s="13">
        <f>F27/12*G27</f>
        <v>556.50333333333333</v>
      </c>
      <c r="J27" s="22"/>
      <c r="K27" s="8"/>
      <c r="L27" s="8"/>
      <c r="M27" s="8"/>
    </row>
    <row r="28" spans="1:13" ht="15.75" hidden="1" customHeight="1">
      <c r="A28" s="29">
        <v>5</v>
      </c>
      <c r="B28" s="89" t="s">
        <v>23</v>
      </c>
      <c r="C28" s="83" t="s">
        <v>24</v>
      </c>
      <c r="D28" s="82"/>
      <c r="E28" s="84">
        <v>1839.1</v>
      </c>
      <c r="F28" s="85">
        <f>SUM(E28*12)</f>
        <v>22069.199999999997</v>
      </c>
      <c r="G28" s="85">
        <v>4.58</v>
      </c>
      <c r="H28" s="86">
        <f>SUM(F28*G28/1000)</f>
        <v>101.07693599999999</v>
      </c>
      <c r="I28" s="13">
        <f>F28/12*G28</f>
        <v>8423.0779999999995</v>
      </c>
      <c r="J28" s="22"/>
      <c r="K28" s="8"/>
      <c r="L28" s="8"/>
      <c r="M28" s="8"/>
    </row>
    <row r="29" spans="1:13" ht="15.75" customHeight="1">
      <c r="A29" s="143" t="s">
        <v>81</v>
      </c>
      <c r="B29" s="143"/>
      <c r="C29" s="143"/>
      <c r="D29" s="143"/>
      <c r="E29" s="143"/>
      <c r="F29" s="143"/>
      <c r="G29" s="143"/>
      <c r="H29" s="143"/>
      <c r="I29" s="143"/>
      <c r="J29" s="22"/>
      <c r="K29" s="8"/>
      <c r="L29" s="8"/>
      <c r="M29" s="8"/>
    </row>
    <row r="30" spans="1:13" ht="15.75" hidden="1" customHeight="1">
      <c r="A30" s="41"/>
      <c r="B30" s="51" t="s">
        <v>27</v>
      </c>
      <c r="C30" s="51"/>
      <c r="D30" s="51"/>
      <c r="E30" s="51"/>
      <c r="F30" s="51"/>
      <c r="G30" s="51"/>
      <c r="H30" s="51"/>
      <c r="I30" s="18"/>
      <c r="J30" s="22"/>
      <c r="K30" s="8"/>
      <c r="L30" s="8"/>
      <c r="M30" s="8"/>
    </row>
    <row r="31" spans="1:13" ht="15.75" hidden="1" customHeight="1">
      <c r="A31" s="41">
        <v>6</v>
      </c>
      <c r="B31" s="32" t="s">
        <v>101</v>
      </c>
      <c r="C31" s="83" t="s">
        <v>102</v>
      </c>
      <c r="D31" s="82" t="s">
        <v>103</v>
      </c>
      <c r="E31" s="85">
        <v>58</v>
      </c>
      <c r="F31" s="85">
        <f>SUM(E31*52/1000)</f>
        <v>3.016</v>
      </c>
      <c r="G31" s="85">
        <v>193.97</v>
      </c>
      <c r="H31" s="86">
        <f>SUM(F31*G31/1000)</f>
        <v>0.58501351999999995</v>
      </c>
      <c r="I31" s="13">
        <f>F31/6*G31</f>
        <v>97.502253333333343</v>
      </c>
      <c r="J31" s="22"/>
      <c r="K31" s="8"/>
      <c r="L31" s="8"/>
      <c r="M31" s="8"/>
    </row>
    <row r="32" spans="1:13" ht="31.5" hidden="1" customHeight="1">
      <c r="A32" s="41">
        <v>7</v>
      </c>
      <c r="B32" s="32" t="s">
        <v>104</v>
      </c>
      <c r="C32" s="83" t="s">
        <v>102</v>
      </c>
      <c r="D32" s="82" t="s">
        <v>105</v>
      </c>
      <c r="E32" s="85">
        <v>48.3</v>
      </c>
      <c r="F32" s="85">
        <f>SUM(E32*78/1000)</f>
        <v>3.7673999999999994</v>
      </c>
      <c r="G32" s="85">
        <v>321.82</v>
      </c>
      <c r="H32" s="86">
        <f>SUM(F32*G32/1000)</f>
        <v>1.2124246679999999</v>
      </c>
      <c r="I32" s="13">
        <f>F32/6*G32</f>
        <v>202.07077799999996</v>
      </c>
      <c r="J32" s="22"/>
      <c r="K32" s="8"/>
      <c r="L32" s="8"/>
      <c r="M32" s="8"/>
    </row>
    <row r="33" spans="1:14" ht="15.75" hidden="1" customHeight="1">
      <c r="A33" s="41">
        <v>16</v>
      </c>
      <c r="B33" s="32" t="s">
        <v>26</v>
      </c>
      <c r="C33" s="83" t="s">
        <v>102</v>
      </c>
      <c r="D33" s="82" t="s">
        <v>53</v>
      </c>
      <c r="E33" s="85">
        <v>58</v>
      </c>
      <c r="F33" s="85">
        <f>SUM(E33/1000)</f>
        <v>5.8000000000000003E-2</v>
      </c>
      <c r="G33" s="85">
        <v>3758.28</v>
      </c>
      <c r="H33" s="86">
        <f>SUM(F33*G33/1000)</f>
        <v>0.21798024000000002</v>
      </c>
      <c r="I33" s="13">
        <f>F33*G33</f>
        <v>217.98024000000001</v>
      </c>
      <c r="J33" s="22"/>
      <c r="K33" s="8"/>
      <c r="L33" s="8"/>
      <c r="M33" s="8"/>
    </row>
    <row r="34" spans="1:14" ht="15.75" hidden="1" customHeight="1">
      <c r="A34" s="41">
        <v>8</v>
      </c>
      <c r="B34" s="32" t="s">
        <v>106</v>
      </c>
      <c r="C34" s="83" t="s">
        <v>39</v>
      </c>
      <c r="D34" s="82" t="s">
        <v>62</v>
      </c>
      <c r="E34" s="85">
        <v>1</v>
      </c>
      <c r="F34" s="85">
        <f>E34*155/100</f>
        <v>1.55</v>
      </c>
      <c r="G34" s="85">
        <v>1620.15</v>
      </c>
      <c r="H34" s="86">
        <f>SUM(F34*G34/1000)</f>
        <v>2.5112325000000002</v>
      </c>
      <c r="I34" s="13">
        <f>F34/6*G34</f>
        <v>418.53875000000005</v>
      </c>
      <c r="J34" s="22"/>
      <c r="K34" s="8"/>
    </row>
    <row r="35" spans="1:14" ht="15.75" hidden="1" customHeight="1">
      <c r="A35" s="41">
        <v>9</v>
      </c>
      <c r="B35" s="32" t="s">
        <v>107</v>
      </c>
      <c r="C35" s="83" t="s">
        <v>29</v>
      </c>
      <c r="D35" s="82" t="s">
        <v>62</v>
      </c>
      <c r="E35" s="90">
        <f>1/3</f>
        <v>0.33333333333333331</v>
      </c>
      <c r="F35" s="85">
        <f>155/3</f>
        <v>51.666666666666664</v>
      </c>
      <c r="G35" s="85">
        <v>70.540000000000006</v>
      </c>
      <c r="H35" s="86">
        <f>SUM(G35*155/3/1000)</f>
        <v>3.644566666666667</v>
      </c>
      <c r="I35" s="13">
        <f>F35/6*G35</f>
        <v>607.42777777777781</v>
      </c>
      <c r="J35" s="23"/>
    </row>
    <row r="36" spans="1:14" ht="15.75" hidden="1" customHeight="1">
      <c r="A36" s="41">
        <v>4</v>
      </c>
      <c r="B36" s="82" t="s">
        <v>64</v>
      </c>
      <c r="C36" s="83" t="s">
        <v>31</v>
      </c>
      <c r="D36" s="82" t="s">
        <v>66</v>
      </c>
      <c r="E36" s="84"/>
      <c r="F36" s="85">
        <v>1</v>
      </c>
      <c r="G36" s="85">
        <v>238.07</v>
      </c>
      <c r="H36" s="86">
        <f>SUM(F36*G36/1000)</f>
        <v>0.23807</v>
      </c>
      <c r="I36" s="13">
        <v>0</v>
      </c>
      <c r="J36" s="23"/>
    </row>
    <row r="37" spans="1:14" ht="15.75" hidden="1" customHeight="1">
      <c r="A37" s="29">
        <v>8</v>
      </c>
      <c r="B37" s="82" t="s">
        <v>65</v>
      </c>
      <c r="C37" s="83" t="s">
        <v>30</v>
      </c>
      <c r="D37" s="82" t="s">
        <v>66</v>
      </c>
      <c r="E37" s="84"/>
      <c r="F37" s="85">
        <v>1</v>
      </c>
      <c r="G37" s="85">
        <v>1413.96</v>
      </c>
      <c r="H37" s="86">
        <f>SUM(F37*G37/1000)</f>
        <v>1.4139600000000001</v>
      </c>
      <c r="I37" s="13">
        <v>0</v>
      </c>
      <c r="J37" s="23"/>
    </row>
    <row r="38" spans="1:14" ht="15.75" customHeight="1">
      <c r="A38" s="41"/>
      <c r="B38" s="49" t="s">
        <v>5</v>
      </c>
      <c r="C38" s="49"/>
      <c r="D38" s="49"/>
      <c r="E38" s="13"/>
      <c r="F38" s="13"/>
      <c r="G38" s="14"/>
      <c r="H38" s="14"/>
      <c r="I38" s="18"/>
      <c r="J38" s="23"/>
    </row>
    <row r="39" spans="1:14" ht="15.75" customHeight="1">
      <c r="A39" s="33">
        <v>5</v>
      </c>
      <c r="B39" s="82" t="s">
        <v>25</v>
      </c>
      <c r="C39" s="83" t="s">
        <v>30</v>
      </c>
      <c r="D39" s="82"/>
      <c r="E39" s="84"/>
      <c r="F39" s="85">
        <v>2</v>
      </c>
      <c r="G39" s="85">
        <v>1900.37</v>
      </c>
      <c r="H39" s="86">
        <f t="shared" ref="H39:H44" si="1">SUM(F39*G39/1000)</f>
        <v>3.8007399999999998</v>
      </c>
      <c r="I39" s="13">
        <f t="shared" ref="I39:I42" si="2">F39/6*G39</f>
        <v>633.45666666666659</v>
      </c>
      <c r="J39" s="23"/>
    </row>
    <row r="40" spans="1:14" ht="15.75" customHeight="1">
      <c r="A40" s="33">
        <v>6</v>
      </c>
      <c r="B40" s="82" t="s">
        <v>67</v>
      </c>
      <c r="C40" s="83" t="s">
        <v>28</v>
      </c>
      <c r="D40" s="82" t="s">
        <v>108</v>
      </c>
      <c r="E40" s="85">
        <v>48.3</v>
      </c>
      <c r="F40" s="85">
        <f>SUM(E40*30/1000)</f>
        <v>1.4490000000000001</v>
      </c>
      <c r="G40" s="85">
        <v>2616.4899999999998</v>
      </c>
      <c r="H40" s="86">
        <f t="shared" si="1"/>
        <v>3.7912940100000001</v>
      </c>
      <c r="I40" s="13">
        <f t="shared" si="2"/>
        <v>631.88233500000001</v>
      </c>
      <c r="J40" s="23"/>
    </row>
    <row r="41" spans="1:14" ht="15.75" customHeight="1">
      <c r="A41" s="33">
        <v>7</v>
      </c>
      <c r="B41" s="82" t="s">
        <v>68</v>
      </c>
      <c r="C41" s="83" t="s">
        <v>28</v>
      </c>
      <c r="D41" s="82" t="s">
        <v>109</v>
      </c>
      <c r="E41" s="85">
        <v>48.3</v>
      </c>
      <c r="F41" s="85">
        <f>SUM(E41*155/1000)</f>
        <v>7.4865000000000004</v>
      </c>
      <c r="G41" s="85">
        <v>436.45</v>
      </c>
      <c r="H41" s="86">
        <f t="shared" si="1"/>
        <v>3.2674829250000004</v>
      </c>
      <c r="I41" s="13">
        <f t="shared" si="2"/>
        <v>544.5804875</v>
      </c>
      <c r="J41" s="23"/>
    </row>
    <row r="42" spans="1:14" ht="47.25" customHeight="1">
      <c r="A42" s="33">
        <v>8</v>
      </c>
      <c r="B42" s="82" t="s">
        <v>80</v>
      </c>
      <c r="C42" s="83" t="s">
        <v>102</v>
      </c>
      <c r="D42" s="82" t="s">
        <v>110</v>
      </c>
      <c r="E42" s="85">
        <f>E40</f>
        <v>48.3</v>
      </c>
      <c r="F42" s="85">
        <f>SUM(E42*35/1000)</f>
        <v>1.6904999999999999</v>
      </c>
      <c r="G42" s="85">
        <v>7221.21</v>
      </c>
      <c r="H42" s="86">
        <f t="shared" si="1"/>
        <v>12.207455505</v>
      </c>
      <c r="I42" s="13">
        <f t="shared" si="2"/>
        <v>2034.5759175000001</v>
      </c>
      <c r="J42" s="23"/>
      <c r="L42" s="19"/>
      <c r="M42" s="20"/>
      <c r="N42" s="21"/>
    </row>
    <row r="43" spans="1:14" ht="15.75" customHeight="1">
      <c r="A43" s="33">
        <v>9</v>
      </c>
      <c r="B43" s="82" t="s">
        <v>111</v>
      </c>
      <c r="C43" s="83" t="s">
        <v>102</v>
      </c>
      <c r="D43" s="82" t="s">
        <v>112</v>
      </c>
      <c r="E43" s="85">
        <f>E40</f>
        <v>48.3</v>
      </c>
      <c r="F43" s="85">
        <f>SUM(E43*20/1000)</f>
        <v>0.96599999999999997</v>
      </c>
      <c r="G43" s="85">
        <v>533.45000000000005</v>
      </c>
      <c r="H43" s="86">
        <f t="shared" si="1"/>
        <v>0.51531270000000007</v>
      </c>
      <c r="I43" s="13">
        <f>F43/7.5*1.5*G43</f>
        <v>103.06254</v>
      </c>
      <c r="J43" s="23"/>
      <c r="L43" s="19"/>
      <c r="M43" s="20"/>
      <c r="N43" s="21"/>
    </row>
    <row r="44" spans="1:14" ht="15.75" customHeight="1">
      <c r="A44" s="33">
        <v>10</v>
      </c>
      <c r="B44" s="82" t="s">
        <v>69</v>
      </c>
      <c r="C44" s="83" t="s">
        <v>31</v>
      </c>
      <c r="D44" s="82"/>
      <c r="E44" s="84"/>
      <c r="F44" s="85">
        <v>0.5</v>
      </c>
      <c r="G44" s="85">
        <v>992.97</v>
      </c>
      <c r="H44" s="86">
        <f t="shared" si="1"/>
        <v>0.49648500000000001</v>
      </c>
      <c r="I44" s="13">
        <f>F44/7.5*1.5*G44</f>
        <v>99.297000000000011</v>
      </c>
      <c r="J44" s="23"/>
      <c r="L44" s="19"/>
      <c r="M44" s="20"/>
      <c r="N44" s="21"/>
    </row>
    <row r="45" spans="1:14" ht="15.75" customHeight="1">
      <c r="A45" s="144" t="s">
        <v>137</v>
      </c>
      <c r="B45" s="145"/>
      <c r="C45" s="145"/>
      <c r="D45" s="145"/>
      <c r="E45" s="145"/>
      <c r="F45" s="145"/>
      <c r="G45" s="145"/>
      <c r="H45" s="145"/>
      <c r="I45" s="146"/>
      <c r="J45" s="23"/>
      <c r="L45" s="19"/>
      <c r="M45" s="20"/>
      <c r="N45" s="21"/>
    </row>
    <row r="46" spans="1:14" ht="15.75" hidden="1" customHeight="1">
      <c r="A46" s="41">
        <v>12</v>
      </c>
      <c r="B46" s="82" t="s">
        <v>113</v>
      </c>
      <c r="C46" s="83" t="s">
        <v>102</v>
      </c>
      <c r="D46" s="82" t="s">
        <v>41</v>
      </c>
      <c r="E46" s="84">
        <v>1044.7</v>
      </c>
      <c r="F46" s="85">
        <f>SUM(E46*2/1000)</f>
        <v>2.0893999999999999</v>
      </c>
      <c r="G46" s="13">
        <v>1283.46</v>
      </c>
      <c r="H46" s="86">
        <f t="shared" ref="H46:H56" si="3">SUM(F46*G46/1000)</f>
        <v>2.6816613240000002</v>
      </c>
      <c r="I46" s="13">
        <f t="shared" ref="I46:I49" si="4">F46/2*G46</f>
        <v>1340.8306620000001</v>
      </c>
      <c r="J46" s="23"/>
      <c r="L46" s="19"/>
      <c r="M46" s="20"/>
      <c r="N46" s="21"/>
    </row>
    <row r="47" spans="1:14" ht="15.75" hidden="1" customHeight="1">
      <c r="A47" s="41">
        <v>13</v>
      </c>
      <c r="B47" s="82" t="s">
        <v>34</v>
      </c>
      <c r="C47" s="83" t="s">
        <v>102</v>
      </c>
      <c r="D47" s="82" t="s">
        <v>41</v>
      </c>
      <c r="E47" s="84">
        <v>19.8</v>
      </c>
      <c r="F47" s="85">
        <f>SUM(E47*2/1000)</f>
        <v>3.9600000000000003E-2</v>
      </c>
      <c r="G47" s="13">
        <v>4192.6400000000003</v>
      </c>
      <c r="H47" s="86">
        <f t="shared" si="3"/>
        <v>0.16602854400000003</v>
      </c>
      <c r="I47" s="13">
        <f t="shared" si="4"/>
        <v>83.01427200000002</v>
      </c>
      <c r="J47" s="23"/>
      <c r="L47" s="19"/>
      <c r="M47" s="20"/>
      <c r="N47" s="21"/>
    </row>
    <row r="48" spans="1:14" ht="15.75" hidden="1" customHeight="1">
      <c r="A48" s="41">
        <v>14</v>
      </c>
      <c r="B48" s="82" t="s">
        <v>35</v>
      </c>
      <c r="C48" s="83" t="s">
        <v>102</v>
      </c>
      <c r="D48" s="82" t="s">
        <v>41</v>
      </c>
      <c r="E48" s="84">
        <v>660.84</v>
      </c>
      <c r="F48" s="85">
        <f>SUM(E48*2/1000)</f>
        <v>1.32168</v>
      </c>
      <c r="G48" s="13">
        <v>1711.28</v>
      </c>
      <c r="H48" s="86">
        <f t="shared" si="3"/>
        <v>2.2617645503999997</v>
      </c>
      <c r="I48" s="13">
        <f t="shared" si="4"/>
        <v>1130.8822751999999</v>
      </c>
      <c r="J48" s="23"/>
      <c r="L48" s="19"/>
      <c r="M48" s="20"/>
      <c r="N48" s="21"/>
    </row>
    <row r="49" spans="1:14" ht="15.75" hidden="1" customHeight="1">
      <c r="A49" s="41">
        <v>15</v>
      </c>
      <c r="B49" s="82" t="s">
        <v>36</v>
      </c>
      <c r="C49" s="83" t="s">
        <v>102</v>
      </c>
      <c r="D49" s="82" t="s">
        <v>41</v>
      </c>
      <c r="E49" s="84">
        <v>1156.21</v>
      </c>
      <c r="F49" s="85">
        <f>SUM(E49*2/1000)</f>
        <v>2.3124199999999999</v>
      </c>
      <c r="G49" s="13">
        <v>1179.73</v>
      </c>
      <c r="H49" s="86">
        <f t="shared" si="3"/>
        <v>2.7280312466000001</v>
      </c>
      <c r="I49" s="13">
        <f t="shared" si="4"/>
        <v>1364.0156233</v>
      </c>
      <c r="J49" s="23"/>
      <c r="L49" s="19"/>
      <c r="M49" s="20"/>
      <c r="N49" s="21"/>
    </row>
    <row r="50" spans="1:14" ht="15.75" hidden="1" customHeight="1">
      <c r="A50" s="41">
        <v>16</v>
      </c>
      <c r="B50" s="82" t="s">
        <v>32</v>
      </c>
      <c r="C50" s="83" t="s">
        <v>33</v>
      </c>
      <c r="D50" s="82" t="s">
        <v>144</v>
      </c>
      <c r="E50" s="84">
        <v>17.2</v>
      </c>
      <c r="F50" s="85">
        <f>SUM(E50*2/100)</f>
        <v>0.34399999999999997</v>
      </c>
      <c r="G50" s="13">
        <v>90.61</v>
      </c>
      <c r="H50" s="86">
        <f t="shared" si="3"/>
        <v>3.1169839999999997E-2</v>
      </c>
      <c r="I50" s="13">
        <f>F50/2*G50</f>
        <v>15.584919999999999</v>
      </c>
      <c r="J50" s="23"/>
      <c r="L50" s="19"/>
      <c r="M50" s="20"/>
      <c r="N50" s="21"/>
    </row>
    <row r="51" spans="1:14" ht="15.75" customHeight="1">
      <c r="A51" s="41">
        <v>11</v>
      </c>
      <c r="B51" s="82" t="s">
        <v>55</v>
      </c>
      <c r="C51" s="83" t="s">
        <v>102</v>
      </c>
      <c r="D51" s="82" t="s">
        <v>146</v>
      </c>
      <c r="E51" s="84">
        <v>1839.1</v>
      </c>
      <c r="F51" s="85">
        <f>SUM(E51*5/1000)</f>
        <v>9.1954999999999991</v>
      </c>
      <c r="G51" s="13">
        <v>1711.28</v>
      </c>
      <c r="H51" s="86">
        <f t="shared" si="3"/>
        <v>15.736075239999998</v>
      </c>
      <c r="I51" s="13">
        <f>F51/5*G51</f>
        <v>3147.2150479999996</v>
      </c>
      <c r="J51" s="23"/>
      <c r="L51" s="19"/>
      <c r="M51" s="20"/>
      <c r="N51" s="21"/>
    </row>
    <row r="52" spans="1:14" ht="31.5" hidden="1" customHeight="1">
      <c r="A52" s="41">
        <v>10</v>
      </c>
      <c r="B52" s="82" t="s">
        <v>114</v>
      </c>
      <c r="C52" s="83" t="s">
        <v>102</v>
      </c>
      <c r="D52" s="82" t="s">
        <v>41</v>
      </c>
      <c r="E52" s="84">
        <f>E51</f>
        <v>1839.1</v>
      </c>
      <c r="F52" s="85">
        <f>SUM(E52*2/1000)</f>
        <v>3.6781999999999999</v>
      </c>
      <c r="G52" s="13">
        <v>1510.06</v>
      </c>
      <c r="H52" s="86">
        <f t="shared" si="3"/>
        <v>5.5543026919999994</v>
      </c>
      <c r="I52" s="13">
        <f>F52/2*G52</f>
        <v>2777.1513459999996</v>
      </c>
      <c r="J52" s="23"/>
      <c r="L52" s="19"/>
      <c r="M52" s="20"/>
      <c r="N52" s="21"/>
    </row>
    <row r="53" spans="1:14" ht="31.5" hidden="1" customHeight="1">
      <c r="A53" s="41">
        <v>11</v>
      </c>
      <c r="B53" s="82" t="s">
        <v>115</v>
      </c>
      <c r="C53" s="83" t="s">
        <v>37</v>
      </c>
      <c r="D53" s="82" t="s">
        <v>41</v>
      </c>
      <c r="E53" s="84">
        <v>9</v>
      </c>
      <c r="F53" s="85">
        <f>SUM(E53*2/100)</f>
        <v>0.18</v>
      </c>
      <c r="G53" s="13">
        <v>3850.4</v>
      </c>
      <c r="H53" s="86">
        <f t="shared" si="3"/>
        <v>0.69307200000000002</v>
      </c>
      <c r="I53" s="13">
        <f t="shared" ref="I53:I54" si="5">F53/2*G53</f>
        <v>346.536</v>
      </c>
      <c r="J53" s="23"/>
      <c r="L53" s="19"/>
      <c r="M53" s="20"/>
      <c r="N53" s="21"/>
    </row>
    <row r="54" spans="1:14" ht="15.75" hidden="1" customHeight="1">
      <c r="A54" s="41">
        <v>12</v>
      </c>
      <c r="B54" s="82" t="s">
        <v>38</v>
      </c>
      <c r="C54" s="83" t="s">
        <v>39</v>
      </c>
      <c r="D54" s="82" t="s">
        <v>41</v>
      </c>
      <c r="E54" s="84">
        <v>1</v>
      </c>
      <c r="F54" s="85">
        <v>0.02</v>
      </c>
      <c r="G54" s="13">
        <v>7033.13</v>
      </c>
      <c r="H54" s="86">
        <f t="shared" si="3"/>
        <v>0.1406626</v>
      </c>
      <c r="I54" s="13">
        <f t="shared" si="5"/>
        <v>70.331299999999999</v>
      </c>
      <c r="J54" s="23"/>
      <c r="L54" s="19"/>
      <c r="M54" s="20"/>
      <c r="N54" s="21"/>
    </row>
    <row r="55" spans="1:14" ht="15.75" hidden="1" customHeight="1">
      <c r="A55" s="41">
        <v>13</v>
      </c>
      <c r="B55" s="82" t="s">
        <v>145</v>
      </c>
      <c r="C55" s="83" t="s">
        <v>29</v>
      </c>
      <c r="D55" s="82" t="s">
        <v>70</v>
      </c>
      <c r="E55" s="84">
        <v>36</v>
      </c>
      <c r="F55" s="85">
        <f>E55*3</f>
        <v>108</v>
      </c>
      <c r="G55" s="13">
        <v>175.6</v>
      </c>
      <c r="H55" s="86">
        <f t="shared" si="3"/>
        <v>18.9648</v>
      </c>
      <c r="I55" s="13">
        <f>E55*G55</f>
        <v>6321.5999999999995</v>
      </c>
      <c r="J55" s="23"/>
      <c r="L55" s="19"/>
      <c r="M55" s="20"/>
      <c r="N55" s="21"/>
    </row>
    <row r="56" spans="1:14" ht="15.75" hidden="1" customHeight="1">
      <c r="A56" s="41">
        <v>14</v>
      </c>
      <c r="B56" s="82" t="s">
        <v>40</v>
      </c>
      <c r="C56" s="83" t="s">
        <v>29</v>
      </c>
      <c r="D56" s="82" t="s">
        <v>70</v>
      </c>
      <c r="E56" s="84">
        <v>36</v>
      </c>
      <c r="F56" s="85">
        <f>E56*3</f>
        <v>108</v>
      </c>
      <c r="G56" s="13">
        <v>81.73</v>
      </c>
      <c r="H56" s="86">
        <f t="shared" si="3"/>
        <v>8.8268400000000007</v>
      </c>
      <c r="I56" s="13">
        <f>E56*G56</f>
        <v>2942.28</v>
      </c>
      <c r="J56" s="23"/>
      <c r="L56" s="19"/>
      <c r="M56" s="20"/>
      <c r="N56" s="21"/>
    </row>
    <row r="57" spans="1:14" ht="15.75" customHeight="1">
      <c r="A57" s="144" t="s">
        <v>138</v>
      </c>
      <c r="B57" s="145"/>
      <c r="C57" s="145"/>
      <c r="D57" s="145"/>
      <c r="E57" s="145"/>
      <c r="F57" s="145"/>
      <c r="G57" s="145"/>
      <c r="H57" s="145"/>
      <c r="I57" s="146"/>
      <c r="J57" s="23"/>
      <c r="L57" s="19"/>
      <c r="M57" s="20"/>
      <c r="N57" s="21"/>
    </row>
    <row r="58" spans="1:14" ht="15.75" customHeight="1">
      <c r="A58" s="114"/>
      <c r="B58" s="48" t="s">
        <v>42</v>
      </c>
      <c r="C58" s="16"/>
      <c r="D58" s="15"/>
      <c r="E58" s="15"/>
      <c r="F58" s="15"/>
      <c r="G58" s="29"/>
      <c r="H58" s="29"/>
      <c r="I58" s="18"/>
      <c r="J58" s="23"/>
      <c r="L58" s="19"/>
      <c r="M58" s="20"/>
      <c r="N58" s="21"/>
    </row>
    <row r="59" spans="1:14" ht="31.5" customHeight="1">
      <c r="A59" s="41">
        <v>12</v>
      </c>
      <c r="B59" s="82" t="s">
        <v>117</v>
      </c>
      <c r="C59" s="83" t="s">
        <v>147</v>
      </c>
      <c r="D59" s="82" t="s">
        <v>71</v>
      </c>
      <c r="E59" s="84">
        <v>12.5</v>
      </c>
      <c r="F59" s="85">
        <f>E59*6/100</f>
        <v>0.75</v>
      </c>
      <c r="G59" s="91">
        <v>2306.62</v>
      </c>
      <c r="H59" s="86">
        <f>F59*G59/1000</f>
        <v>1.729965</v>
      </c>
      <c r="I59" s="13">
        <f>F59/6*G59</f>
        <v>288.32749999999999</v>
      </c>
      <c r="J59" s="23"/>
      <c r="L59" s="19"/>
      <c r="M59" s="20"/>
      <c r="N59" s="21"/>
    </row>
    <row r="60" spans="1:14" ht="15.75" customHeight="1">
      <c r="A60" s="41">
        <v>13</v>
      </c>
      <c r="B60" s="92" t="s">
        <v>84</v>
      </c>
      <c r="C60" s="93" t="s">
        <v>118</v>
      </c>
      <c r="D60" s="37" t="s">
        <v>66</v>
      </c>
      <c r="E60" s="94"/>
      <c r="F60" s="95">
        <v>2</v>
      </c>
      <c r="G60" s="96">
        <v>1501</v>
      </c>
      <c r="H60" s="86">
        <f>F60*G60/1000</f>
        <v>3.0019999999999998</v>
      </c>
      <c r="I60" s="13">
        <f>G60*1.5</f>
        <v>2251.5</v>
      </c>
      <c r="J60" s="23"/>
      <c r="L60" s="19"/>
      <c r="M60" s="20"/>
      <c r="N60" s="21"/>
    </row>
    <row r="61" spans="1:14" ht="15.75" hidden="1" customHeight="1">
      <c r="A61" s="41"/>
      <c r="B61" s="113" t="s">
        <v>43</v>
      </c>
      <c r="C61" s="113"/>
      <c r="D61" s="113"/>
      <c r="E61" s="113"/>
      <c r="F61" s="76"/>
      <c r="G61" s="63"/>
      <c r="H61" s="63"/>
      <c r="I61" s="35"/>
      <c r="J61" s="23"/>
      <c r="L61" s="19"/>
      <c r="M61" s="20"/>
      <c r="N61" s="21"/>
    </row>
    <row r="62" spans="1:14" ht="15.75" hidden="1" customHeight="1">
      <c r="A62" s="41">
        <v>27</v>
      </c>
      <c r="B62" s="92" t="s">
        <v>44</v>
      </c>
      <c r="C62" s="93" t="s">
        <v>52</v>
      </c>
      <c r="D62" s="92" t="s">
        <v>53</v>
      </c>
      <c r="E62" s="94">
        <v>164</v>
      </c>
      <c r="F62" s="95">
        <f>E62/100</f>
        <v>1.64</v>
      </c>
      <c r="G62" s="96">
        <v>987.51</v>
      </c>
      <c r="H62" s="97">
        <f>G62*F62/1000</f>
        <v>1.6195164</v>
      </c>
      <c r="I62" s="13">
        <v>0</v>
      </c>
      <c r="J62" s="23"/>
      <c r="L62" s="19"/>
      <c r="M62" s="20"/>
      <c r="N62" s="21"/>
    </row>
    <row r="63" spans="1:14" ht="15.75" customHeight="1">
      <c r="A63" s="41"/>
      <c r="B63" s="113" t="s">
        <v>45</v>
      </c>
      <c r="C63" s="16"/>
      <c r="D63" s="37"/>
      <c r="E63" s="15"/>
      <c r="F63" s="77"/>
      <c r="G63" s="64"/>
      <c r="H63" s="63"/>
      <c r="I63" s="18"/>
      <c r="J63" s="23"/>
      <c r="L63" s="19"/>
    </row>
    <row r="64" spans="1:14" ht="15.75" hidden="1" customHeight="1">
      <c r="A64" s="41">
        <v>17</v>
      </c>
      <c r="B64" s="98" t="s">
        <v>46</v>
      </c>
      <c r="C64" s="16" t="s">
        <v>116</v>
      </c>
      <c r="D64" s="98" t="s">
        <v>66</v>
      </c>
      <c r="E64" s="18">
        <v>1</v>
      </c>
      <c r="F64" s="85">
        <f>E64</f>
        <v>1</v>
      </c>
      <c r="G64" s="13">
        <v>276.74</v>
      </c>
      <c r="H64" s="99">
        <f t="shared" ref="H64:H72" si="6">SUM(F64*G64/1000)</f>
        <v>0.27673999999999999</v>
      </c>
      <c r="I64" s="13">
        <v>0</v>
      </c>
    </row>
    <row r="65" spans="1:22" ht="15.75" hidden="1" customHeight="1">
      <c r="A65" s="29">
        <v>29</v>
      </c>
      <c r="B65" s="98" t="s">
        <v>47</v>
      </c>
      <c r="C65" s="16" t="s">
        <v>116</v>
      </c>
      <c r="D65" s="98" t="s">
        <v>66</v>
      </c>
      <c r="E65" s="18">
        <v>3</v>
      </c>
      <c r="F65" s="85">
        <v>3</v>
      </c>
      <c r="G65" s="13">
        <v>94.89</v>
      </c>
      <c r="H65" s="99">
        <f t="shared" si="6"/>
        <v>0.28467000000000003</v>
      </c>
      <c r="I65" s="13">
        <v>0</v>
      </c>
    </row>
    <row r="66" spans="1:22" ht="15.75" hidden="1" customHeight="1">
      <c r="A66" s="29">
        <v>28</v>
      </c>
      <c r="B66" s="98" t="s">
        <v>48</v>
      </c>
      <c r="C66" s="16" t="s">
        <v>119</v>
      </c>
      <c r="D66" s="98" t="s">
        <v>53</v>
      </c>
      <c r="E66" s="84">
        <v>7265</v>
      </c>
      <c r="F66" s="13">
        <f>SUM(E66/100)</f>
        <v>72.650000000000006</v>
      </c>
      <c r="G66" s="13">
        <v>263.99</v>
      </c>
      <c r="H66" s="99">
        <f t="shared" si="6"/>
        <v>19.178873500000002</v>
      </c>
      <c r="I66" s="13">
        <f>F66*G66</f>
        <v>19178.873500000002</v>
      </c>
    </row>
    <row r="67" spans="1:22" ht="15.75" hidden="1" customHeight="1">
      <c r="A67" s="29">
        <v>29</v>
      </c>
      <c r="B67" s="98" t="s">
        <v>49</v>
      </c>
      <c r="C67" s="16" t="s">
        <v>120</v>
      </c>
      <c r="D67" s="98" t="s">
        <v>53</v>
      </c>
      <c r="E67" s="84">
        <f>E66</f>
        <v>7265</v>
      </c>
      <c r="F67" s="13">
        <f>SUM(E67/1000)</f>
        <v>7.2649999999999997</v>
      </c>
      <c r="G67" s="13">
        <v>205.57</v>
      </c>
      <c r="H67" s="99">
        <f t="shared" si="6"/>
        <v>1.4934660500000001</v>
      </c>
      <c r="I67" s="13">
        <f t="shared" ref="I67:I70" si="7">F67*G67</f>
        <v>1493.46605</v>
      </c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9"/>
    </row>
    <row r="68" spans="1:22" ht="15.75" hidden="1" customHeight="1">
      <c r="A68" s="29">
        <v>30</v>
      </c>
      <c r="B68" s="98" t="s">
        <v>50</v>
      </c>
      <c r="C68" s="16" t="s">
        <v>76</v>
      </c>
      <c r="D68" s="98" t="s">
        <v>53</v>
      </c>
      <c r="E68" s="84">
        <v>1090</v>
      </c>
      <c r="F68" s="13">
        <f>SUM(E68/100)</f>
        <v>10.9</v>
      </c>
      <c r="G68" s="13">
        <v>2581.5300000000002</v>
      </c>
      <c r="H68" s="99">
        <f t="shared" si="6"/>
        <v>28.138677000000005</v>
      </c>
      <c r="I68" s="13">
        <f t="shared" si="7"/>
        <v>28138.677000000003</v>
      </c>
      <c r="J68" s="25"/>
      <c r="K68" s="25"/>
      <c r="L68" s="3"/>
      <c r="M68" s="3"/>
      <c r="N68" s="3"/>
      <c r="O68" s="3"/>
      <c r="P68" s="3"/>
      <c r="Q68" s="3"/>
      <c r="R68" s="3"/>
      <c r="S68" s="3"/>
      <c r="T68" s="3"/>
      <c r="U68" s="3"/>
    </row>
    <row r="69" spans="1:22" ht="15.75" hidden="1" customHeight="1">
      <c r="A69" s="29">
        <v>31</v>
      </c>
      <c r="B69" s="100" t="s">
        <v>121</v>
      </c>
      <c r="C69" s="16" t="s">
        <v>31</v>
      </c>
      <c r="D69" s="98"/>
      <c r="E69" s="84">
        <v>7.6</v>
      </c>
      <c r="F69" s="13">
        <f>SUM(E69)</f>
        <v>7.6</v>
      </c>
      <c r="G69" s="13">
        <v>47.45</v>
      </c>
      <c r="H69" s="99">
        <f t="shared" si="6"/>
        <v>0.36062</v>
      </c>
      <c r="I69" s="13">
        <f t="shared" si="7"/>
        <v>360.62</v>
      </c>
      <c r="J69" s="3"/>
      <c r="K69" s="3"/>
      <c r="L69" s="3"/>
      <c r="M69" s="3"/>
      <c r="N69" s="3"/>
      <c r="O69" s="3"/>
      <c r="P69" s="3"/>
      <c r="Q69" s="3"/>
      <c r="S69" s="3"/>
      <c r="T69" s="3"/>
      <c r="U69" s="3"/>
    </row>
    <row r="70" spans="1:22" ht="15.75" hidden="1" customHeight="1">
      <c r="A70" s="29">
        <v>32</v>
      </c>
      <c r="B70" s="100" t="s">
        <v>148</v>
      </c>
      <c r="C70" s="16" t="s">
        <v>31</v>
      </c>
      <c r="D70" s="98"/>
      <c r="E70" s="84">
        <f>E69</f>
        <v>7.6</v>
      </c>
      <c r="F70" s="13">
        <f>SUM(E70)</f>
        <v>7.6</v>
      </c>
      <c r="G70" s="13">
        <v>44.27</v>
      </c>
      <c r="H70" s="99">
        <f t="shared" si="6"/>
        <v>0.33645199999999997</v>
      </c>
      <c r="I70" s="13">
        <f t="shared" si="7"/>
        <v>336.452</v>
      </c>
      <c r="J70" s="5"/>
      <c r="K70" s="5"/>
      <c r="L70" s="5"/>
      <c r="M70" s="5"/>
      <c r="N70" s="5"/>
      <c r="O70" s="5"/>
      <c r="P70" s="5"/>
      <c r="Q70" s="5"/>
      <c r="R70" s="136"/>
      <c r="S70" s="136"/>
      <c r="T70" s="136"/>
      <c r="U70" s="136"/>
    </row>
    <row r="71" spans="1:22" ht="15.75" hidden="1" customHeight="1">
      <c r="A71" s="29">
        <v>18</v>
      </c>
      <c r="B71" s="98" t="s">
        <v>56</v>
      </c>
      <c r="C71" s="16" t="s">
        <v>57</v>
      </c>
      <c r="D71" s="98" t="s">
        <v>53</v>
      </c>
      <c r="E71" s="18">
        <v>2</v>
      </c>
      <c r="F71" s="85">
        <f>SUM(E71)</f>
        <v>2</v>
      </c>
      <c r="G71" s="13">
        <v>62.07</v>
      </c>
      <c r="H71" s="99">
        <f t="shared" si="6"/>
        <v>0.12414</v>
      </c>
      <c r="I71" s="13">
        <f>F71*G71</f>
        <v>124.14</v>
      </c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</row>
    <row r="72" spans="1:22" ht="15.75" customHeight="1">
      <c r="A72" s="29">
        <v>14</v>
      </c>
      <c r="B72" s="98" t="s">
        <v>85</v>
      </c>
      <c r="C72" s="41" t="s">
        <v>131</v>
      </c>
      <c r="D72" s="37" t="s">
        <v>66</v>
      </c>
      <c r="E72" s="17">
        <v>1839.1</v>
      </c>
      <c r="F72" s="101">
        <f>SUM(E72*12)</f>
        <v>22069.199999999997</v>
      </c>
      <c r="G72" s="13">
        <v>2.16</v>
      </c>
      <c r="H72" s="99">
        <f t="shared" si="6"/>
        <v>47.669471999999992</v>
      </c>
      <c r="I72" s="13">
        <f>F72/12*G72</f>
        <v>3972.4559999999997</v>
      </c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</row>
    <row r="73" spans="1:22" ht="15.75" hidden="1" customHeight="1">
      <c r="A73" s="29"/>
      <c r="B73" s="49" t="s">
        <v>72</v>
      </c>
      <c r="C73" s="49"/>
      <c r="D73" s="49"/>
      <c r="E73" s="18"/>
      <c r="F73" s="18"/>
      <c r="G73" s="29"/>
      <c r="H73" s="29"/>
      <c r="I73" s="18"/>
    </row>
    <row r="74" spans="1:22" ht="15.75" hidden="1" customHeight="1">
      <c r="A74" s="29"/>
      <c r="B74" s="98" t="s">
        <v>123</v>
      </c>
      <c r="C74" s="16" t="s">
        <v>124</v>
      </c>
      <c r="D74" s="98" t="s">
        <v>66</v>
      </c>
      <c r="E74" s="18">
        <v>1</v>
      </c>
      <c r="F74" s="13">
        <f>E74</f>
        <v>1</v>
      </c>
      <c r="G74" s="13">
        <v>976.4</v>
      </c>
      <c r="H74" s="99">
        <f t="shared" ref="H74:H78" si="8">SUM(F74*G74/1000)</f>
        <v>0.97639999999999993</v>
      </c>
      <c r="I74" s="13">
        <v>0</v>
      </c>
    </row>
    <row r="75" spans="1:22" ht="15.75" hidden="1" customHeight="1">
      <c r="A75" s="29"/>
      <c r="B75" s="98" t="s">
        <v>125</v>
      </c>
      <c r="C75" s="16" t="s">
        <v>126</v>
      </c>
      <c r="D75" s="98"/>
      <c r="E75" s="18">
        <v>1</v>
      </c>
      <c r="F75" s="13">
        <v>1</v>
      </c>
      <c r="G75" s="13">
        <v>650</v>
      </c>
      <c r="H75" s="99">
        <f t="shared" si="8"/>
        <v>0.65</v>
      </c>
      <c r="I75" s="13">
        <v>0</v>
      </c>
    </row>
    <row r="76" spans="1:22" ht="15.75" hidden="1" customHeight="1">
      <c r="A76" s="29"/>
      <c r="B76" s="98" t="s">
        <v>73</v>
      </c>
      <c r="C76" s="16" t="s">
        <v>149</v>
      </c>
      <c r="D76" s="98" t="s">
        <v>66</v>
      </c>
      <c r="E76" s="18">
        <v>3</v>
      </c>
      <c r="F76" s="13">
        <f>E76/10</f>
        <v>0.3</v>
      </c>
      <c r="G76" s="13">
        <v>624.16999999999996</v>
      </c>
      <c r="H76" s="99">
        <f t="shared" si="8"/>
        <v>0.18725099999999997</v>
      </c>
      <c r="I76" s="13">
        <v>0</v>
      </c>
    </row>
    <row r="77" spans="1:22" ht="15.75" hidden="1" customHeight="1">
      <c r="A77" s="29"/>
      <c r="B77" s="98" t="s">
        <v>74</v>
      </c>
      <c r="C77" s="16" t="s">
        <v>29</v>
      </c>
      <c r="D77" s="98" t="s">
        <v>66</v>
      </c>
      <c r="E77" s="18">
        <v>1</v>
      </c>
      <c r="F77" s="13">
        <v>1</v>
      </c>
      <c r="G77" s="13">
        <v>1061.4100000000001</v>
      </c>
      <c r="H77" s="99">
        <f t="shared" si="8"/>
        <v>1.0614100000000002</v>
      </c>
      <c r="I77" s="13">
        <v>0</v>
      </c>
    </row>
    <row r="78" spans="1:22" ht="15.75" hidden="1" customHeight="1">
      <c r="A78" s="29">
        <v>17</v>
      </c>
      <c r="B78" s="98" t="s">
        <v>86</v>
      </c>
      <c r="C78" s="16" t="s">
        <v>29</v>
      </c>
      <c r="D78" s="98" t="s">
        <v>66</v>
      </c>
      <c r="E78" s="18">
        <v>1</v>
      </c>
      <c r="F78" s="85">
        <f>SUM(E78)</f>
        <v>1</v>
      </c>
      <c r="G78" s="13">
        <v>446.12</v>
      </c>
      <c r="H78" s="99">
        <f t="shared" si="8"/>
        <v>0.44612000000000002</v>
      </c>
      <c r="I78" s="13">
        <f>G78</f>
        <v>446.12</v>
      </c>
    </row>
    <row r="79" spans="1:22" ht="15.75" hidden="1" customHeight="1">
      <c r="A79" s="29"/>
      <c r="B79" s="50" t="s">
        <v>75</v>
      </c>
      <c r="C79" s="38"/>
      <c r="D79" s="29"/>
      <c r="E79" s="18"/>
      <c r="F79" s="18"/>
      <c r="G79" s="36"/>
      <c r="H79" s="36"/>
      <c r="I79" s="18"/>
    </row>
    <row r="80" spans="1:22" ht="15.75" hidden="1" customHeight="1">
      <c r="A80" s="29">
        <v>39</v>
      </c>
      <c r="B80" s="39" t="s">
        <v>127</v>
      </c>
      <c r="C80" s="16" t="s">
        <v>76</v>
      </c>
      <c r="D80" s="98"/>
      <c r="E80" s="18"/>
      <c r="F80" s="13">
        <v>1.3</v>
      </c>
      <c r="G80" s="13">
        <v>3433.68</v>
      </c>
      <c r="H80" s="99">
        <f t="shared" ref="H80" si="9">SUM(F80*G80/1000)</f>
        <v>4.4637839999999995</v>
      </c>
      <c r="I80" s="13">
        <v>0</v>
      </c>
    </row>
    <row r="81" spans="1:9" ht="15.75" hidden="1" customHeight="1">
      <c r="A81" s="114"/>
      <c r="B81" s="113" t="s">
        <v>122</v>
      </c>
      <c r="C81" s="113"/>
      <c r="D81" s="113"/>
      <c r="E81" s="113"/>
      <c r="F81" s="113"/>
      <c r="G81" s="113"/>
      <c r="H81" s="113"/>
      <c r="I81" s="18"/>
    </row>
    <row r="82" spans="1:9" ht="15.75" hidden="1" customHeight="1">
      <c r="A82" s="29">
        <v>15</v>
      </c>
      <c r="B82" s="82" t="s">
        <v>89</v>
      </c>
      <c r="C82" s="16"/>
      <c r="D82" s="98"/>
      <c r="E82" s="102"/>
      <c r="F82" s="13">
        <v>1</v>
      </c>
      <c r="G82" s="13">
        <v>13707.8</v>
      </c>
      <c r="H82" s="99">
        <f>G82*F82/1000</f>
        <v>13.707799999999999</v>
      </c>
      <c r="I82" s="13">
        <f>G82</f>
        <v>13707.8</v>
      </c>
    </row>
    <row r="83" spans="1:9" ht="15.75" customHeight="1">
      <c r="A83" s="129" t="s">
        <v>139</v>
      </c>
      <c r="B83" s="130"/>
      <c r="C83" s="130"/>
      <c r="D83" s="130"/>
      <c r="E83" s="130"/>
      <c r="F83" s="130"/>
      <c r="G83" s="130"/>
      <c r="H83" s="130"/>
      <c r="I83" s="131"/>
    </row>
    <row r="84" spans="1:9" ht="15.75" customHeight="1">
      <c r="A84" s="29">
        <v>15</v>
      </c>
      <c r="B84" s="82" t="s">
        <v>128</v>
      </c>
      <c r="C84" s="16" t="s">
        <v>54</v>
      </c>
      <c r="D84" s="104" t="s">
        <v>150</v>
      </c>
      <c r="E84" s="13">
        <v>1839.1</v>
      </c>
      <c r="F84" s="13">
        <f>SUM(E84*12)</f>
        <v>22069.199999999997</v>
      </c>
      <c r="G84" s="13">
        <v>2.95</v>
      </c>
      <c r="H84" s="99">
        <f>SUM(F84*G84/1000)</f>
        <v>65.104139999999987</v>
      </c>
      <c r="I84" s="13">
        <f>F84/12*G84</f>
        <v>5425.3449999999993</v>
      </c>
    </row>
    <row r="85" spans="1:9" ht="31.5" customHeight="1">
      <c r="A85" s="29">
        <v>16</v>
      </c>
      <c r="B85" s="98" t="s">
        <v>77</v>
      </c>
      <c r="C85" s="16"/>
      <c r="D85" s="104" t="s">
        <v>150</v>
      </c>
      <c r="E85" s="84">
        <v>1839.1</v>
      </c>
      <c r="F85" s="13">
        <f>E85*12</f>
        <v>22069.199999999997</v>
      </c>
      <c r="G85" s="13">
        <v>3.05</v>
      </c>
      <c r="H85" s="99">
        <f>F85*G85/1000</f>
        <v>67.311059999999983</v>
      </c>
      <c r="I85" s="13">
        <f>F85/12*G85</f>
        <v>5609.2549999999983</v>
      </c>
    </row>
    <row r="86" spans="1:9" ht="31.5" customHeight="1">
      <c r="A86" s="29">
        <v>17</v>
      </c>
      <c r="B86" s="98" t="s">
        <v>132</v>
      </c>
      <c r="C86" s="16" t="s">
        <v>133</v>
      </c>
      <c r="D86" s="104" t="s">
        <v>150</v>
      </c>
      <c r="E86" s="102"/>
      <c r="F86" s="13"/>
      <c r="G86" s="13"/>
      <c r="H86" s="99">
        <v>59.113</v>
      </c>
      <c r="I86" s="13">
        <v>4926.08</v>
      </c>
    </row>
    <row r="87" spans="1:9" ht="15.75" customHeight="1">
      <c r="A87" s="114"/>
      <c r="B87" s="40" t="s">
        <v>79</v>
      </c>
      <c r="C87" s="41"/>
      <c r="D87" s="15"/>
      <c r="E87" s="15"/>
      <c r="F87" s="15"/>
      <c r="G87" s="18"/>
      <c r="H87" s="18"/>
      <c r="I87" s="31">
        <f>I86+I85+I84+I72+I60+I59+I51+I44+I43+I42+I41+I40+I39+I27+I18+I17+I16</f>
        <v>35855.709434666656</v>
      </c>
    </row>
    <row r="88" spans="1:9" ht="15.75" customHeight="1">
      <c r="A88" s="132" t="s">
        <v>59</v>
      </c>
      <c r="B88" s="133"/>
      <c r="C88" s="133"/>
      <c r="D88" s="133"/>
      <c r="E88" s="133"/>
      <c r="F88" s="133"/>
      <c r="G88" s="133"/>
      <c r="H88" s="133"/>
      <c r="I88" s="134"/>
    </row>
    <row r="89" spans="1:9" ht="15.75" customHeight="1">
      <c r="A89" s="29">
        <v>18</v>
      </c>
      <c r="B89" s="37" t="s">
        <v>166</v>
      </c>
      <c r="C89" s="38" t="s">
        <v>167</v>
      </c>
      <c r="D89" s="52"/>
      <c r="E89" s="13"/>
      <c r="F89" s="13">
        <v>2</v>
      </c>
      <c r="G89" s="36">
        <v>1.2</v>
      </c>
      <c r="H89" s="99">
        <f t="shared" ref="H89" si="10">G89*F89/1000</f>
        <v>2.3999999999999998E-3</v>
      </c>
      <c r="I89" s="108">
        <f>G89*12</f>
        <v>14.399999999999999</v>
      </c>
    </row>
    <row r="90" spans="1:9" ht="31.5" customHeight="1">
      <c r="A90" s="29">
        <v>19</v>
      </c>
      <c r="B90" s="128" t="s">
        <v>223</v>
      </c>
      <c r="C90" s="66" t="s">
        <v>28</v>
      </c>
      <c r="D90" s="52"/>
      <c r="E90" s="13"/>
      <c r="F90" s="13"/>
      <c r="G90" s="36">
        <v>18798.34</v>
      </c>
      <c r="H90" s="99"/>
      <c r="I90" s="108">
        <f>G90*0.599*6/1000</f>
        <v>67.561233959999996</v>
      </c>
    </row>
    <row r="91" spans="1:9" ht="29.25" customHeight="1">
      <c r="A91" s="29">
        <v>20</v>
      </c>
      <c r="B91" s="128" t="s">
        <v>227</v>
      </c>
      <c r="C91" s="66" t="s">
        <v>228</v>
      </c>
      <c r="D91" s="42"/>
      <c r="E91" s="42"/>
      <c r="F91" s="42"/>
      <c r="G91" s="36">
        <v>24829.08</v>
      </c>
      <c r="H91" s="42"/>
      <c r="I91" s="118">
        <f>G91*0.01</f>
        <v>248.29080000000002</v>
      </c>
    </row>
    <row r="92" spans="1:9" ht="15.75" customHeight="1">
      <c r="A92" s="29">
        <v>21</v>
      </c>
      <c r="B92" s="128" t="s">
        <v>229</v>
      </c>
      <c r="C92" s="66" t="s">
        <v>230</v>
      </c>
      <c r="D92" s="42"/>
      <c r="E92" s="42"/>
      <c r="F92" s="42"/>
      <c r="G92" s="36">
        <v>1146</v>
      </c>
      <c r="H92" s="42"/>
      <c r="I92" s="156">
        <f>G92*0.5</f>
        <v>573</v>
      </c>
    </row>
    <row r="93" spans="1:9" ht="15.75" customHeight="1">
      <c r="A93" s="29">
        <v>22</v>
      </c>
      <c r="B93" s="128" t="s">
        <v>231</v>
      </c>
      <c r="C93" s="66" t="s">
        <v>116</v>
      </c>
      <c r="D93" s="42"/>
      <c r="E93" s="42"/>
      <c r="F93" s="42"/>
      <c r="G93" s="36">
        <v>95.25</v>
      </c>
      <c r="H93" s="42"/>
      <c r="I93" s="42">
        <f>G93*2</f>
        <v>190.5</v>
      </c>
    </row>
    <row r="94" spans="1:9" ht="15.75" customHeight="1">
      <c r="A94" s="29">
        <v>23</v>
      </c>
      <c r="B94" s="128" t="s">
        <v>232</v>
      </c>
      <c r="C94" s="66" t="s">
        <v>116</v>
      </c>
      <c r="D94" s="42"/>
      <c r="E94" s="42"/>
      <c r="F94" s="42"/>
      <c r="G94" s="36">
        <v>5.42</v>
      </c>
      <c r="H94" s="42"/>
      <c r="I94" s="42">
        <f>G94*2</f>
        <v>10.84</v>
      </c>
    </row>
    <row r="95" spans="1:9" ht="15.75" customHeight="1">
      <c r="A95" s="29"/>
      <c r="B95" s="46" t="s">
        <v>51</v>
      </c>
      <c r="C95" s="42"/>
      <c r="D95" s="54"/>
      <c r="E95" s="42">
        <v>1</v>
      </c>
      <c r="F95" s="42"/>
      <c r="G95" s="42"/>
      <c r="H95" s="42"/>
      <c r="I95" s="31">
        <f>SUM(I89:I94)</f>
        <v>1104.59203396</v>
      </c>
    </row>
    <row r="96" spans="1:9" ht="15.75" customHeight="1">
      <c r="A96" s="29"/>
      <c r="B96" s="52" t="s">
        <v>78</v>
      </c>
      <c r="C96" s="15"/>
      <c r="D96" s="15"/>
      <c r="E96" s="43"/>
      <c r="F96" s="43"/>
      <c r="G96" s="44"/>
      <c r="H96" s="44"/>
      <c r="I96" s="17">
        <v>0</v>
      </c>
    </row>
    <row r="97" spans="1:9" ht="15.75" customHeight="1">
      <c r="A97" s="55"/>
      <c r="B97" s="47" t="s">
        <v>140</v>
      </c>
      <c r="C97" s="34"/>
      <c r="D97" s="34"/>
      <c r="E97" s="34"/>
      <c r="F97" s="34"/>
      <c r="G97" s="34"/>
      <c r="H97" s="34"/>
      <c r="I97" s="45">
        <f>I87+I95</f>
        <v>36960.301468626654</v>
      </c>
    </row>
    <row r="98" spans="1:9" ht="15.75">
      <c r="A98" s="135" t="s">
        <v>233</v>
      </c>
      <c r="B98" s="135"/>
      <c r="C98" s="135"/>
      <c r="D98" s="135"/>
      <c r="E98" s="135"/>
      <c r="F98" s="135"/>
      <c r="G98" s="135"/>
      <c r="H98" s="135"/>
      <c r="I98" s="135"/>
    </row>
    <row r="99" spans="1:9" ht="15.75">
      <c r="A99" s="61"/>
      <c r="B99" s="151" t="s">
        <v>234</v>
      </c>
      <c r="C99" s="151"/>
      <c r="D99" s="151"/>
      <c r="E99" s="151"/>
      <c r="F99" s="151"/>
      <c r="G99" s="151"/>
      <c r="H99" s="80"/>
      <c r="I99" s="3"/>
    </row>
    <row r="100" spans="1:9">
      <c r="A100" s="111"/>
      <c r="B100" s="147" t="s">
        <v>6</v>
      </c>
      <c r="C100" s="147"/>
      <c r="D100" s="147"/>
      <c r="E100" s="147"/>
      <c r="F100" s="147"/>
      <c r="G100" s="147"/>
      <c r="H100" s="24"/>
      <c r="I100" s="5"/>
    </row>
    <row r="101" spans="1:9">
      <c r="A101" s="10"/>
      <c r="B101" s="10"/>
      <c r="C101" s="10"/>
      <c r="D101" s="10"/>
      <c r="E101" s="10"/>
      <c r="F101" s="10"/>
      <c r="G101" s="10"/>
      <c r="H101" s="10"/>
      <c r="I101" s="10"/>
    </row>
    <row r="102" spans="1:9" ht="15.75">
      <c r="A102" s="155" t="s">
        <v>7</v>
      </c>
      <c r="B102" s="155"/>
      <c r="C102" s="155"/>
      <c r="D102" s="155"/>
      <c r="E102" s="155"/>
      <c r="F102" s="155"/>
      <c r="G102" s="155"/>
      <c r="H102" s="155"/>
      <c r="I102" s="155"/>
    </row>
    <row r="103" spans="1:9" ht="15.75">
      <c r="A103" s="155" t="s">
        <v>8</v>
      </c>
      <c r="B103" s="155"/>
      <c r="C103" s="155"/>
      <c r="D103" s="155"/>
      <c r="E103" s="155"/>
      <c r="F103" s="155"/>
      <c r="G103" s="155"/>
      <c r="H103" s="155"/>
      <c r="I103" s="155"/>
    </row>
    <row r="104" spans="1:9" ht="15.75">
      <c r="A104" s="152" t="s">
        <v>60</v>
      </c>
      <c r="B104" s="152"/>
      <c r="C104" s="152"/>
      <c r="D104" s="152"/>
      <c r="E104" s="152"/>
      <c r="F104" s="152"/>
      <c r="G104" s="152"/>
      <c r="H104" s="152"/>
      <c r="I104" s="152"/>
    </row>
    <row r="105" spans="1:9" ht="15.75">
      <c r="A105" s="11"/>
    </row>
    <row r="106" spans="1:9" ht="15.75">
      <c r="A106" s="153" t="s">
        <v>9</v>
      </c>
      <c r="B106" s="153"/>
      <c r="C106" s="153"/>
      <c r="D106" s="153"/>
      <c r="E106" s="153"/>
      <c r="F106" s="153"/>
      <c r="G106" s="153"/>
      <c r="H106" s="153"/>
      <c r="I106" s="153"/>
    </row>
    <row r="107" spans="1:9" ht="15.75">
      <c r="A107" s="4"/>
    </row>
    <row r="108" spans="1:9" ht="15.75">
      <c r="B108" s="116" t="s">
        <v>10</v>
      </c>
      <c r="C108" s="154" t="s">
        <v>87</v>
      </c>
      <c r="D108" s="154"/>
      <c r="E108" s="154"/>
      <c r="F108" s="78"/>
      <c r="I108" s="115"/>
    </row>
    <row r="109" spans="1:9">
      <c r="A109" s="111"/>
      <c r="C109" s="147" t="s">
        <v>11</v>
      </c>
      <c r="D109" s="147"/>
      <c r="E109" s="147"/>
      <c r="F109" s="24"/>
      <c r="I109" s="117" t="s">
        <v>12</v>
      </c>
    </row>
    <row r="110" spans="1:9" ht="15.75">
      <c r="A110" s="25"/>
      <c r="C110" s="12"/>
      <c r="D110" s="12"/>
      <c r="G110" s="12"/>
      <c r="H110" s="12"/>
    </row>
    <row r="111" spans="1:9" ht="15.75">
      <c r="B111" s="116" t="s">
        <v>13</v>
      </c>
      <c r="C111" s="149"/>
      <c r="D111" s="149"/>
      <c r="E111" s="149"/>
      <c r="F111" s="79"/>
      <c r="I111" s="115"/>
    </row>
    <row r="112" spans="1:9">
      <c r="A112" s="111"/>
      <c r="C112" s="136" t="s">
        <v>11</v>
      </c>
      <c r="D112" s="136"/>
      <c r="E112" s="136"/>
      <c r="F112" s="111"/>
      <c r="I112" s="117" t="s">
        <v>12</v>
      </c>
    </row>
    <row r="113" spans="1:9" ht="15.75">
      <c r="A113" s="4" t="s">
        <v>14</v>
      </c>
    </row>
    <row r="114" spans="1:9">
      <c r="A114" s="150" t="s">
        <v>15</v>
      </c>
      <c r="B114" s="150"/>
      <c r="C114" s="150"/>
      <c r="D114" s="150"/>
      <c r="E114" s="150"/>
      <c r="F114" s="150"/>
      <c r="G114" s="150"/>
      <c r="H114" s="150"/>
      <c r="I114" s="150"/>
    </row>
    <row r="115" spans="1:9" ht="45" customHeight="1">
      <c r="A115" s="148" t="s">
        <v>16</v>
      </c>
      <c r="B115" s="148"/>
      <c r="C115" s="148"/>
      <c r="D115" s="148"/>
      <c r="E115" s="148"/>
      <c r="F115" s="148"/>
      <c r="G115" s="148"/>
      <c r="H115" s="148"/>
      <c r="I115" s="148"/>
    </row>
    <row r="116" spans="1:9" ht="30" customHeight="1">
      <c r="A116" s="148" t="s">
        <v>17</v>
      </c>
      <c r="B116" s="148"/>
      <c r="C116" s="148"/>
      <c r="D116" s="148"/>
      <c r="E116" s="148"/>
      <c r="F116" s="148"/>
      <c r="G116" s="148"/>
      <c r="H116" s="148"/>
      <c r="I116" s="148"/>
    </row>
    <row r="117" spans="1:9" ht="30" customHeight="1">
      <c r="A117" s="148" t="s">
        <v>21</v>
      </c>
      <c r="B117" s="148"/>
      <c r="C117" s="148"/>
      <c r="D117" s="148"/>
      <c r="E117" s="148"/>
      <c r="F117" s="148"/>
      <c r="G117" s="148"/>
      <c r="H117" s="148"/>
      <c r="I117" s="148"/>
    </row>
    <row r="118" spans="1:9" ht="15.75">
      <c r="A118" s="148" t="s">
        <v>20</v>
      </c>
      <c r="B118" s="148"/>
      <c r="C118" s="148"/>
      <c r="D118" s="148"/>
      <c r="E118" s="148"/>
      <c r="F118" s="148"/>
      <c r="G118" s="148"/>
      <c r="H118" s="148"/>
      <c r="I118" s="148"/>
    </row>
  </sheetData>
  <autoFilter ref="I12:I65"/>
  <mergeCells count="29">
    <mergeCell ref="A14:I14"/>
    <mergeCell ref="A15:I15"/>
    <mergeCell ref="A29:I29"/>
    <mergeCell ref="A45:I45"/>
    <mergeCell ref="A57:I57"/>
    <mergeCell ref="A3:I3"/>
    <mergeCell ref="A4:I4"/>
    <mergeCell ref="A5:I5"/>
    <mergeCell ref="A8:I8"/>
    <mergeCell ref="A10:I10"/>
    <mergeCell ref="R70:U70"/>
    <mergeCell ref="C112:E112"/>
    <mergeCell ref="A88:I88"/>
    <mergeCell ref="A98:I98"/>
    <mergeCell ref="B99:G99"/>
    <mergeCell ref="B100:G100"/>
    <mergeCell ref="A102:I102"/>
    <mergeCell ref="A103:I103"/>
    <mergeCell ref="A104:I104"/>
    <mergeCell ref="A106:I106"/>
    <mergeCell ref="C108:E108"/>
    <mergeCell ref="C109:E109"/>
    <mergeCell ref="C111:E111"/>
    <mergeCell ref="A83:I83"/>
    <mergeCell ref="A114:I114"/>
    <mergeCell ref="A115:I115"/>
    <mergeCell ref="A116:I116"/>
    <mergeCell ref="A117:I117"/>
    <mergeCell ref="A118:I118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V113"/>
  <sheetViews>
    <sheetView topLeftCell="A51" workbookViewId="0">
      <selection activeCell="B94" sqref="B94:G94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7" t="s">
        <v>82</v>
      </c>
      <c r="I1" s="26"/>
      <c r="J1" s="1"/>
      <c r="K1" s="1"/>
      <c r="L1" s="1"/>
      <c r="M1" s="1"/>
    </row>
    <row r="2" spans="1:13" ht="15.75" customHeight="1">
      <c r="A2" s="28" t="s">
        <v>61</v>
      </c>
      <c r="J2" s="2"/>
      <c r="K2" s="2"/>
      <c r="L2" s="2"/>
      <c r="M2" s="2"/>
    </row>
    <row r="3" spans="1:13" ht="15.75" customHeight="1">
      <c r="A3" s="137" t="s">
        <v>151</v>
      </c>
      <c r="B3" s="137"/>
      <c r="C3" s="137"/>
      <c r="D3" s="137"/>
      <c r="E3" s="137"/>
      <c r="F3" s="137"/>
      <c r="G3" s="137"/>
      <c r="H3" s="137"/>
      <c r="I3" s="137"/>
      <c r="J3" s="3"/>
      <c r="K3" s="3"/>
      <c r="L3" s="3"/>
    </row>
    <row r="4" spans="1:13" ht="31.5" customHeight="1">
      <c r="A4" s="138" t="s">
        <v>129</v>
      </c>
      <c r="B4" s="138"/>
      <c r="C4" s="138"/>
      <c r="D4" s="138"/>
      <c r="E4" s="138"/>
      <c r="F4" s="138"/>
      <c r="G4" s="138"/>
      <c r="H4" s="138"/>
      <c r="I4" s="138"/>
    </row>
    <row r="5" spans="1:13" ht="15.75" customHeight="1">
      <c r="A5" s="137" t="s">
        <v>169</v>
      </c>
      <c r="B5" s="141"/>
      <c r="C5" s="141"/>
      <c r="D5" s="141"/>
      <c r="E5" s="141"/>
      <c r="F5" s="141"/>
      <c r="G5" s="141"/>
      <c r="H5" s="141"/>
      <c r="I5" s="141"/>
      <c r="J5" s="2"/>
      <c r="K5" s="2"/>
      <c r="L5" s="2"/>
      <c r="M5" s="2"/>
    </row>
    <row r="6" spans="1:13" ht="15.75" customHeight="1">
      <c r="A6" s="2"/>
      <c r="B6" s="74"/>
      <c r="C6" s="74"/>
      <c r="D6" s="74"/>
      <c r="E6" s="74"/>
      <c r="F6" s="74"/>
      <c r="G6" s="74"/>
      <c r="H6" s="74"/>
      <c r="I6" s="30">
        <v>43159</v>
      </c>
      <c r="J6" s="2"/>
      <c r="K6" s="2"/>
      <c r="L6" s="2"/>
      <c r="M6" s="2"/>
    </row>
    <row r="7" spans="1:13" ht="15.75" customHeight="1">
      <c r="B7" s="70"/>
      <c r="C7" s="70"/>
      <c r="D7" s="70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139" t="s">
        <v>136</v>
      </c>
      <c r="B8" s="139"/>
      <c r="C8" s="139"/>
      <c r="D8" s="139"/>
      <c r="E8" s="139"/>
      <c r="F8" s="139"/>
      <c r="G8" s="139"/>
      <c r="H8" s="139"/>
      <c r="I8" s="139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140" t="s">
        <v>135</v>
      </c>
      <c r="B10" s="140"/>
      <c r="C10" s="140"/>
      <c r="D10" s="140"/>
      <c r="E10" s="140"/>
      <c r="F10" s="140"/>
      <c r="G10" s="140"/>
      <c r="H10" s="140"/>
      <c r="I10" s="140"/>
      <c r="J10" s="2"/>
      <c r="K10" s="2"/>
      <c r="L10" s="2"/>
      <c r="M10" s="2"/>
    </row>
    <row r="11" spans="1:13" ht="15.75">
      <c r="A11" s="4"/>
    </row>
    <row r="12" spans="1:13" ht="47.2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142" t="s">
        <v>58</v>
      </c>
      <c r="B14" s="142"/>
      <c r="C14" s="142"/>
      <c r="D14" s="142"/>
      <c r="E14" s="142"/>
      <c r="F14" s="142"/>
      <c r="G14" s="142"/>
      <c r="H14" s="142"/>
      <c r="I14" s="142"/>
      <c r="J14" s="8"/>
      <c r="K14" s="8"/>
      <c r="L14" s="8"/>
      <c r="M14" s="8"/>
    </row>
    <row r="15" spans="1:13" ht="15.75" customHeight="1">
      <c r="A15" s="143" t="s">
        <v>4</v>
      </c>
      <c r="B15" s="143"/>
      <c r="C15" s="143"/>
      <c r="D15" s="143"/>
      <c r="E15" s="143"/>
      <c r="F15" s="143"/>
      <c r="G15" s="143"/>
      <c r="H15" s="143"/>
      <c r="I15" s="143"/>
      <c r="J15" s="8"/>
      <c r="K15" s="8"/>
      <c r="L15" s="8"/>
      <c r="M15" s="8"/>
    </row>
    <row r="16" spans="1:13" ht="15.75" customHeight="1">
      <c r="A16" s="29">
        <v>1</v>
      </c>
      <c r="B16" s="82" t="s">
        <v>83</v>
      </c>
      <c r="C16" s="83" t="s">
        <v>92</v>
      </c>
      <c r="D16" s="82" t="s">
        <v>141</v>
      </c>
      <c r="E16" s="84">
        <v>54.2</v>
      </c>
      <c r="F16" s="85">
        <f>SUM(E16*156/100)</f>
        <v>84.552000000000007</v>
      </c>
      <c r="G16" s="85">
        <v>218.21</v>
      </c>
      <c r="H16" s="86">
        <f t="shared" ref="H16:H26" si="0">SUM(F16*G16/1000)</f>
        <v>18.450091920000002</v>
      </c>
      <c r="I16" s="13">
        <f>F16/12*G16</f>
        <v>1537.5076600000002</v>
      </c>
      <c r="J16" s="8"/>
      <c r="K16" s="8"/>
      <c r="L16" s="8"/>
      <c r="M16" s="8"/>
    </row>
    <row r="17" spans="1:13" ht="15.75" customHeight="1">
      <c r="A17" s="29">
        <v>2</v>
      </c>
      <c r="B17" s="82" t="s">
        <v>90</v>
      </c>
      <c r="C17" s="83" t="s">
        <v>92</v>
      </c>
      <c r="D17" s="82" t="s">
        <v>142</v>
      </c>
      <c r="E17" s="84">
        <v>108.5</v>
      </c>
      <c r="F17" s="85">
        <f>SUM(E17*104/100)</f>
        <v>112.84</v>
      </c>
      <c r="G17" s="85">
        <v>218.21</v>
      </c>
      <c r="H17" s="86">
        <f t="shared" si="0"/>
        <v>24.622816400000005</v>
      </c>
      <c r="I17" s="13">
        <f>F17/12*G17</f>
        <v>2051.9013666666669</v>
      </c>
      <c r="J17" s="22"/>
      <c r="K17" s="8"/>
      <c r="L17" s="8"/>
      <c r="M17" s="8"/>
    </row>
    <row r="18" spans="1:13" ht="15.75" customHeight="1">
      <c r="A18" s="29">
        <v>3</v>
      </c>
      <c r="B18" s="82" t="s">
        <v>91</v>
      </c>
      <c r="C18" s="83" t="s">
        <v>92</v>
      </c>
      <c r="D18" s="82" t="s">
        <v>143</v>
      </c>
      <c r="E18" s="84">
        <f>SUM(E16+E17)</f>
        <v>162.69999999999999</v>
      </c>
      <c r="F18" s="85">
        <f>SUM(E18*24/100)</f>
        <v>39.047999999999995</v>
      </c>
      <c r="G18" s="85">
        <v>627.77</v>
      </c>
      <c r="H18" s="86">
        <f t="shared" si="0"/>
        <v>24.513162959999995</v>
      </c>
      <c r="I18" s="13">
        <f>F18/12*G18</f>
        <v>2042.7635799999996</v>
      </c>
      <c r="J18" s="22"/>
      <c r="K18" s="8"/>
      <c r="L18" s="8"/>
      <c r="M18" s="8"/>
    </row>
    <row r="19" spans="1:13" ht="15.75" hidden="1" customHeight="1">
      <c r="A19" s="29">
        <v>4</v>
      </c>
      <c r="B19" s="82" t="s">
        <v>93</v>
      </c>
      <c r="C19" s="83" t="s">
        <v>88</v>
      </c>
      <c r="D19" s="82" t="s">
        <v>94</v>
      </c>
      <c r="E19" s="84">
        <v>15.3</v>
      </c>
      <c r="F19" s="85">
        <f>SUM(E19/10)</f>
        <v>1.53</v>
      </c>
      <c r="G19" s="85">
        <v>211.74</v>
      </c>
      <c r="H19" s="86">
        <f t="shared" si="0"/>
        <v>0.32396219999999998</v>
      </c>
      <c r="I19" s="13">
        <f>F19/2*G19</f>
        <v>161.9811</v>
      </c>
      <c r="J19" s="22"/>
      <c r="K19" s="8"/>
      <c r="L19" s="8"/>
      <c r="M19" s="8"/>
    </row>
    <row r="20" spans="1:13" ht="15.75" hidden="1" customHeight="1">
      <c r="A20" s="29">
        <v>5</v>
      </c>
      <c r="B20" s="82" t="s">
        <v>96</v>
      </c>
      <c r="C20" s="83" t="s">
        <v>92</v>
      </c>
      <c r="D20" s="82" t="s">
        <v>41</v>
      </c>
      <c r="E20" s="84">
        <v>19.62</v>
      </c>
      <c r="F20" s="85">
        <f>SUM(E20*2/100)</f>
        <v>0.39240000000000003</v>
      </c>
      <c r="G20" s="85">
        <v>271.12</v>
      </c>
      <c r="H20" s="86">
        <f t="shared" si="0"/>
        <v>0.106387488</v>
      </c>
      <c r="I20" s="13">
        <f>F20/2*G20</f>
        <v>53.193744000000002</v>
      </c>
      <c r="J20" s="22"/>
      <c r="K20" s="8"/>
      <c r="L20" s="8"/>
      <c r="M20" s="8"/>
    </row>
    <row r="21" spans="1:13" ht="15.75" hidden="1" customHeight="1">
      <c r="A21" s="29">
        <v>6</v>
      </c>
      <c r="B21" s="82" t="s">
        <v>97</v>
      </c>
      <c r="C21" s="83" t="s">
        <v>92</v>
      </c>
      <c r="D21" s="82" t="s">
        <v>41</v>
      </c>
      <c r="E21" s="84">
        <v>8.68</v>
      </c>
      <c r="F21" s="85">
        <f>SUM(E21*2/100)</f>
        <v>0.1736</v>
      </c>
      <c r="G21" s="85">
        <v>268.92</v>
      </c>
      <c r="H21" s="86">
        <f t="shared" si="0"/>
        <v>4.6684512000000004E-2</v>
      </c>
      <c r="I21" s="13">
        <f>F21/2*G21</f>
        <v>23.342256000000003</v>
      </c>
      <c r="J21" s="22"/>
      <c r="K21" s="8"/>
      <c r="L21" s="8"/>
      <c r="M21" s="8"/>
    </row>
    <row r="22" spans="1:13" ht="15.75" hidden="1" customHeight="1">
      <c r="A22" s="29">
        <v>7</v>
      </c>
      <c r="B22" s="82" t="s">
        <v>98</v>
      </c>
      <c r="C22" s="83" t="s">
        <v>52</v>
      </c>
      <c r="D22" s="82" t="s">
        <v>94</v>
      </c>
      <c r="E22" s="84">
        <v>215</v>
      </c>
      <c r="F22" s="85">
        <f>SUM(E22/100)</f>
        <v>2.15</v>
      </c>
      <c r="G22" s="85">
        <v>335.05</v>
      </c>
      <c r="H22" s="86">
        <f t="shared" si="0"/>
        <v>0.72035749999999998</v>
      </c>
      <c r="I22" s="13">
        <f>F22*G22</f>
        <v>720.35749999999996</v>
      </c>
      <c r="J22" s="22"/>
      <c r="K22" s="8"/>
      <c r="L22" s="8"/>
      <c r="M22" s="8"/>
    </row>
    <row r="23" spans="1:13" ht="15.75" hidden="1" customHeight="1">
      <c r="A23" s="29">
        <v>8</v>
      </c>
      <c r="B23" s="82" t="s">
        <v>99</v>
      </c>
      <c r="C23" s="83" t="s">
        <v>52</v>
      </c>
      <c r="D23" s="82" t="s">
        <v>94</v>
      </c>
      <c r="E23" s="87">
        <v>17.64</v>
      </c>
      <c r="F23" s="85">
        <f>SUM(E23/100)</f>
        <v>0.1764</v>
      </c>
      <c r="G23" s="85">
        <v>55.1</v>
      </c>
      <c r="H23" s="86">
        <f t="shared" si="0"/>
        <v>9.7196399999999999E-3</v>
      </c>
      <c r="I23" s="13">
        <f>F23*G23</f>
        <v>9.7196400000000001</v>
      </c>
      <c r="J23" s="22"/>
      <c r="K23" s="8"/>
      <c r="L23" s="8"/>
      <c r="M23" s="8"/>
    </row>
    <row r="24" spans="1:13" ht="15.75" hidden="1" customHeight="1">
      <c r="A24" s="29">
        <v>9</v>
      </c>
      <c r="B24" s="82" t="s">
        <v>95</v>
      </c>
      <c r="C24" s="83" t="s">
        <v>52</v>
      </c>
      <c r="D24" s="82" t="s">
        <v>94</v>
      </c>
      <c r="E24" s="18">
        <v>4.5</v>
      </c>
      <c r="F24" s="88">
        <v>0.05</v>
      </c>
      <c r="G24" s="85">
        <v>484.94</v>
      </c>
      <c r="H24" s="86">
        <f>F24*G24/1000</f>
        <v>2.4247000000000001E-2</v>
      </c>
      <c r="I24" s="13">
        <f>F24*G24</f>
        <v>24.247</v>
      </c>
      <c r="J24" s="22"/>
      <c r="K24" s="8"/>
      <c r="L24" s="8"/>
      <c r="M24" s="8"/>
    </row>
    <row r="25" spans="1:13" ht="15.75" hidden="1" customHeight="1">
      <c r="A25" s="29">
        <v>10</v>
      </c>
      <c r="B25" s="82" t="s">
        <v>130</v>
      </c>
      <c r="C25" s="83" t="s">
        <v>52</v>
      </c>
      <c r="D25" s="82" t="s">
        <v>94</v>
      </c>
      <c r="E25" s="87">
        <v>9.4499999999999993</v>
      </c>
      <c r="F25" s="85">
        <v>0.09</v>
      </c>
      <c r="G25" s="85">
        <v>268.92</v>
      </c>
      <c r="H25" s="86">
        <f>F25*G25/1000</f>
        <v>2.42028E-2</v>
      </c>
      <c r="I25" s="13">
        <f>F25*G25</f>
        <v>24.2028</v>
      </c>
      <c r="J25" s="22"/>
      <c r="K25" s="8"/>
      <c r="L25" s="8"/>
      <c r="M25" s="8"/>
    </row>
    <row r="26" spans="1:13" ht="15.75" hidden="1" customHeight="1">
      <c r="A26" s="29">
        <v>11</v>
      </c>
      <c r="B26" s="82" t="s">
        <v>100</v>
      </c>
      <c r="C26" s="83" t="s">
        <v>52</v>
      </c>
      <c r="D26" s="82" t="s">
        <v>94</v>
      </c>
      <c r="E26" s="84">
        <v>14.4</v>
      </c>
      <c r="F26" s="85">
        <f>SUM(E26/100)</f>
        <v>0.14400000000000002</v>
      </c>
      <c r="G26" s="85">
        <v>648.04999999999995</v>
      </c>
      <c r="H26" s="86">
        <f t="shared" si="0"/>
        <v>9.3319200000000005E-2</v>
      </c>
      <c r="I26" s="13">
        <f>F26*G26</f>
        <v>93.319200000000009</v>
      </c>
      <c r="J26" s="22"/>
      <c r="K26" s="8"/>
      <c r="L26" s="8"/>
      <c r="M26" s="8"/>
    </row>
    <row r="27" spans="1:13" ht="15.75" customHeight="1">
      <c r="A27" s="29">
        <v>4</v>
      </c>
      <c r="B27" s="82" t="s">
        <v>63</v>
      </c>
      <c r="C27" s="83" t="s">
        <v>31</v>
      </c>
      <c r="D27" s="82"/>
      <c r="E27" s="84">
        <v>0.1</v>
      </c>
      <c r="F27" s="85">
        <f>SUM(E27*365)</f>
        <v>36.5</v>
      </c>
      <c r="G27" s="85">
        <v>182.96</v>
      </c>
      <c r="H27" s="86">
        <f>SUM(F27*G27/1000)</f>
        <v>6.6780400000000002</v>
      </c>
      <c r="I27" s="13">
        <f>F27/12*G27</f>
        <v>556.50333333333333</v>
      </c>
      <c r="J27" s="22"/>
      <c r="K27" s="8"/>
      <c r="L27" s="8"/>
      <c r="M27" s="8"/>
    </row>
    <row r="28" spans="1:13" ht="15.75" customHeight="1">
      <c r="A28" s="29">
        <v>5</v>
      </c>
      <c r="B28" s="89" t="s">
        <v>23</v>
      </c>
      <c r="C28" s="83" t="s">
        <v>24</v>
      </c>
      <c r="D28" s="82"/>
      <c r="E28" s="84">
        <v>1839.1</v>
      </c>
      <c r="F28" s="85">
        <f>SUM(E28*12)</f>
        <v>22069.199999999997</v>
      </c>
      <c r="G28" s="85">
        <v>4.58</v>
      </c>
      <c r="H28" s="86">
        <f>SUM(F28*G28/1000)</f>
        <v>101.07693599999999</v>
      </c>
      <c r="I28" s="13">
        <f>F28/12*G28</f>
        <v>8423.0779999999995</v>
      </c>
      <c r="J28" s="22"/>
      <c r="K28" s="8"/>
      <c r="L28" s="8"/>
      <c r="M28" s="8"/>
    </row>
    <row r="29" spans="1:13" ht="15.75" customHeight="1">
      <c r="A29" s="143" t="s">
        <v>81</v>
      </c>
      <c r="B29" s="143"/>
      <c r="C29" s="143"/>
      <c r="D29" s="143"/>
      <c r="E29" s="143"/>
      <c r="F29" s="143"/>
      <c r="G29" s="143"/>
      <c r="H29" s="143"/>
      <c r="I29" s="143"/>
      <c r="J29" s="22"/>
      <c r="K29" s="8"/>
      <c r="L29" s="8"/>
      <c r="M29" s="8"/>
    </row>
    <row r="30" spans="1:13" ht="15.75" hidden="1" customHeight="1">
      <c r="A30" s="41"/>
      <c r="B30" s="51" t="s">
        <v>27</v>
      </c>
      <c r="C30" s="51"/>
      <c r="D30" s="51"/>
      <c r="E30" s="51"/>
      <c r="F30" s="51"/>
      <c r="G30" s="51"/>
      <c r="H30" s="51"/>
      <c r="I30" s="18"/>
      <c r="J30" s="22"/>
      <c r="K30" s="8"/>
      <c r="L30" s="8"/>
      <c r="M30" s="8"/>
    </row>
    <row r="31" spans="1:13" ht="15.75" hidden="1" customHeight="1">
      <c r="A31" s="41">
        <v>2</v>
      </c>
      <c r="B31" s="32" t="s">
        <v>101</v>
      </c>
      <c r="C31" s="83" t="s">
        <v>102</v>
      </c>
      <c r="D31" s="82" t="s">
        <v>103</v>
      </c>
      <c r="E31" s="85">
        <v>58</v>
      </c>
      <c r="F31" s="85">
        <f>SUM(E31*52/1000)</f>
        <v>3.016</v>
      </c>
      <c r="G31" s="85">
        <v>193.97</v>
      </c>
      <c r="H31" s="86">
        <f>SUM(F31*G31/1000)</f>
        <v>0.58501351999999995</v>
      </c>
      <c r="I31" s="13">
        <f>F31/6*G31</f>
        <v>97.502253333333343</v>
      </c>
      <c r="J31" s="22"/>
      <c r="K31" s="8"/>
      <c r="L31" s="8"/>
      <c r="M31" s="8"/>
    </row>
    <row r="32" spans="1:13" ht="31.5" hidden="1" customHeight="1">
      <c r="A32" s="41">
        <v>3</v>
      </c>
      <c r="B32" s="32" t="s">
        <v>104</v>
      </c>
      <c r="C32" s="83" t="s">
        <v>102</v>
      </c>
      <c r="D32" s="82" t="s">
        <v>105</v>
      </c>
      <c r="E32" s="85">
        <v>48.3</v>
      </c>
      <c r="F32" s="85">
        <f>SUM(E32*78/1000)</f>
        <v>3.7673999999999994</v>
      </c>
      <c r="G32" s="85">
        <v>321.82</v>
      </c>
      <c r="H32" s="86">
        <f>SUM(F32*G32/1000)</f>
        <v>1.2124246679999999</v>
      </c>
      <c r="I32" s="13">
        <f>F32/6*G32</f>
        <v>202.07077799999996</v>
      </c>
      <c r="J32" s="22"/>
      <c r="K32" s="8"/>
      <c r="L32" s="8"/>
      <c r="M32" s="8"/>
    </row>
    <row r="33" spans="1:14" ht="15.75" hidden="1" customHeight="1">
      <c r="A33" s="41">
        <v>4</v>
      </c>
      <c r="B33" s="32" t="s">
        <v>26</v>
      </c>
      <c r="C33" s="83" t="s">
        <v>102</v>
      </c>
      <c r="D33" s="82" t="s">
        <v>53</v>
      </c>
      <c r="E33" s="85">
        <v>58</v>
      </c>
      <c r="F33" s="85">
        <f>SUM(E33/1000)</f>
        <v>5.8000000000000003E-2</v>
      </c>
      <c r="G33" s="85">
        <v>3758.28</v>
      </c>
      <c r="H33" s="86">
        <f>SUM(F33*G33/1000)</f>
        <v>0.21798024000000002</v>
      </c>
      <c r="I33" s="13">
        <f>F33*G33</f>
        <v>217.98024000000001</v>
      </c>
      <c r="J33" s="22"/>
      <c r="K33" s="8"/>
      <c r="L33" s="8"/>
      <c r="M33" s="8"/>
    </row>
    <row r="34" spans="1:14" ht="15.75" hidden="1" customHeight="1">
      <c r="A34" s="41"/>
      <c r="B34" s="32" t="s">
        <v>106</v>
      </c>
      <c r="C34" s="83" t="s">
        <v>39</v>
      </c>
      <c r="D34" s="82" t="s">
        <v>62</v>
      </c>
      <c r="E34" s="85">
        <v>1</v>
      </c>
      <c r="F34" s="85">
        <f>E34*155/100</f>
        <v>1.55</v>
      </c>
      <c r="G34" s="85">
        <v>1620.15</v>
      </c>
      <c r="H34" s="86">
        <f>SUM(F34*G34/1000)</f>
        <v>2.5112325000000002</v>
      </c>
      <c r="I34" s="13">
        <f>F34/6*G34</f>
        <v>418.53875000000005</v>
      </c>
      <c r="J34" s="22"/>
      <c r="K34" s="8"/>
    </row>
    <row r="35" spans="1:14" ht="15.75" hidden="1" customHeight="1">
      <c r="A35" s="41">
        <v>5</v>
      </c>
      <c r="B35" s="32" t="s">
        <v>107</v>
      </c>
      <c r="C35" s="83" t="s">
        <v>29</v>
      </c>
      <c r="D35" s="82" t="s">
        <v>62</v>
      </c>
      <c r="E35" s="90">
        <f>1/3</f>
        <v>0.33333333333333331</v>
      </c>
      <c r="F35" s="85">
        <f>155/3</f>
        <v>51.666666666666664</v>
      </c>
      <c r="G35" s="85">
        <v>70.540000000000006</v>
      </c>
      <c r="H35" s="86">
        <f>SUM(G35*155/3/1000)</f>
        <v>3.644566666666667</v>
      </c>
      <c r="I35" s="13">
        <f>F35/6*G35</f>
        <v>607.42777777777781</v>
      </c>
      <c r="J35" s="23"/>
    </row>
    <row r="36" spans="1:14" ht="15.75" hidden="1" customHeight="1">
      <c r="A36" s="41">
        <v>4</v>
      </c>
      <c r="B36" s="82" t="s">
        <v>64</v>
      </c>
      <c r="C36" s="83" t="s">
        <v>31</v>
      </c>
      <c r="D36" s="82" t="s">
        <v>66</v>
      </c>
      <c r="E36" s="84"/>
      <c r="F36" s="85">
        <v>1</v>
      </c>
      <c r="G36" s="85">
        <v>238.07</v>
      </c>
      <c r="H36" s="86">
        <f>SUM(F36*G36/1000)</f>
        <v>0.23807</v>
      </c>
      <c r="I36" s="13">
        <v>0</v>
      </c>
      <c r="J36" s="23"/>
    </row>
    <row r="37" spans="1:14" ht="15.75" hidden="1" customHeight="1">
      <c r="A37" s="29">
        <v>8</v>
      </c>
      <c r="B37" s="82" t="s">
        <v>65</v>
      </c>
      <c r="C37" s="83" t="s">
        <v>30</v>
      </c>
      <c r="D37" s="82" t="s">
        <v>66</v>
      </c>
      <c r="E37" s="84"/>
      <c r="F37" s="85">
        <v>1</v>
      </c>
      <c r="G37" s="85">
        <v>1413.96</v>
      </c>
      <c r="H37" s="86">
        <f>SUM(F37*G37/1000)</f>
        <v>1.4139600000000001</v>
      </c>
      <c r="I37" s="13">
        <v>0</v>
      </c>
      <c r="J37" s="23"/>
    </row>
    <row r="38" spans="1:14" ht="15.75" customHeight="1">
      <c r="A38" s="41"/>
      <c r="B38" s="49" t="s">
        <v>5</v>
      </c>
      <c r="C38" s="49"/>
      <c r="D38" s="49"/>
      <c r="E38" s="13"/>
      <c r="F38" s="13"/>
      <c r="G38" s="14"/>
      <c r="H38" s="14"/>
      <c r="I38" s="18"/>
      <c r="J38" s="23"/>
    </row>
    <row r="39" spans="1:14" ht="15.75" customHeight="1">
      <c r="A39" s="33">
        <v>6</v>
      </c>
      <c r="B39" s="82" t="s">
        <v>25</v>
      </c>
      <c r="C39" s="83" t="s">
        <v>30</v>
      </c>
      <c r="D39" s="82"/>
      <c r="E39" s="84"/>
      <c r="F39" s="85">
        <v>2</v>
      </c>
      <c r="G39" s="85">
        <v>1900.37</v>
      </c>
      <c r="H39" s="86">
        <f t="shared" ref="H39:H44" si="1">SUM(F39*G39/1000)</f>
        <v>3.8007399999999998</v>
      </c>
      <c r="I39" s="13">
        <f t="shared" ref="I39:I42" si="2">F39/6*G39</f>
        <v>633.45666666666659</v>
      </c>
      <c r="J39" s="23"/>
    </row>
    <row r="40" spans="1:14" ht="15.75" customHeight="1">
      <c r="A40" s="33">
        <v>7</v>
      </c>
      <c r="B40" s="82" t="s">
        <v>67</v>
      </c>
      <c r="C40" s="83" t="s">
        <v>28</v>
      </c>
      <c r="D40" s="82" t="s">
        <v>108</v>
      </c>
      <c r="E40" s="85">
        <v>48.3</v>
      </c>
      <c r="F40" s="85">
        <f>SUM(E40*30/1000)</f>
        <v>1.4490000000000001</v>
      </c>
      <c r="G40" s="85">
        <v>2616.4899999999998</v>
      </c>
      <c r="H40" s="86">
        <f t="shared" si="1"/>
        <v>3.7912940100000001</v>
      </c>
      <c r="I40" s="13">
        <f t="shared" si="2"/>
        <v>631.88233500000001</v>
      </c>
      <c r="J40" s="23"/>
    </row>
    <row r="41" spans="1:14" ht="15.75" customHeight="1">
      <c r="A41" s="33">
        <v>8</v>
      </c>
      <c r="B41" s="82" t="s">
        <v>68</v>
      </c>
      <c r="C41" s="83" t="s">
        <v>28</v>
      </c>
      <c r="D41" s="82" t="s">
        <v>109</v>
      </c>
      <c r="E41" s="85">
        <v>48.3</v>
      </c>
      <c r="F41" s="85">
        <f>SUM(E41*155/1000)</f>
        <v>7.4865000000000004</v>
      </c>
      <c r="G41" s="85">
        <v>436.45</v>
      </c>
      <c r="H41" s="86">
        <f t="shared" si="1"/>
        <v>3.2674829250000004</v>
      </c>
      <c r="I41" s="13">
        <f t="shared" si="2"/>
        <v>544.5804875</v>
      </c>
      <c r="J41" s="23"/>
    </row>
    <row r="42" spans="1:14" ht="47.25" customHeight="1">
      <c r="A42" s="33">
        <v>9</v>
      </c>
      <c r="B42" s="82" t="s">
        <v>80</v>
      </c>
      <c r="C42" s="83" t="s">
        <v>102</v>
      </c>
      <c r="D42" s="82" t="s">
        <v>110</v>
      </c>
      <c r="E42" s="85">
        <f>E40</f>
        <v>48.3</v>
      </c>
      <c r="F42" s="85">
        <f>SUM(E42*35/1000)</f>
        <v>1.6904999999999999</v>
      </c>
      <c r="G42" s="85">
        <v>7221.21</v>
      </c>
      <c r="H42" s="86">
        <f t="shared" si="1"/>
        <v>12.207455505</v>
      </c>
      <c r="I42" s="13">
        <f t="shared" si="2"/>
        <v>2034.5759175000001</v>
      </c>
      <c r="J42" s="23"/>
      <c r="L42" s="19"/>
      <c r="M42" s="20"/>
      <c r="N42" s="21"/>
    </row>
    <row r="43" spans="1:14" ht="15.75" customHeight="1">
      <c r="A43" s="33">
        <v>10</v>
      </c>
      <c r="B43" s="82" t="s">
        <v>111</v>
      </c>
      <c r="C43" s="83" t="s">
        <v>102</v>
      </c>
      <c r="D43" s="82" t="s">
        <v>112</v>
      </c>
      <c r="E43" s="85">
        <f>E40</f>
        <v>48.3</v>
      </c>
      <c r="F43" s="85">
        <f>SUM(E43*20/1000)</f>
        <v>0.96599999999999997</v>
      </c>
      <c r="G43" s="85">
        <v>533.45000000000005</v>
      </c>
      <c r="H43" s="86">
        <f t="shared" si="1"/>
        <v>0.51531270000000007</v>
      </c>
      <c r="I43" s="13">
        <f>F43/7.5*G43</f>
        <v>68.708359999999999</v>
      </c>
      <c r="J43" s="23"/>
      <c r="L43" s="19"/>
      <c r="M43" s="20"/>
      <c r="N43" s="21"/>
    </row>
    <row r="44" spans="1:14" ht="15.75" customHeight="1">
      <c r="A44" s="33">
        <v>11</v>
      </c>
      <c r="B44" s="82" t="s">
        <v>69</v>
      </c>
      <c r="C44" s="83" t="s">
        <v>31</v>
      </c>
      <c r="D44" s="82"/>
      <c r="E44" s="84"/>
      <c r="F44" s="85">
        <v>0.5</v>
      </c>
      <c r="G44" s="85">
        <v>992.97</v>
      </c>
      <c r="H44" s="86">
        <f t="shared" si="1"/>
        <v>0.49648500000000001</v>
      </c>
      <c r="I44" s="13">
        <f>F44/7.5*G44</f>
        <v>66.198000000000008</v>
      </c>
      <c r="J44" s="23"/>
      <c r="L44" s="19"/>
      <c r="M44" s="20"/>
      <c r="N44" s="21"/>
    </row>
    <row r="45" spans="1:14" ht="15.75" customHeight="1">
      <c r="A45" s="144" t="s">
        <v>137</v>
      </c>
      <c r="B45" s="145"/>
      <c r="C45" s="145"/>
      <c r="D45" s="145"/>
      <c r="E45" s="145"/>
      <c r="F45" s="145"/>
      <c r="G45" s="145"/>
      <c r="H45" s="145"/>
      <c r="I45" s="146"/>
      <c r="J45" s="23"/>
      <c r="L45" s="19"/>
      <c r="M45" s="20"/>
      <c r="N45" s="21"/>
    </row>
    <row r="46" spans="1:14" ht="15.75" hidden="1" customHeight="1">
      <c r="A46" s="41">
        <v>15</v>
      </c>
      <c r="B46" s="82" t="s">
        <v>113</v>
      </c>
      <c r="C46" s="83" t="s">
        <v>102</v>
      </c>
      <c r="D46" s="82" t="s">
        <v>41</v>
      </c>
      <c r="E46" s="84">
        <v>1044.7</v>
      </c>
      <c r="F46" s="85">
        <f>SUM(E46*2/1000)</f>
        <v>2.0893999999999999</v>
      </c>
      <c r="G46" s="13">
        <v>1283.46</v>
      </c>
      <c r="H46" s="86">
        <f t="shared" ref="H46:H56" si="3">SUM(F46*G46/1000)</f>
        <v>2.6816613240000002</v>
      </c>
      <c r="I46" s="13">
        <v>0</v>
      </c>
      <c r="J46" s="23"/>
      <c r="L46" s="19"/>
      <c r="M46" s="20"/>
      <c r="N46" s="21"/>
    </row>
    <row r="47" spans="1:14" ht="15.75" hidden="1" customHeight="1">
      <c r="A47" s="41"/>
      <c r="B47" s="82" t="s">
        <v>34</v>
      </c>
      <c r="C47" s="83" t="s">
        <v>102</v>
      </c>
      <c r="D47" s="82" t="s">
        <v>41</v>
      </c>
      <c r="E47" s="84">
        <v>19.8</v>
      </c>
      <c r="F47" s="85">
        <f>SUM(E47*2/1000)</f>
        <v>3.9600000000000003E-2</v>
      </c>
      <c r="G47" s="13">
        <v>4192.6400000000003</v>
      </c>
      <c r="H47" s="86">
        <f t="shared" si="3"/>
        <v>0.16602854400000003</v>
      </c>
      <c r="I47" s="13">
        <v>0</v>
      </c>
      <c r="J47" s="23"/>
      <c r="L47" s="19"/>
      <c r="M47" s="20"/>
      <c r="N47" s="21"/>
    </row>
    <row r="48" spans="1:14" ht="15.75" hidden="1" customHeight="1">
      <c r="A48" s="41">
        <v>16</v>
      </c>
      <c r="B48" s="82" t="s">
        <v>35</v>
      </c>
      <c r="C48" s="83" t="s">
        <v>102</v>
      </c>
      <c r="D48" s="82" t="s">
        <v>41</v>
      </c>
      <c r="E48" s="84">
        <v>660.84</v>
      </c>
      <c r="F48" s="85">
        <f>SUM(E48*2/1000)</f>
        <v>1.32168</v>
      </c>
      <c r="G48" s="13">
        <v>1711.28</v>
      </c>
      <c r="H48" s="86">
        <f t="shared" si="3"/>
        <v>2.2617645503999997</v>
      </c>
      <c r="I48" s="13">
        <v>0</v>
      </c>
      <c r="J48" s="23"/>
      <c r="L48" s="19"/>
      <c r="M48" s="20"/>
      <c r="N48" s="21"/>
    </row>
    <row r="49" spans="1:14" ht="15.75" hidden="1" customHeight="1">
      <c r="A49" s="41">
        <v>17</v>
      </c>
      <c r="B49" s="82" t="s">
        <v>36</v>
      </c>
      <c r="C49" s="83" t="s">
        <v>102</v>
      </c>
      <c r="D49" s="82" t="s">
        <v>41</v>
      </c>
      <c r="E49" s="84">
        <v>1156.21</v>
      </c>
      <c r="F49" s="85">
        <f>SUM(E49*2/1000)</f>
        <v>2.3124199999999999</v>
      </c>
      <c r="G49" s="13">
        <v>1179.73</v>
      </c>
      <c r="H49" s="86">
        <f t="shared" si="3"/>
        <v>2.7280312466000001</v>
      </c>
      <c r="I49" s="13">
        <v>0</v>
      </c>
      <c r="J49" s="23"/>
      <c r="L49" s="19"/>
      <c r="M49" s="20"/>
      <c r="N49" s="21"/>
    </row>
    <row r="50" spans="1:14" ht="15.75" hidden="1" customHeight="1">
      <c r="A50" s="41">
        <v>18</v>
      </c>
      <c r="B50" s="82" t="s">
        <v>32</v>
      </c>
      <c r="C50" s="83" t="s">
        <v>33</v>
      </c>
      <c r="D50" s="82" t="s">
        <v>144</v>
      </c>
      <c r="E50" s="84">
        <v>17.2</v>
      </c>
      <c r="F50" s="85">
        <f>SUM(E50*2/100)</f>
        <v>0.34399999999999997</v>
      </c>
      <c r="G50" s="13">
        <v>90.61</v>
      </c>
      <c r="H50" s="86">
        <f t="shared" si="3"/>
        <v>3.1169839999999997E-2</v>
      </c>
      <c r="I50" s="13">
        <v>0</v>
      </c>
      <c r="J50" s="23"/>
      <c r="L50" s="19"/>
      <c r="M50" s="20"/>
      <c r="N50" s="21"/>
    </row>
    <row r="51" spans="1:14" ht="15.75" customHeight="1">
      <c r="A51" s="41">
        <v>12</v>
      </c>
      <c r="B51" s="82" t="s">
        <v>55</v>
      </c>
      <c r="C51" s="83" t="s">
        <v>102</v>
      </c>
      <c r="D51" s="82" t="s">
        <v>146</v>
      </c>
      <c r="E51" s="84">
        <v>1839.1</v>
      </c>
      <c r="F51" s="85">
        <f>SUM(E51*5/1000)</f>
        <v>9.1954999999999991</v>
      </c>
      <c r="G51" s="13">
        <v>1711.28</v>
      </c>
      <c r="H51" s="86">
        <f t="shared" si="3"/>
        <v>15.736075239999998</v>
      </c>
      <c r="I51" s="13">
        <f>F51/5*G51</f>
        <v>3147.2150479999996</v>
      </c>
      <c r="J51" s="23"/>
      <c r="L51" s="19"/>
      <c r="M51" s="20"/>
      <c r="N51" s="21"/>
    </row>
    <row r="52" spans="1:14" ht="31.5" hidden="1" customHeight="1">
      <c r="A52" s="41">
        <v>13</v>
      </c>
      <c r="B52" s="82" t="s">
        <v>114</v>
      </c>
      <c r="C52" s="83" t="s">
        <v>102</v>
      </c>
      <c r="D52" s="82" t="s">
        <v>41</v>
      </c>
      <c r="E52" s="84">
        <f>E51</f>
        <v>1839.1</v>
      </c>
      <c r="F52" s="85">
        <f>SUM(E52*2/1000)</f>
        <v>3.6781999999999999</v>
      </c>
      <c r="G52" s="13">
        <v>1510.06</v>
      </c>
      <c r="H52" s="86">
        <f t="shared" si="3"/>
        <v>5.5543026919999994</v>
      </c>
      <c r="I52" s="13">
        <v>0</v>
      </c>
      <c r="J52" s="23"/>
      <c r="L52" s="19"/>
      <c r="M52" s="20"/>
      <c r="N52" s="21"/>
    </row>
    <row r="53" spans="1:14" ht="31.5" hidden="1" customHeight="1">
      <c r="A53" s="41">
        <v>14</v>
      </c>
      <c r="B53" s="82" t="s">
        <v>115</v>
      </c>
      <c r="C53" s="83" t="s">
        <v>37</v>
      </c>
      <c r="D53" s="82" t="s">
        <v>41</v>
      </c>
      <c r="E53" s="84">
        <v>9</v>
      </c>
      <c r="F53" s="85">
        <f>SUM(E53*2/100)</f>
        <v>0.18</v>
      </c>
      <c r="G53" s="13">
        <v>3850.4</v>
      </c>
      <c r="H53" s="86">
        <f t="shared" si="3"/>
        <v>0.69307200000000002</v>
      </c>
      <c r="I53" s="13">
        <v>0</v>
      </c>
      <c r="J53" s="23"/>
      <c r="L53" s="19"/>
      <c r="M53" s="20"/>
      <c r="N53" s="21"/>
    </row>
    <row r="54" spans="1:14" ht="15.75" hidden="1" customHeight="1">
      <c r="A54" s="41">
        <v>15</v>
      </c>
      <c r="B54" s="82" t="s">
        <v>38</v>
      </c>
      <c r="C54" s="83" t="s">
        <v>39</v>
      </c>
      <c r="D54" s="82" t="s">
        <v>41</v>
      </c>
      <c r="E54" s="84">
        <v>1</v>
      </c>
      <c r="F54" s="85">
        <v>0.02</v>
      </c>
      <c r="G54" s="13">
        <v>7033.13</v>
      </c>
      <c r="H54" s="86">
        <f t="shared" si="3"/>
        <v>0.1406626</v>
      </c>
      <c r="I54" s="13">
        <v>0</v>
      </c>
      <c r="J54" s="23"/>
      <c r="L54" s="19"/>
      <c r="M54" s="20"/>
      <c r="N54" s="21"/>
    </row>
    <row r="55" spans="1:14" ht="15.75" hidden="1" customHeight="1">
      <c r="A55" s="41">
        <v>13</v>
      </c>
      <c r="B55" s="82" t="s">
        <v>145</v>
      </c>
      <c r="C55" s="83" t="s">
        <v>29</v>
      </c>
      <c r="D55" s="82" t="s">
        <v>70</v>
      </c>
      <c r="E55" s="84">
        <v>36</v>
      </c>
      <c r="F55" s="85">
        <f>E55*3</f>
        <v>108</v>
      </c>
      <c r="G55" s="13">
        <v>175.6</v>
      </c>
      <c r="H55" s="86">
        <f t="shared" si="3"/>
        <v>18.9648</v>
      </c>
      <c r="I55" s="13">
        <f>E55*G55</f>
        <v>6321.5999999999995</v>
      </c>
      <c r="J55" s="23"/>
      <c r="L55" s="19"/>
      <c r="M55" s="20"/>
      <c r="N55" s="21"/>
    </row>
    <row r="56" spans="1:14" ht="15.75" hidden="1" customHeight="1">
      <c r="A56" s="41">
        <v>14</v>
      </c>
      <c r="B56" s="82" t="s">
        <v>40</v>
      </c>
      <c r="C56" s="83" t="s">
        <v>29</v>
      </c>
      <c r="D56" s="82" t="s">
        <v>70</v>
      </c>
      <c r="E56" s="84">
        <v>36</v>
      </c>
      <c r="F56" s="85">
        <f>E56*3</f>
        <v>108</v>
      </c>
      <c r="G56" s="13">
        <v>81.73</v>
      </c>
      <c r="H56" s="86">
        <f t="shared" si="3"/>
        <v>8.8268400000000007</v>
      </c>
      <c r="I56" s="13">
        <f>E56*G56</f>
        <v>2942.28</v>
      </c>
      <c r="J56" s="23"/>
      <c r="L56" s="19"/>
      <c r="M56" s="20"/>
      <c r="N56" s="21"/>
    </row>
    <row r="57" spans="1:14" ht="15.75" customHeight="1">
      <c r="A57" s="144" t="s">
        <v>138</v>
      </c>
      <c r="B57" s="145"/>
      <c r="C57" s="145"/>
      <c r="D57" s="145"/>
      <c r="E57" s="145"/>
      <c r="F57" s="145"/>
      <c r="G57" s="145"/>
      <c r="H57" s="145"/>
      <c r="I57" s="146"/>
      <c r="J57" s="23"/>
      <c r="L57" s="19"/>
      <c r="M57" s="20"/>
      <c r="N57" s="21"/>
    </row>
    <row r="58" spans="1:14" ht="15.75" hidden="1" customHeight="1">
      <c r="A58" s="81"/>
      <c r="B58" s="48" t="s">
        <v>42</v>
      </c>
      <c r="C58" s="16"/>
      <c r="D58" s="15"/>
      <c r="E58" s="15"/>
      <c r="F58" s="15"/>
      <c r="G58" s="29"/>
      <c r="H58" s="29"/>
      <c r="I58" s="18"/>
      <c r="J58" s="23"/>
      <c r="L58" s="19"/>
      <c r="M58" s="20"/>
      <c r="N58" s="21"/>
    </row>
    <row r="59" spans="1:14" ht="31.5" hidden="1" customHeight="1">
      <c r="A59" s="41">
        <v>13</v>
      </c>
      <c r="B59" s="82" t="s">
        <v>117</v>
      </c>
      <c r="C59" s="83" t="s">
        <v>147</v>
      </c>
      <c r="D59" s="82" t="s">
        <v>71</v>
      </c>
      <c r="E59" s="84">
        <v>12.5</v>
      </c>
      <c r="F59" s="85">
        <f>E59*6/100</f>
        <v>0.75</v>
      </c>
      <c r="G59" s="91">
        <v>2306.62</v>
      </c>
      <c r="H59" s="86">
        <f>F59*G59/1000</f>
        <v>1.729965</v>
      </c>
      <c r="I59" s="13">
        <f>F59/6*G59</f>
        <v>288.32749999999999</v>
      </c>
      <c r="J59" s="23"/>
      <c r="L59" s="19"/>
      <c r="M59" s="20"/>
      <c r="N59" s="21"/>
    </row>
    <row r="60" spans="1:14" ht="15.75" hidden="1" customHeight="1">
      <c r="A60" s="41"/>
      <c r="B60" s="92" t="s">
        <v>84</v>
      </c>
      <c r="C60" s="93" t="s">
        <v>118</v>
      </c>
      <c r="D60" s="37" t="s">
        <v>66</v>
      </c>
      <c r="E60" s="94"/>
      <c r="F60" s="95">
        <v>2</v>
      </c>
      <c r="G60" s="96">
        <v>1501</v>
      </c>
      <c r="H60" s="86">
        <f>F60*G60/1000</f>
        <v>3.0019999999999998</v>
      </c>
      <c r="I60" s="13">
        <v>0</v>
      </c>
      <c r="J60" s="23"/>
      <c r="L60" s="19"/>
      <c r="M60" s="20"/>
      <c r="N60" s="21"/>
    </row>
    <row r="61" spans="1:14" ht="15.75" hidden="1" customHeight="1">
      <c r="A61" s="41"/>
      <c r="B61" s="75" t="s">
        <v>43</v>
      </c>
      <c r="C61" s="75"/>
      <c r="D61" s="75"/>
      <c r="E61" s="75"/>
      <c r="F61" s="76"/>
      <c r="G61" s="63"/>
      <c r="H61" s="63"/>
      <c r="I61" s="35"/>
      <c r="J61" s="23"/>
      <c r="L61" s="19"/>
      <c r="M61" s="20"/>
      <c r="N61" s="21"/>
    </row>
    <row r="62" spans="1:14" ht="15.75" hidden="1" customHeight="1">
      <c r="A62" s="41">
        <v>27</v>
      </c>
      <c r="B62" s="92" t="s">
        <v>44</v>
      </c>
      <c r="C62" s="93" t="s">
        <v>52</v>
      </c>
      <c r="D62" s="92" t="s">
        <v>53</v>
      </c>
      <c r="E62" s="94">
        <v>164</v>
      </c>
      <c r="F62" s="95">
        <f>E62/100</f>
        <v>1.64</v>
      </c>
      <c r="G62" s="96">
        <v>987.51</v>
      </c>
      <c r="H62" s="97">
        <f>G62*F62/1000</f>
        <v>1.6195164</v>
      </c>
      <c r="I62" s="13">
        <v>0</v>
      </c>
      <c r="J62" s="23"/>
      <c r="L62" s="19"/>
      <c r="M62" s="20"/>
      <c r="N62" s="21"/>
    </row>
    <row r="63" spans="1:14" ht="15.75" customHeight="1">
      <c r="A63" s="41"/>
      <c r="B63" s="75" t="s">
        <v>45</v>
      </c>
      <c r="C63" s="16"/>
      <c r="D63" s="37"/>
      <c r="E63" s="15"/>
      <c r="F63" s="77"/>
      <c r="G63" s="64"/>
      <c r="H63" s="63"/>
      <c r="I63" s="18"/>
      <c r="J63" s="23"/>
      <c r="L63" s="19"/>
    </row>
    <row r="64" spans="1:14" ht="15.75" hidden="1" customHeight="1">
      <c r="A64" s="41">
        <v>17</v>
      </c>
      <c r="B64" s="98" t="s">
        <v>46</v>
      </c>
      <c r="C64" s="16" t="s">
        <v>116</v>
      </c>
      <c r="D64" s="98" t="s">
        <v>66</v>
      </c>
      <c r="E64" s="18">
        <v>1</v>
      </c>
      <c r="F64" s="85">
        <f>E64</f>
        <v>1</v>
      </c>
      <c r="G64" s="13">
        <v>276.74</v>
      </c>
      <c r="H64" s="99">
        <f t="shared" ref="H64:H72" si="4">SUM(F64*G64/1000)</f>
        <v>0.27673999999999999</v>
      </c>
      <c r="I64" s="13">
        <v>0</v>
      </c>
    </row>
    <row r="65" spans="1:22" ht="15.75" hidden="1" customHeight="1">
      <c r="A65" s="29">
        <v>29</v>
      </c>
      <c r="B65" s="98" t="s">
        <v>47</v>
      </c>
      <c r="C65" s="16" t="s">
        <v>116</v>
      </c>
      <c r="D65" s="98" t="s">
        <v>66</v>
      </c>
      <c r="E65" s="18">
        <v>3</v>
      </c>
      <c r="F65" s="85">
        <v>3</v>
      </c>
      <c r="G65" s="13">
        <v>94.89</v>
      </c>
      <c r="H65" s="99">
        <f t="shared" si="4"/>
        <v>0.28467000000000003</v>
      </c>
      <c r="I65" s="13">
        <v>0</v>
      </c>
    </row>
    <row r="66" spans="1:22" ht="15.75" hidden="1" customHeight="1">
      <c r="A66" s="29">
        <v>8</v>
      </c>
      <c r="B66" s="98" t="s">
        <v>48</v>
      </c>
      <c r="C66" s="16" t="s">
        <v>119</v>
      </c>
      <c r="D66" s="98" t="s">
        <v>53</v>
      </c>
      <c r="E66" s="84">
        <v>7265</v>
      </c>
      <c r="F66" s="13">
        <f>SUM(E66/100)</f>
        <v>72.650000000000006</v>
      </c>
      <c r="G66" s="13">
        <v>263.99</v>
      </c>
      <c r="H66" s="99">
        <f t="shared" si="4"/>
        <v>19.178873500000002</v>
      </c>
      <c r="I66" s="13">
        <v>0</v>
      </c>
    </row>
    <row r="67" spans="1:22" ht="15.75" hidden="1" customHeight="1">
      <c r="A67" s="29">
        <v>9</v>
      </c>
      <c r="B67" s="98" t="s">
        <v>49</v>
      </c>
      <c r="C67" s="16" t="s">
        <v>120</v>
      </c>
      <c r="D67" s="98" t="s">
        <v>53</v>
      </c>
      <c r="E67" s="84">
        <f>E66</f>
        <v>7265</v>
      </c>
      <c r="F67" s="13">
        <f>SUM(E67/1000)</f>
        <v>7.2649999999999997</v>
      </c>
      <c r="G67" s="13">
        <v>205.57</v>
      </c>
      <c r="H67" s="99">
        <f t="shared" si="4"/>
        <v>1.4934660500000001</v>
      </c>
      <c r="I67" s="13">
        <v>0</v>
      </c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9"/>
    </row>
    <row r="68" spans="1:22" ht="15.75" hidden="1" customHeight="1">
      <c r="A68" s="29">
        <v>10</v>
      </c>
      <c r="B68" s="98" t="s">
        <v>50</v>
      </c>
      <c r="C68" s="16" t="s">
        <v>76</v>
      </c>
      <c r="D68" s="98" t="s">
        <v>53</v>
      </c>
      <c r="E68" s="84">
        <v>1090</v>
      </c>
      <c r="F68" s="13">
        <f>SUM(E68/100)</f>
        <v>10.9</v>
      </c>
      <c r="G68" s="13">
        <v>2581.5300000000002</v>
      </c>
      <c r="H68" s="99">
        <f t="shared" si="4"/>
        <v>28.138677000000005</v>
      </c>
      <c r="I68" s="13">
        <v>0</v>
      </c>
      <c r="J68" s="25"/>
      <c r="K68" s="25"/>
      <c r="L68" s="3"/>
      <c r="M68" s="3"/>
      <c r="N68" s="3"/>
      <c r="O68" s="3"/>
      <c r="P68" s="3"/>
      <c r="Q68" s="3"/>
      <c r="R68" s="3"/>
      <c r="S68" s="3"/>
      <c r="T68" s="3"/>
      <c r="U68" s="3"/>
    </row>
    <row r="69" spans="1:22" ht="15.75" hidden="1" customHeight="1">
      <c r="A69" s="29">
        <v>11</v>
      </c>
      <c r="B69" s="100" t="s">
        <v>121</v>
      </c>
      <c r="C69" s="16" t="s">
        <v>31</v>
      </c>
      <c r="D69" s="98"/>
      <c r="E69" s="84">
        <v>7.6</v>
      </c>
      <c r="F69" s="13">
        <f>SUM(E69)</f>
        <v>7.6</v>
      </c>
      <c r="G69" s="13">
        <v>47.45</v>
      </c>
      <c r="H69" s="99">
        <f t="shared" si="4"/>
        <v>0.36062</v>
      </c>
      <c r="I69" s="13">
        <v>0</v>
      </c>
      <c r="J69" s="3"/>
      <c r="K69" s="3"/>
      <c r="L69" s="3"/>
      <c r="M69" s="3"/>
      <c r="N69" s="3"/>
      <c r="O69" s="3"/>
      <c r="P69" s="3"/>
      <c r="Q69" s="3"/>
      <c r="S69" s="3"/>
      <c r="T69" s="3"/>
      <c r="U69" s="3"/>
    </row>
    <row r="70" spans="1:22" ht="15.75" hidden="1" customHeight="1">
      <c r="A70" s="29">
        <v>12</v>
      </c>
      <c r="B70" s="100" t="s">
        <v>148</v>
      </c>
      <c r="C70" s="16" t="s">
        <v>31</v>
      </c>
      <c r="D70" s="98"/>
      <c r="E70" s="84">
        <f>E69</f>
        <v>7.6</v>
      </c>
      <c r="F70" s="13">
        <f>SUM(E70)</f>
        <v>7.6</v>
      </c>
      <c r="G70" s="13">
        <v>44.27</v>
      </c>
      <c r="H70" s="99">
        <f t="shared" si="4"/>
        <v>0.33645199999999997</v>
      </c>
      <c r="I70" s="13">
        <v>0</v>
      </c>
      <c r="J70" s="5"/>
      <c r="K70" s="5"/>
      <c r="L70" s="5"/>
      <c r="M70" s="5"/>
      <c r="N70" s="5"/>
      <c r="O70" s="5"/>
      <c r="P70" s="5"/>
      <c r="Q70" s="5"/>
      <c r="R70" s="136"/>
      <c r="S70" s="136"/>
      <c r="T70" s="136"/>
      <c r="U70" s="136"/>
    </row>
    <row r="71" spans="1:22" ht="15.75" hidden="1" customHeight="1">
      <c r="A71" s="29">
        <v>13</v>
      </c>
      <c r="B71" s="98" t="s">
        <v>56</v>
      </c>
      <c r="C71" s="16" t="s">
        <v>57</v>
      </c>
      <c r="D71" s="98" t="s">
        <v>53</v>
      </c>
      <c r="E71" s="18">
        <v>2</v>
      </c>
      <c r="F71" s="85">
        <f>SUM(E71)</f>
        <v>2</v>
      </c>
      <c r="G71" s="13">
        <v>62.07</v>
      </c>
      <c r="H71" s="99">
        <f t="shared" si="4"/>
        <v>0.12414</v>
      </c>
      <c r="I71" s="13">
        <v>0</v>
      </c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</row>
    <row r="72" spans="1:22" ht="15.75" customHeight="1">
      <c r="A72" s="29">
        <v>13</v>
      </c>
      <c r="B72" s="98" t="s">
        <v>85</v>
      </c>
      <c r="C72" s="41" t="s">
        <v>131</v>
      </c>
      <c r="D72" s="37" t="s">
        <v>66</v>
      </c>
      <c r="E72" s="17">
        <v>1839.1</v>
      </c>
      <c r="F72" s="101">
        <f>SUM(E72*12)</f>
        <v>22069.199999999997</v>
      </c>
      <c r="G72" s="13">
        <v>2.16</v>
      </c>
      <c r="H72" s="99">
        <f t="shared" si="4"/>
        <v>47.669471999999992</v>
      </c>
      <c r="I72" s="13">
        <f>F72/12*G72</f>
        <v>3972.4559999999997</v>
      </c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</row>
    <row r="73" spans="1:22" ht="15.75" hidden="1" customHeight="1">
      <c r="A73" s="29"/>
      <c r="B73" s="49" t="s">
        <v>72</v>
      </c>
      <c r="C73" s="49"/>
      <c r="D73" s="49"/>
      <c r="E73" s="18"/>
      <c r="F73" s="18"/>
      <c r="G73" s="29"/>
      <c r="H73" s="29"/>
      <c r="I73" s="18"/>
    </row>
    <row r="74" spans="1:22" ht="15.75" hidden="1" customHeight="1">
      <c r="A74" s="29"/>
      <c r="B74" s="98" t="s">
        <v>123</v>
      </c>
      <c r="C74" s="16" t="s">
        <v>124</v>
      </c>
      <c r="D74" s="98" t="s">
        <v>66</v>
      </c>
      <c r="E74" s="18">
        <v>1</v>
      </c>
      <c r="F74" s="13">
        <f>E74</f>
        <v>1</v>
      </c>
      <c r="G74" s="13">
        <v>976.4</v>
      </c>
      <c r="H74" s="99">
        <f t="shared" ref="H74:H78" si="5">SUM(F74*G74/1000)</f>
        <v>0.97639999999999993</v>
      </c>
      <c r="I74" s="13">
        <v>0</v>
      </c>
    </row>
    <row r="75" spans="1:22" ht="15.75" hidden="1" customHeight="1">
      <c r="A75" s="29"/>
      <c r="B75" s="98" t="s">
        <v>125</v>
      </c>
      <c r="C75" s="16" t="s">
        <v>126</v>
      </c>
      <c r="D75" s="98"/>
      <c r="E75" s="18">
        <v>1</v>
      </c>
      <c r="F75" s="13">
        <v>1</v>
      </c>
      <c r="G75" s="13">
        <v>650</v>
      </c>
      <c r="H75" s="99">
        <f t="shared" si="5"/>
        <v>0.65</v>
      </c>
      <c r="I75" s="13">
        <v>0</v>
      </c>
    </row>
    <row r="76" spans="1:22" ht="15.75" hidden="1" customHeight="1">
      <c r="A76" s="29"/>
      <c r="B76" s="98" t="s">
        <v>73</v>
      </c>
      <c r="C76" s="16" t="s">
        <v>149</v>
      </c>
      <c r="D76" s="98" t="s">
        <v>66</v>
      </c>
      <c r="E76" s="18">
        <v>3</v>
      </c>
      <c r="F76" s="13">
        <f>E76/10</f>
        <v>0.3</v>
      </c>
      <c r="G76" s="13">
        <v>624.16999999999996</v>
      </c>
      <c r="H76" s="99">
        <f t="shared" si="5"/>
        <v>0.18725099999999997</v>
      </c>
      <c r="I76" s="13">
        <v>0</v>
      </c>
    </row>
    <row r="77" spans="1:22" ht="15.75" hidden="1" customHeight="1">
      <c r="A77" s="29"/>
      <c r="B77" s="98" t="s">
        <v>74</v>
      </c>
      <c r="C77" s="16" t="s">
        <v>29</v>
      </c>
      <c r="D77" s="98" t="s">
        <v>66</v>
      </c>
      <c r="E77" s="18">
        <v>1</v>
      </c>
      <c r="F77" s="13">
        <v>1</v>
      </c>
      <c r="G77" s="13">
        <v>1061.4100000000001</v>
      </c>
      <c r="H77" s="99">
        <f t="shared" si="5"/>
        <v>1.0614100000000002</v>
      </c>
      <c r="I77" s="13">
        <v>0</v>
      </c>
    </row>
    <row r="78" spans="1:22" ht="15.75" hidden="1" customHeight="1">
      <c r="A78" s="29">
        <v>17</v>
      </c>
      <c r="B78" s="98" t="s">
        <v>86</v>
      </c>
      <c r="C78" s="16" t="s">
        <v>29</v>
      </c>
      <c r="D78" s="98" t="s">
        <v>66</v>
      </c>
      <c r="E78" s="18">
        <v>1</v>
      </c>
      <c r="F78" s="85">
        <f>SUM(E78)</f>
        <v>1</v>
      </c>
      <c r="G78" s="13">
        <v>446.12</v>
      </c>
      <c r="H78" s="99">
        <f t="shared" si="5"/>
        <v>0.44612000000000002</v>
      </c>
      <c r="I78" s="13">
        <f>G78</f>
        <v>446.12</v>
      </c>
    </row>
    <row r="79" spans="1:22" ht="15.75" hidden="1" customHeight="1">
      <c r="A79" s="29"/>
      <c r="B79" s="50" t="s">
        <v>75</v>
      </c>
      <c r="C79" s="38"/>
      <c r="D79" s="29"/>
      <c r="E79" s="18"/>
      <c r="F79" s="18"/>
      <c r="G79" s="36"/>
      <c r="H79" s="36"/>
      <c r="I79" s="18"/>
    </row>
    <row r="80" spans="1:22" ht="15.75" hidden="1" customHeight="1">
      <c r="A80" s="29">
        <v>39</v>
      </c>
      <c r="B80" s="39" t="s">
        <v>127</v>
      </c>
      <c r="C80" s="16" t="s">
        <v>76</v>
      </c>
      <c r="D80" s="98"/>
      <c r="E80" s="18"/>
      <c r="F80" s="13">
        <v>1.3</v>
      </c>
      <c r="G80" s="13">
        <v>3433.68</v>
      </c>
      <c r="H80" s="99">
        <f t="shared" ref="H80" si="6">SUM(F80*G80/1000)</f>
        <v>4.4637839999999995</v>
      </c>
      <c r="I80" s="13">
        <v>0</v>
      </c>
    </row>
    <row r="81" spans="1:9" ht="15.75" hidden="1" customHeight="1">
      <c r="A81" s="81"/>
      <c r="B81" s="75" t="s">
        <v>122</v>
      </c>
      <c r="C81" s="75"/>
      <c r="D81" s="75"/>
      <c r="E81" s="75"/>
      <c r="F81" s="75"/>
      <c r="G81" s="75"/>
      <c r="H81" s="75"/>
      <c r="I81" s="18"/>
    </row>
    <row r="82" spans="1:9" ht="15.75" hidden="1" customHeight="1">
      <c r="A82" s="29">
        <v>15</v>
      </c>
      <c r="B82" s="82" t="s">
        <v>89</v>
      </c>
      <c r="C82" s="16"/>
      <c r="D82" s="98"/>
      <c r="E82" s="102"/>
      <c r="F82" s="13">
        <v>1</v>
      </c>
      <c r="G82" s="13">
        <v>13707.8</v>
      </c>
      <c r="H82" s="99">
        <f>G82*F82/1000</f>
        <v>13.707799999999999</v>
      </c>
      <c r="I82" s="13">
        <f>G82</f>
        <v>13707.8</v>
      </c>
    </row>
    <row r="83" spans="1:9" ht="15.75" customHeight="1">
      <c r="A83" s="129" t="s">
        <v>139</v>
      </c>
      <c r="B83" s="130"/>
      <c r="C83" s="130"/>
      <c r="D83" s="130"/>
      <c r="E83" s="130"/>
      <c r="F83" s="130"/>
      <c r="G83" s="130"/>
      <c r="H83" s="130"/>
      <c r="I83" s="131"/>
    </row>
    <row r="84" spans="1:9" ht="15.75" customHeight="1">
      <c r="A84" s="29">
        <v>14</v>
      </c>
      <c r="B84" s="82" t="s">
        <v>128</v>
      </c>
      <c r="C84" s="16" t="s">
        <v>54</v>
      </c>
      <c r="D84" s="104" t="s">
        <v>150</v>
      </c>
      <c r="E84" s="13">
        <v>1839.1</v>
      </c>
      <c r="F84" s="13">
        <f>SUM(E84*12)</f>
        <v>22069.199999999997</v>
      </c>
      <c r="G84" s="13">
        <v>2.95</v>
      </c>
      <c r="H84" s="99">
        <f>SUM(F84*G84/1000)</f>
        <v>65.104139999999987</v>
      </c>
      <c r="I84" s="13">
        <f>F84/12*G84</f>
        <v>5425.3449999999993</v>
      </c>
    </row>
    <row r="85" spans="1:9" ht="31.5" customHeight="1">
      <c r="A85" s="29">
        <v>15</v>
      </c>
      <c r="B85" s="98" t="s">
        <v>77</v>
      </c>
      <c r="C85" s="16"/>
      <c r="D85" s="104" t="s">
        <v>150</v>
      </c>
      <c r="E85" s="84">
        <v>1839.1</v>
      </c>
      <c r="F85" s="13">
        <f>E85*12</f>
        <v>22069.199999999997</v>
      </c>
      <c r="G85" s="13">
        <v>3.05</v>
      </c>
      <c r="H85" s="99">
        <f>F85*G85/1000</f>
        <v>67.311059999999983</v>
      </c>
      <c r="I85" s="13">
        <f>F85/12*G85</f>
        <v>5609.2549999999983</v>
      </c>
    </row>
    <row r="86" spans="1:9" ht="31.5" customHeight="1">
      <c r="A86" s="29">
        <v>16</v>
      </c>
      <c r="B86" s="98" t="s">
        <v>132</v>
      </c>
      <c r="C86" s="16" t="s">
        <v>133</v>
      </c>
      <c r="D86" s="104" t="s">
        <v>150</v>
      </c>
      <c r="E86" s="102"/>
      <c r="F86" s="13"/>
      <c r="G86" s="13"/>
      <c r="H86" s="99">
        <v>59.113</v>
      </c>
      <c r="I86" s="13">
        <v>4926.08</v>
      </c>
    </row>
    <row r="87" spans="1:9" ht="15.75" customHeight="1">
      <c r="A87" s="81"/>
      <c r="B87" s="40" t="s">
        <v>79</v>
      </c>
      <c r="C87" s="41"/>
      <c r="D87" s="15"/>
      <c r="E87" s="15"/>
      <c r="F87" s="15"/>
      <c r="G87" s="18"/>
      <c r="H87" s="18"/>
      <c r="I87" s="31">
        <f>I86+I85+I84+I72+I51+I44+I43+I42+I41+I40+I39+I28+I27+I18+I17+I16</f>
        <v>41671.506754666661</v>
      </c>
    </row>
    <row r="88" spans="1:9" ht="15.75" customHeight="1">
      <c r="A88" s="132" t="s">
        <v>59</v>
      </c>
      <c r="B88" s="133"/>
      <c r="C88" s="133"/>
      <c r="D88" s="133"/>
      <c r="E88" s="133"/>
      <c r="F88" s="133"/>
      <c r="G88" s="133"/>
      <c r="H88" s="133"/>
      <c r="I88" s="134"/>
    </row>
    <row r="89" spans="1:9" ht="15.75" customHeight="1">
      <c r="A89" s="29">
        <v>17</v>
      </c>
      <c r="B89" s="98" t="s">
        <v>166</v>
      </c>
      <c r="C89" s="16" t="s">
        <v>167</v>
      </c>
      <c r="D89" s="98"/>
      <c r="E89" s="18"/>
      <c r="F89" s="13">
        <v>24</v>
      </c>
      <c r="G89" s="13">
        <v>1.2</v>
      </c>
      <c r="H89" s="13">
        <f>F89*G89/1000</f>
        <v>2.8799999999999996E-2</v>
      </c>
      <c r="I89" s="13">
        <f>G89*12</f>
        <v>14.399999999999999</v>
      </c>
    </row>
    <row r="90" spans="1:9" ht="15.75" customHeight="1">
      <c r="A90" s="29"/>
      <c r="B90" s="46" t="s">
        <v>51</v>
      </c>
      <c r="C90" s="42"/>
      <c r="D90" s="54"/>
      <c r="E90" s="42">
        <v>1</v>
      </c>
      <c r="F90" s="42"/>
      <c r="G90" s="42"/>
      <c r="H90" s="42"/>
      <c r="I90" s="31">
        <f>SUM(I89:I89)</f>
        <v>14.399999999999999</v>
      </c>
    </row>
    <row r="91" spans="1:9" ht="15.75" customHeight="1">
      <c r="A91" s="29"/>
      <c r="B91" s="52" t="s">
        <v>78</v>
      </c>
      <c r="C91" s="15"/>
      <c r="D91" s="15"/>
      <c r="E91" s="43"/>
      <c r="F91" s="43"/>
      <c r="G91" s="44"/>
      <c r="H91" s="44"/>
      <c r="I91" s="17">
        <v>0</v>
      </c>
    </row>
    <row r="92" spans="1:9" ht="15.75" customHeight="1">
      <c r="A92" s="55"/>
      <c r="B92" s="47" t="s">
        <v>140</v>
      </c>
      <c r="C92" s="34"/>
      <c r="D92" s="34"/>
      <c r="E92" s="34"/>
      <c r="F92" s="34"/>
      <c r="G92" s="34"/>
      <c r="H92" s="34"/>
      <c r="I92" s="45">
        <f>I87+I90</f>
        <v>41685.906754666663</v>
      </c>
    </row>
    <row r="93" spans="1:9" ht="15.75">
      <c r="A93" s="135" t="s">
        <v>200</v>
      </c>
      <c r="B93" s="135"/>
      <c r="C93" s="135"/>
      <c r="D93" s="135"/>
      <c r="E93" s="135"/>
      <c r="F93" s="135"/>
      <c r="G93" s="135"/>
      <c r="H93" s="135"/>
      <c r="I93" s="135"/>
    </row>
    <row r="94" spans="1:9" ht="15.75">
      <c r="A94" s="61"/>
      <c r="B94" s="151" t="s">
        <v>201</v>
      </c>
      <c r="C94" s="151"/>
      <c r="D94" s="151"/>
      <c r="E94" s="151"/>
      <c r="F94" s="151"/>
      <c r="G94" s="151"/>
      <c r="H94" s="80"/>
      <c r="I94" s="3"/>
    </row>
    <row r="95" spans="1:9">
      <c r="A95" s="71"/>
      <c r="B95" s="147" t="s">
        <v>6</v>
      </c>
      <c r="C95" s="147"/>
      <c r="D95" s="147"/>
      <c r="E95" s="147"/>
      <c r="F95" s="147"/>
      <c r="G95" s="147"/>
      <c r="H95" s="24"/>
      <c r="I95" s="5"/>
    </row>
    <row r="96" spans="1:9">
      <c r="A96" s="10"/>
      <c r="B96" s="10"/>
      <c r="C96" s="10"/>
      <c r="D96" s="10"/>
      <c r="E96" s="10"/>
      <c r="F96" s="10"/>
      <c r="G96" s="10"/>
      <c r="H96" s="10"/>
      <c r="I96" s="10"/>
    </row>
    <row r="97" spans="1:9" ht="15.75">
      <c r="A97" s="155" t="s">
        <v>7</v>
      </c>
      <c r="B97" s="155"/>
      <c r="C97" s="155"/>
      <c r="D97" s="155"/>
      <c r="E97" s="155"/>
      <c r="F97" s="155"/>
      <c r="G97" s="155"/>
      <c r="H97" s="155"/>
      <c r="I97" s="155"/>
    </row>
    <row r="98" spans="1:9" ht="15.75">
      <c r="A98" s="155" t="s">
        <v>8</v>
      </c>
      <c r="B98" s="155"/>
      <c r="C98" s="155"/>
      <c r="D98" s="155"/>
      <c r="E98" s="155"/>
      <c r="F98" s="155"/>
      <c r="G98" s="155"/>
      <c r="H98" s="155"/>
      <c r="I98" s="155"/>
    </row>
    <row r="99" spans="1:9" ht="15.75">
      <c r="A99" s="152" t="s">
        <v>60</v>
      </c>
      <c r="B99" s="152"/>
      <c r="C99" s="152"/>
      <c r="D99" s="152"/>
      <c r="E99" s="152"/>
      <c r="F99" s="152"/>
      <c r="G99" s="152"/>
      <c r="H99" s="152"/>
      <c r="I99" s="152"/>
    </row>
    <row r="100" spans="1:9" ht="15.75">
      <c r="A100" s="11"/>
    </row>
    <row r="101" spans="1:9" ht="15.75">
      <c r="A101" s="153" t="s">
        <v>9</v>
      </c>
      <c r="B101" s="153"/>
      <c r="C101" s="153"/>
      <c r="D101" s="153"/>
      <c r="E101" s="153"/>
      <c r="F101" s="153"/>
      <c r="G101" s="153"/>
      <c r="H101" s="153"/>
      <c r="I101" s="153"/>
    </row>
    <row r="102" spans="1:9" ht="15.75">
      <c r="A102" s="4"/>
    </row>
    <row r="103" spans="1:9" ht="15.75">
      <c r="B103" s="70" t="s">
        <v>10</v>
      </c>
      <c r="C103" s="154" t="s">
        <v>87</v>
      </c>
      <c r="D103" s="154"/>
      <c r="E103" s="154"/>
      <c r="F103" s="78"/>
      <c r="I103" s="73"/>
    </row>
    <row r="104" spans="1:9">
      <c r="A104" s="71"/>
      <c r="C104" s="147" t="s">
        <v>11</v>
      </c>
      <c r="D104" s="147"/>
      <c r="E104" s="147"/>
      <c r="F104" s="24"/>
      <c r="I104" s="72" t="s">
        <v>12</v>
      </c>
    </row>
    <row r="105" spans="1:9" ht="15.75">
      <c r="A105" s="25"/>
      <c r="C105" s="12"/>
      <c r="D105" s="12"/>
      <c r="G105" s="12"/>
      <c r="H105" s="12"/>
    </row>
    <row r="106" spans="1:9" ht="15.75">
      <c r="B106" s="70" t="s">
        <v>13</v>
      </c>
      <c r="C106" s="149"/>
      <c r="D106" s="149"/>
      <c r="E106" s="149"/>
      <c r="F106" s="79"/>
      <c r="I106" s="73"/>
    </row>
    <row r="107" spans="1:9">
      <c r="A107" s="71"/>
      <c r="C107" s="136" t="s">
        <v>11</v>
      </c>
      <c r="D107" s="136"/>
      <c r="E107" s="136"/>
      <c r="F107" s="71"/>
      <c r="I107" s="72" t="s">
        <v>12</v>
      </c>
    </row>
    <row r="108" spans="1:9" ht="15.75">
      <c r="A108" s="4" t="s">
        <v>14</v>
      </c>
    </row>
    <row r="109" spans="1:9">
      <c r="A109" s="150" t="s">
        <v>15</v>
      </c>
      <c r="B109" s="150"/>
      <c r="C109" s="150"/>
      <c r="D109" s="150"/>
      <c r="E109" s="150"/>
      <c r="F109" s="150"/>
      <c r="G109" s="150"/>
      <c r="H109" s="150"/>
      <c r="I109" s="150"/>
    </row>
    <row r="110" spans="1:9" ht="45" customHeight="1">
      <c r="A110" s="148" t="s">
        <v>16</v>
      </c>
      <c r="B110" s="148"/>
      <c r="C110" s="148"/>
      <c r="D110" s="148"/>
      <c r="E110" s="148"/>
      <c r="F110" s="148"/>
      <c r="G110" s="148"/>
      <c r="H110" s="148"/>
      <c r="I110" s="148"/>
    </row>
    <row r="111" spans="1:9" ht="30" customHeight="1">
      <c r="A111" s="148" t="s">
        <v>17</v>
      </c>
      <c r="B111" s="148"/>
      <c r="C111" s="148"/>
      <c r="D111" s="148"/>
      <c r="E111" s="148"/>
      <c r="F111" s="148"/>
      <c r="G111" s="148"/>
      <c r="H111" s="148"/>
      <c r="I111" s="148"/>
    </row>
    <row r="112" spans="1:9" ht="30" customHeight="1">
      <c r="A112" s="148" t="s">
        <v>21</v>
      </c>
      <c r="B112" s="148"/>
      <c r="C112" s="148"/>
      <c r="D112" s="148"/>
      <c r="E112" s="148"/>
      <c r="F112" s="148"/>
      <c r="G112" s="148"/>
      <c r="H112" s="148"/>
      <c r="I112" s="148"/>
    </row>
    <row r="113" spans="1:9" ht="15.75">
      <c r="A113" s="148" t="s">
        <v>20</v>
      </c>
      <c r="B113" s="148"/>
      <c r="C113" s="148"/>
      <c r="D113" s="148"/>
      <c r="E113" s="148"/>
      <c r="F113" s="148"/>
      <c r="G113" s="148"/>
      <c r="H113" s="148"/>
      <c r="I113" s="148"/>
    </row>
  </sheetData>
  <autoFilter ref="I12:I65"/>
  <mergeCells count="29">
    <mergeCell ref="A14:I14"/>
    <mergeCell ref="A15:I15"/>
    <mergeCell ref="A29:I29"/>
    <mergeCell ref="A45:I45"/>
    <mergeCell ref="A57:I57"/>
    <mergeCell ref="A3:I3"/>
    <mergeCell ref="A4:I4"/>
    <mergeCell ref="A5:I5"/>
    <mergeCell ref="A8:I8"/>
    <mergeCell ref="A10:I10"/>
    <mergeCell ref="R70:U70"/>
    <mergeCell ref="C107:E107"/>
    <mergeCell ref="A88:I88"/>
    <mergeCell ref="A93:I93"/>
    <mergeCell ref="B94:G94"/>
    <mergeCell ref="B95:G95"/>
    <mergeCell ref="A97:I97"/>
    <mergeCell ref="A98:I98"/>
    <mergeCell ref="A99:I99"/>
    <mergeCell ref="A101:I101"/>
    <mergeCell ref="C103:E103"/>
    <mergeCell ref="C104:E104"/>
    <mergeCell ref="C106:E106"/>
    <mergeCell ref="A83:I83"/>
    <mergeCell ref="A109:I109"/>
    <mergeCell ref="A110:I110"/>
    <mergeCell ref="A111:I111"/>
    <mergeCell ref="A112:I112"/>
    <mergeCell ref="A113:I113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V116"/>
  <sheetViews>
    <sheetView topLeftCell="A44" workbookViewId="0">
      <selection activeCell="B97" sqref="B97:G97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7" t="s">
        <v>82</v>
      </c>
      <c r="I1" s="26"/>
      <c r="J1" s="1"/>
      <c r="K1" s="1"/>
      <c r="L1" s="1"/>
      <c r="M1" s="1"/>
    </row>
    <row r="2" spans="1:13" ht="15.75" customHeight="1">
      <c r="A2" s="28" t="s">
        <v>61</v>
      </c>
      <c r="J2" s="2"/>
      <c r="K2" s="2"/>
      <c r="L2" s="2"/>
      <c r="M2" s="2"/>
    </row>
    <row r="3" spans="1:13" ht="15.75" customHeight="1">
      <c r="A3" s="137" t="s">
        <v>153</v>
      </c>
      <c r="B3" s="137"/>
      <c r="C3" s="137"/>
      <c r="D3" s="137"/>
      <c r="E3" s="137"/>
      <c r="F3" s="137"/>
      <c r="G3" s="137"/>
      <c r="H3" s="137"/>
      <c r="I3" s="137"/>
      <c r="J3" s="3"/>
      <c r="K3" s="3"/>
      <c r="L3" s="3"/>
    </row>
    <row r="4" spans="1:13" ht="31.5" customHeight="1">
      <c r="A4" s="138" t="s">
        <v>129</v>
      </c>
      <c r="B4" s="138"/>
      <c r="C4" s="138"/>
      <c r="D4" s="138"/>
      <c r="E4" s="138"/>
      <c r="F4" s="138"/>
      <c r="G4" s="138"/>
      <c r="H4" s="138"/>
      <c r="I4" s="138"/>
    </row>
    <row r="5" spans="1:13" ht="15.75" customHeight="1">
      <c r="A5" s="137" t="s">
        <v>170</v>
      </c>
      <c r="B5" s="141"/>
      <c r="C5" s="141"/>
      <c r="D5" s="141"/>
      <c r="E5" s="141"/>
      <c r="F5" s="141"/>
      <c r="G5" s="141"/>
      <c r="H5" s="141"/>
      <c r="I5" s="141"/>
      <c r="J5" s="2"/>
      <c r="K5" s="2"/>
      <c r="L5" s="2"/>
      <c r="M5" s="2"/>
    </row>
    <row r="6" spans="1:13" ht="15.75" customHeight="1">
      <c r="A6" s="2"/>
      <c r="B6" s="74"/>
      <c r="C6" s="74"/>
      <c r="D6" s="74"/>
      <c r="E6" s="74"/>
      <c r="F6" s="74"/>
      <c r="G6" s="74"/>
      <c r="H6" s="74"/>
      <c r="I6" s="30">
        <v>43190</v>
      </c>
      <c r="J6" s="2"/>
      <c r="K6" s="2"/>
      <c r="L6" s="2"/>
      <c r="M6" s="2"/>
    </row>
    <row r="7" spans="1:13" ht="15.75" customHeight="1">
      <c r="B7" s="70"/>
      <c r="C7" s="70"/>
      <c r="D7" s="70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139" t="s">
        <v>136</v>
      </c>
      <c r="B8" s="139"/>
      <c r="C8" s="139"/>
      <c r="D8" s="139"/>
      <c r="E8" s="139"/>
      <c r="F8" s="139"/>
      <c r="G8" s="139"/>
      <c r="H8" s="139"/>
      <c r="I8" s="139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140" t="s">
        <v>135</v>
      </c>
      <c r="B10" s="140"/>
      <c r="C10" s="140"/>
      <c r="D10" s="140"/>
      <c r="E10" s="140"/>
      <c r="F10" s="140"/>
      <c r="G10" s="140"/>
      <c r="H10" s="140"/>
      <c r="I10" s="140"/>
      <c r="J10" s="2"/>
      <c r="K10" s="2"/>
      <c r="L10" s="2"/>
      <c r="M10" s="2"/>
    </row>
    <row r="11" spans="1:13" ht="15.75">
      <c r="A11" s="4"/>
    </row>
    <row r="12" spans="1:13" ht="47.2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142" t="s">
        <v>58</v>
      </c>
      <c r="B14" s="142"/>
      <c r="C14" s="142"/>
      <c r="D14" s="142"/>
      <c r="E14" s="142"/>
      <c r="F14" s="142"/>
      <c r="G14" s="142"/>
      <c r="H14" s="142"/>
      <c r="I14" s="142"/>
      <c r="J14" s="8"/>
      <c r="K14" s="8"/>
      <c r="L14" s="8"/>
      <c r="M14" s="8"/>
    </row>
    <row r="15" spans="1:13" ht="15.75" customHeight="1">
      <c r="A15" s="143" t="s">
        <v>4</v>
      </c>
      <c r="B15" s="143"/>
      <c r="C15" s="143"/>
      <c r="D15" s="143"/>
      <c r="E15" s="143"/>
      <c r="F15" s="143"/>
      <c r="G15" s="143"/>
      <c r="H15" s="143"/>
      <c r="I15" s="143"/>
      <c r="J15" s="8"/>
      <c r="K15" s="8"/>
      <c r="L15" s="8"/>
      <c r="M15" s="8"/>
    </row>
    <row r="16" spans="1:13" ht="15.75" customHeight="1">
      <c r="A16" s="29">
        <v>1</v>
      </c>
      <c r="B16" s="82" t="s">
        <v>83</v>
      </c>
      <c r="C16" s="83" t="s">
        <v>92</v>
      </c>
      <c r="D16" s="82" t="s">
        <v>141</v>
      </c>
      <c r="E16" s="84">
        <v>54.2</v>
      </c>
      <c r="F16" s="85">
        <f>SUM(E16*156/100)</f>
        <v>84.552000000000007</v>
      </c>
      <c r="G16" s="85">
        <v>218.21</v>
      </c>
      <c r="H16" s="86">
        <f t="shared" ref="H16:H26" si="0">SUM(F16*G16/1000)</f>
        <v>18.450091920000002</v>
      </c>
      <c r="I16" s="13">
        <f>F16/12*G16</f>
        <v>1537.5076600000002</v>
      </c>
      <c r="J16" s="8"/>
      <c r="K16" s="8"/>
      <c r="L16" s="8"/>
      <c r="M16" s="8"/>
    </row>
    <row r="17" spans="1:13" ht="15.75" customHeight="1">
      <c r="A17" s="29">
        <v>2</v>
      </c>
      <c r="B17" s="82" t="s">
        <v>90</v>
      </c>
      <c r="C17" s="83" t="s">
        <v>92</v>
      </c>
      <c r="D17" s="82" t="s">
        <v>142</v>
      </c>
      <c r="E17" s="84">
        <v>108.5</v>
      </c>
      <c r="F17" s="85">
        <f>SUM(E17*104/100)</f>
        <v>112.84</v>
      </c>
      <c r="G17" s="85">
        <v>218.21</v>
      </c>
      <c r="H17" s="86">
        <f t="shared" si="0"/>
        <v>24.622816400000005</v>
      </c>
      <c r="I17" s="13">
        <f>F17/12*G17</f>
        <v>2051.9013666666669</v>
      </c>
      <c r="J17" s="22"/>
      <c r="K17" s="8"/>
      <c r="L17" s="8"/>
      <c r="M17" s="8"/>
    </row>
    <row r="18" spans="1:13" ht="15.75" customHeight="1">
      <c r="A18" s="29">
        <v>3</v>
      </c>
      <c r="B18" s="82" t="s">
        <v>91</v>
      </c>
      <c r="C18" s="83" t="s">
        <v>92</v>
      </c>
      <c r="D18" s="82" t="s">
        <v>143</v>
      </c>
      <c r="E18" s="84">
        <f>SUM(E16+E17)</f>
        <v>162.69999999999999</v>
      </c>
      <c r="F18" s="85">
        <f>SUM(E18*24/100)</f>
        <v>39.047999999999995</v>
      </c>
      <c r="G18" s="85">
        <v>627.77</v>
      </c>
      <c r="H18" s="86">
        <f t="shared" si="0"/>
        <v>24.513162959999995</v>
      </c>
      <c r="I18" s="13">
        <f>F18/12*G18</f>
        <v>2042.7635799999996</v>
      </c>
      <c r="J18" s="22"/>
      <c r="K18" s="8"/>
      <c r="L18" s="8"/>
      <c r="M18" s="8"/>
    </row>
    <row r="19" spans="1:13" ht="15.75" hidden="1" customHeight="1">
      <c r="A19" s="29">
        <v>4</v>
      </c>
      <c r="B19" s="82" t="s">
        <v>93</v>
      </c>
      <c r="C19" s="83" t="s">
        <v>88</v>
      </c>
      <c r="D19" s="82" t="s">
        <v>94</v>
      </c>
      <c r="E19" s="84">
        <v>15.3</v>
      </c>
      <c r="F19" s="85">
        <f>SUM(E19/10)</f>
        <v>1.53</v>
      </c>
      <c r="G19" s="85">
        <v>211.74</v>
      </c>
      <c r="H19" s="86">
        <f t="shared" si="0"/>
        <v>0.32396219999999998</v>
      </c>
      <c r="I19" s="13">
        <f>F19/2*G19</f>
        <v>161.9811</v>
      </c>
      <c r="J19" s="22"/>
      <c r="K19" s="8"/>
      <c r="L19" s="8"/>
      <c r="M19" s="8"/>
    </row>
    <row r="20" spans="1:13" ht="15.75" hidden="1" customHeight="1">
      <c r="A20" s="29">
        <v>5</v>
      </c>
      <c r="B20" s="82" t="s">
        <v>96</v>
      </c>
      <c r="C20" s="83" t="s">
        <v>92</v>
      </c>
      <c r="D20" s="82" t="s">
        <v>41</v>
      </c>
      <c r="E20" s="84">
        <v>19.62</v>
      </c>
      <c r="F20" s="85">
        <f>SUM(E20*2/100)</f>
        <v>0.39240000000000003</v>
      </c>
      <c r="G20" s="85">
        <v>271.12</v>
      </c>
      <c r="H20" s="86">
        <f t="shared" si="0"/>
        <v>0.106387488</v>
      </c>
      <c r="I20" s="13">
        <f>F20/2*G20</f>
        <v>53.193744000000002</v>
      </c>
      <c r="J20" s="22"/>
      <c r="K20" s="8"/>
      <c r="L20" s="8"/>
      <c r="M20" s="8"/>
    </row>
    <row r="21" spans="1:13" ht="15.75" hidden="1" customHeight="1">
      <c r="A21" s="29">
        <v>6</v>
      </c>
      <c r="B21" s="82" t="s">
        <v>97</v>
      </c>
      <c r="C21" s="83" t="s">
        <v>92</v>
      </c>
      <c r="D21" s="82" t="s">
        <v>41</v>
      </c>
      <c r="E21" s="84">
        <v>8.68</v>
      </c>
      <c r="F21" s="85">
        <f>SUM(E21*2/100)</f>
        <v>0.1736</v>
      </c>
      <c r="G21" s="85">
        <v>268.92</v>
      </c>
      <c r="H21" s="86">
        <f t="shared" si="0"/>
        <v>4.6684512000000004E-2</v>
      </c>
      <c r="I21" s="13">
        <f>F21/2*G21</f>
        <v>23.342256000000003</v>
      </c>
      <c r="J21" s="22"/>
      <c r="K21" s="8"/>
      <c r="L21" s="8"/>
      <c r="M21" s="8"/>
    </row>
    <row r="22" spans="1:13" ht="15.75" hidden="1" customHeight="1">
      <c r="A22" s="29">
        <v>7</v>
      </c>
      <c r="B22" s="82" t="s">
        <v>98</v>
      </c>
      <c r="C22" s="83" t="s">
        <v>52</v>
      </c>
      <c r="D22" s="82" t="s">
        <v>94</v>
      </c>
      <c r="E22" s="84">
        <v>215</v>
      </c>
      <c r="F22" s="85">
        <f>SUM(E22/100)</f>
        <v>2.15</v>
      </c>
      <c r="G22" s="85">
        <v>335.05</v>
      </c>
      <c r="H22" s="86">
        <f t="shared" si="0"/>
        <v>0.72035749999999998</v>
      </c>
      <c r="I22" s="13">
        <f>F22*G22</f>
        <v>720.35749999999996</v>
      </c>
      <c r="J22" s="22"/>
      <c r="K22" s="8"/>
      <c r="L22" s="8"/>
      <c r="M22" s="8"/>
    </row>
    <row r="23" spans="1:13" ht="15.75" hidden="1" customHeight="1">
      <c r="A23" s="29">
        <v>8</v>
      </c>
      <c r="B23" s="82" t="s">
        <v>99</v>
      </c>
      <c r="C23" s="83" t="s">
        <v>52</v>
      </c>
      <c r="D23" s="82" t="s">
        <v>94</v>
      </c>
      <c r="E23" s="87">
        <v>17.64</v>
      </c>
      <c r="F23" s="85">
        <f>SUM(E23/100)</f>
        <v>0.1764</v>
      </c>
      <c r="G23" s="85">
        <v>55.1</v>
      </c>
      <c r="H23" s="86">
        <f t="shared" si="0"/>
        <v>9.7196399999999999E-3</v>
      </c>
      <c r="I23" s="13">
        <f>F23*G23</f>
        <v>9.7196400000000001</v>
      </c>
      <c r="J23" s="22"/>
      <c r="K23" s="8"/>
      <c r="L23" s="8"/>
      <c r="M23" s="8"/>
    </row>
    <row r="24" spans="1:13" ht="15.75" hidden="1" customHeight="1">
      <c r="A24" s="29">
        <v>9</v>
      </c>
      <c r="B24" s="82" t="s">
        <v>95</v>
      </c>
      <c r="C24" s="83" t="s">
        <v>52</v>
      </c>
      <c r="D24" s="82" t="s">
        <v>94</v>
      </c>
      <c r="E24" s="18">
        <v>4.5</v>
      </c>
      <c r="F24" s="88">
        <v>0.05</v>
      </c>
      <c r="G24" s="85">
        <v>484.94</v>
      </c>
      <c r="H24" s="86">
        <f>F24*G24/1000</f>
        <v>2.4247000000000001E-2</v>
      </c>
      <c r="I24" s="13">
        <f>F24*G24</f>
        <v>24.247</v>
      </c>
      <c r="J24" s="22"/>
      <c r="K24" s="8"/>
      <c r="L24" s="8"/>
      <c r="M24" s="8"/>
    </row>
    <row r="25" spans="1:13" ht="15.75" hidden="1" customHeight="1">
      <c r="A25" s="29">
        <v>10</v>
      </c>
      <c r="B25" s="82" t="s">
        <v>130</v>
      </c>
      <c r="C25" s="83" t="s">
        <v>52</v>
      </c>
      <c r="D25" s="82" t="s">
        <v>94</v>
      </c>
      <c r="E25" s="87">
        <v>9.4499999999999993</v>
      </c>
      <c r="F25" s="85">
        <v>0.09</v>
      </c>
      <c r="G25" s="85">
        <v>268.92</v>
      </c>
      <c r="H25" s="86">
        <f>F25*G25/1000</f>
        <v>2.42028E-2</v>
      </c>
      <c r="I25" s="13">
        <f>F25*G25</f>
        <v>24.2028</v>
      </c>
      <c r="J25" s="22"/>
      <c r="K25" s="8"/>
      <c r="L25" s="8"/>
      <c r="M25" s="8"/>
    </row>
    <row r="26" spans="1:13" ht="15.75" hidden="1" customHeight="1">
      <c r="A26" s="29">
        <v>11</v>
      </c>
      <c r="B26" s="82" t="s">
        <v>100</v>
      </c>
      <c r="C26" s="83" t="s">
        <v>52</v>
      </c>
      <c r="D26" s="82" t="s">
        <v>94</v>
      </c>
      <c r="E26" s="84">
        <v>14.4</v>
      </c>
      <c r="F26" s="85">
        <f>SUM(E26/100)</f>
        <v>0.14400000000000002</v>
      </c>
      <c r="G26" s="85">
        <v>648.04999999999995</v>
      </c>
      <c r="H26" s="86">
        <f t="shared" si="0"/>
        <v>9.3319200000000005E-2</v>
      </c>
      <c r="I26" s="13">
        <f>F26*G26</f>
        <v>93.319200000000009</v>
      </c>
      <c r="J26" s="22"/>
      <c r="K26" s="8"/>
      <c r="L26" s="8"/>
      <c r="M26" s="8"/>
    </row>
    <row r="27" spans="1:13" ht="15.75" customHeight="1">
      <c r="A27" s="29">
        <v>4</v>
      </c>
      <c r="B27" s="82" t="s">
        <v>63</v>
      </c>
      <c r="C27" s="83" t="s">
        <v>31</v>
      </c>
      <c r="D27" s="82"/>
      <c r="E27" s="84">
        <v>0.1</v>
      </c>
      <c r="F27" s="85">
        <f>SUM(E27*365)</f>
        <v>36.5</v>
      </c>
      <c r="G27" s="85">
        <v>182.96</v>
      </c>
      <c r="H27" s="86">
        <f>SUM(F27*G27/1000)</f>
        <v>6.6780400000000002</v>
      </c>
      <c r="I27" s="13">
        <f>F27/12*G27</f>
        <v>556.50333333333333</v>
      </c>
      <c r="J27" s="22"/>
      <c r="K27" s="8"/>
      <c r="L27" s="8"/>
      <c r="M27" s="8"/>
    </row>
    <row r="28" spans="1:13" ht="15.75" customHeight="1">
      <c r="A28" s="29">
        <v>5</v>
      </c>
      <c r="B28" s="89" t="s">
        <v>23</v>
      </c>
      <c r="C28" s="83" t="s">
        <v>24</v>
      </c>
      <c r="D28" s="82"/>
      <c r="E28" s="84">
        <v>1839.1</v>
      </c>
      <c r="F28" s="85">
        <f>SUM(E28*12)</f>
        <v>22069.199999999997</v>
      </c>
      <c r="G28" s="85">
        <v>4.58</v>
      </c>
      <c r="H28" s="86">
        <f>SUM(F28*G28/1000)</f>
        <v>101.07693599999999</v>
      </c>
      <c r="I28" s="13">
        <f>F28/12*G28</f>
        <v>8423.0779999999995</v>
      </c>
      <c r="J28" s="22"/>
      <c r="K28" s="8"/>
      <c r="L28" s="8"/>
      <c r="M28" s="8"/>
    </row>
    <row r="29" spans="1:13" ht="15.75" customHeight="1">
      <c r="A29" s="143" t="s">
        <v>81</v>
      </c>
      <c r="B29" s="143"/>
      <c r="C29" s="143"/>
      <c r="D29" s="143"/>
      <c r="E29" s="143"/>
      <c r="F29" s="143"/>
      <c r="G29" s="143"/>
      <c r="H29" s="143"/>
      <c r="I29" s="143"/>
      <c r="J29" s="22"/>
      <c r="K29" s="8"/>
      <c r="L29" s="8"/>
      <c r="M29" s="8"/>
    </row>
    <row r="30" spans="1:13" ht="15.75" hidden="1" customHeight="1">
      <c r="A30" s="41"/>
      <c r="B30" s="51" t="s">
        <v>27</v>
      </c>
      <c r="C30" s="51"/>
      <c r="D30" s="51"/>
      <c r="E30" s="51"/>
      <c r="F30" s="51"/>
      <c r="G30" s="51"/>
      <c r="H30" s="51"/>
      <c r="I30" s="18"/>
      <c r="J30" s="22"/>
      <c r="K30" s="8"/>
      <c r="L30" s="8"/>
      <c r="M30" s="8"/>
    </row>
    <row r="31" spans="1:13" ht="15.75" hidden="1" customHeight="1">
      <c r="A31" s="41">
        <v>2</v>
      </c>
      <c r="B31" s="32" t="s">
        <v>101</v>
      </c>
      <c r="C31" s="83" t="s">
        <v>102</v>
      </c>
      <c r="D31" s="82" t="s">
        <v>103</v>
      </c>
      <c r="E31" s="85">
        <v>58</v>
      </c>
      <c r="F31" s="85">
        <f>SUM(E31*52/1000)</f>
        <v>3.016</v>
      </c>
      <c r="G31" s="85">
        <v>193.97</v>
      </c>
      <c r="H31" s="86">
        <f>SUM(F31*G31/1000)</f>
        <v>0.58501351999999995</v>
      </c>
      <c r="I31" s="13">
        <f>F31/6*G31</f>
        <v>97.502253333333343</v>
      </c>
      <c r="J31" s="22"/>
      <c r="K31" s="8"/>
      <c r="L31" s="8"/>
      <c r="M31" s="8"/>
    </row>
    <row r="32" spans="1:13" ht="31.5" hidden="1" customHeight="1">
      <c r="A32" s="41">
        <v>3</v>
      </c>
      <c r="B32" s="32" t="s">
        <v>104</v>
      </c>
      <c r="C32" s="83" t="s">
        <v>102</v>
      </c>
      <c r="D32" s="82" t="s">
        <v>105</v>
      </c>
      <c r="E32" s="85">
        <v>48.3</v>
      </c>
      <c r="F32" s="85">
        <f>SUM(E32*78/1000)</f>
        <v>3.7673999999999994</v>
      </c>
      <c r="G32" s="85">
        <v>321.82</v>
      </c>
      <c r="H32" s="86">
        <f>SUM(F32*G32/1000)</f>
        <v>1.2124246679999999</v>
      </c>
      <c r="I32" s="13">
        <f>F32/6*G32</f>
        <v>202.07077799999996</v>
      </c>
      <c r="J32" s="22"/>
      <c r="K32" s="8"/>
      <c r="L32" s="8"/>
      <c r="M32" s="8"/>
    </row>
    <row r="33" spans="1:14" ht="15.75" hidden="1" customHeight="1">
      <c r="A33" s="41">
        <v>4</v>
      </c>
      <c r="B33" s="32" t="s">
        <v>26</v>
      </c>
      <c r="C33" s="83" t="s">
        <v>102</v>
      </c>
      <c r="D33" s="82" t="s">
        <v>53</v>
      </c>
      <c r="E33" s="85">
        <v>58</v>
      </c>
      <c r="F33" s="85">
        <f>SUM(E33/1000)</f>
        <v>5.8000000000000003E-2</v>
      </c>
      <c r="G33" s="85">
        <v>3758.28</v>
      </c>
      <c r="H33" s="86">
        <f>SUM(F33*G33/1000)</f>
        <v>0.21798024000000002</v>
      </c>
      <c r="I33" s="13">
        <f>F33*G33</f>
        <v>217.98024000000001</v>
      </c>
      <c r="J33" s="22"/>
      <c r="K33" s="8"/>
      <c r="L33" s="8"/>
      <c r="M33" s="8"/>
    </row>
    <row r="34" spans="1:14" ht="15.75" hidden="1" customHeight="1">
      <c r="A34" s="41"/>
      <c r="B34" s="32" t="s">
        <v>106</v>
      </c>
      <c r="C34" s="83" t="s">
        <v>39</v>
      </c>
      <c r="D34" s="82" t="s">
        <v>62</v>
      </c>
      <c r="E34" s="85">
        <v>1</v>
      </c>
      <c r="F34" s="85">
        <f>E34*155/100</f>
        <v>1.55</v>
      </c>
      <c r="G34" s="85">
        <v>1620.15</v>
      </c>
      <c r="H34" s="86">
        <f>SUM(F34*G34/1000)</f>
        <v>2.5112325000000002</v>
      </c>
      <c r="I34" s="13">
        <f>F34/6*G34</f>
        <v>418.53875000000005</v>
      </c>
      <c r="J34" s="22"/>
      <c r="K34" s="8"/>
    </row>
    <row r="35" spans="1:14" ht="15.75" hidden="1" customHeight="1">
      <c r="A35" s="41">
        <v>5</v>
      </c>
      <c r="B35" s="32" t="s">
        <v>107</v>
      </c>
      <c r="C35" s="83" t="s">
        <v>29</v>
      </c>
      <c r="D35" s="82" t="s">
        <v>62</v>
      </c>
      <c r="E35" s="90">
        <f>1/3</f>
        <v>0.33333333333333331</v>
      </c>
      <c r="F35" s="85">
        <f>155/3</f>
        <v>51.666666666666664</v>
      </c>
      <c r="G35" s="85">
        <v>70.540000000000006</v>
      </c>
      <c r="H35" s="86">
        <f>SUM(G35*155/3/1000)</f>
        <v>3.644566666666667</v>
      </c>
      <c r="I35" s="13">
        <f>F35/6*G35</f>
        <v>607.42777777777781</v>
      </c>
      <c r="J35" s="23"/>
    </row>
    <row r="36" spans="1:14" ht="15.75" hidden="1" customHeight="1">
      <c r="A36" s="41">
        <v>4</v>
      </c>
      <c r="B36" s="82" t="s">
        <v>64</v>
      </c>
      <c r="C36" s="83" t="s">
        <v>31</v>
      </c>
      <c r="D36" s="82" t="s">
        <v>66</v>
      </c>
      <c r="E36" s="84"/>
      <c r="F36" s="85">
        <v>1</v>
      </c>
      <c r="G36" s="85">
        <v>238.07</v>
      </c>
      <c r="H36" s="86">
        <f>SUM(F36*G36/1000)</f>
        <v>0.23807</v>
      </c>
      <c r="I36" s="13">
        <v>0</v>
      </c>
      <c r="J36" s="23"/>
    </row>
    <row r="37" spans="1:14" ht="15.75" hidden="1" customHeight="1">
      <c r="A37" s="29">
        <v>8</v>
      </c>
      <c r="B37" s="82" t="s">
        <v>65</v>
      </c>
      <c r="C37" s="83" t="s">
        <v>30</v>
      </c>
      <c r="D37" s="82" t="s">
        <v>66</v>
      </c>
      <c r="E37" s="84"/>
      <c r="F37" s="85">
        <v>1</v>
      </c>
      <c r="G37" s="85">
        <v>1413.96</v>
      </c>
      <c r="H37" s="86">
        <f>SUM(F37*G37/1000)</f>
        <v>1.4139600000000001</v>
      </c>
      <c r="I37" s="13">
        <v>0</v>
      </c>
      <c r="J37" s="23"/>
    </row>
    <row r="38" spans="1:14" ht="15.75" customHeight="1">
      <c r="A38" s="41"/>
      <c r="B38" s="49" t="s">
        <v>5</v>
      </c>
      <c r="C38" s="49"/>
      <c r="D38" s="49"/>
      <c r="E38" s="13"/>
      <c r="F38" s="13"/>
      <c r="G38" s="14"/>
      <c r="H38" s="14"/>
      <c r="I38" s="18"/>
      <c r="J38" s="23"/>
    </row>
    <row r="39" spans="1:14" ht="15.75" customHeight="1">
      <c r="A39" s="33">
        <v>6</v>
      </c>
      <c r="B39" s="82" t="s">
        <v>25</v>
      </c>
      <c r="C39" s="83" t="s">
        <v>30</v>
      </c>
      <c r="D39" s="82"/>
      <c r="E39" s="84"/>
      <c r="F39" s="85">
        <v>2</v>
      </c>
      <c r="G39" s="85">
        <v>1900.37</v>
      </c>
      <c r="H39" s="86">
        <f t="shared" ref="H39:H44" si="1">SUM(F39*G39/1000)</f>
        <v>3.8007399999999998</v>
      </c>
      <c r="I39" s="13">
        <f t="shared" ref="I39:I42" si="2">F39/6*G39</f>
        <v>633.45666666666659</v>
      </c>
      <c r="J39" s="23"/>
    </row>
    <row r="40" spans="1:14" ht="15.75" customHeight="1">
      <c r="A40" s="33">
        <v>7</v>
      </c>
      <c r="B40" s="82" t="s">
        <v>67</v>
      </c>
      <c r="C40" s="83" t="s">
        <v>28</v>
      </c>
      <c r="D40" s="82" t="s">
        <v>108</v>
      </c>
      <c r="E40" s="85">
        <v>48.3</v>
      </c>
      <c r="F40" s="85">
        <f>SUM(E40*30/1000)</f>
        <v>1.4490000000000001</v>
      </c>
      <c r="G40" s="85">
        <v>2616.4899999999998</v>
      </c>
      <c r="H40" s="86">
        <f t="shared" si="1"/>
        <v>3.7912940100000001</v>
      </c>
      <c r="I40" s="13">
        <f t="shared" si="2"/>
        <v>631.88233500000001</v>
      </c>
      <c r="J40" s="23"/>
    </row>
    <row r="41" spans="1:14" ht="15.75" customHeight="1">
      <c r="A41" s="33">
        <v>8</v>
      </c>
      <c r="B41" s="82" t="s">
        <v>68</v>
      </c>
      <c r="C41" s="83" t="s">
        <v>28</v>
      </c>
      <c r="D41" s="82" t="s">
        <v>109</v>
      </c>
      <c r="E41" s="85">
        <v>48.3</v>
      </c>
      <c r="F41" s="85">
        <f>SUM(E41*155/1000)</f>
        <v>7.4865000000000004</v>
      </c>
      <c r="G41" s="85">
        <v>436.45</v>
      </c>
      <c r="H41" s="86">
        <f t="shared" si="1"/>
        <v>3.2674829250000004</v>
      </c>
      <c r="I41" s="13">
        <f t="shared" si="2"/>
        <v>544.5804875</v>
      </c>
      <c r="J41" s="23"/>
    </row>
    <row r="42" spans="1:14" ht="47.25" customHeight="1">
      <c r="A42" s="33">
        <v>9</v>
      </c>
      <c r="B42" s="82" t="s">
        <v>80</v>
      </c>
      <c r="C42" s="83" t="s">
        <v>102</v>
      </c>
      <c r="D42" s="82" t="s">
        <v>110</v>
      </c>
      <c r="E42" s="85">
        <f>E40</f>
        <v>48.3</v>
      </c>
      <c r="F42" s="85">
        <f>SUM(E42*35/1000)</f>
        <v>1.6904999999999999</v>
      </c>
      <c r="G42" s="85">
        <v>7221.21</v>
      </c>
      <c r="H42" s="86">
        <f t="shared" si="1"/>
        <v>12.207455505</v>
      </c>
      <c r="I42" s="13">
        <f t="shared" si="2"/>
        <v>2034.5759175000001</v>
      </c>
      <c r="J42" s="23"/>
      <c r="L42" s="19"/>
      <c r="M42" s="20"/>
      <c r="N42" s="21"/>
    </row>
    <row r="43" spans="1:14" ht="15.75" customHeight="1">
      <c r="A43" s="33">
        <v>10</v>
      </c>
      <c r="B43" s="82" t="s">
        <v>111</v>
      </c>
      <c r="C43" s="83" t="s">
        <v>102</v>
      </c>
      <c r="D43" s="82" t="s">
        <v>112</v>
      </c>
      <c r="E43" s="85">
        <f>E40</f>
        <v>48.3</v>
      </c>
      <c r="F43" s="85">
        <f>SUM(E43*20/1000)</f>
        <v>0.96599999999999997</v>
      </c>
      <c r="G43" s="85">
        <v>533.45000000000005</v>
      </c>
      <c r="H43" s="86">
        <f t="shared" si="1"/>
        <v>0.51531270000000007</v>
      </c>
      <c r="I43" s="13">
        <f>(F43/7.5*1.5)*G43</f>
        <v>103.06254</v>
      </c>
      <c r="J43" s="23"/>
      <c r="L43" s="19"/>
      <c r="M43" s="20"/>
      <c r="N43" s="21"/>
    </row>
    <row r="44" spans="1:14" ht="15.75" customHeight="1">
      <c r="A44" s="33">
        <v>11</v>
      </c>
      <c r="B44" s="82" t="s">
        <v>69</v>
      </c>
      <c r="C44" s="83" t="s">
        <v>31</v>
      </c>
      <c r="D44" s="82"/>
      <c r="E44" s="84"/>
      <c r="F44" s="85">
        <v>0.5</v>
      </c>
      <c r="G44" s="85">
        <v>992.97</v>
      </c>
      <c r="H44" s="86">
        <f t="shared" si="1"/>
        <v>0.49648500000000001</v>
      </c>
      <c r="I44" s="13">
        <f>(F44/7.5*1.5)*G44</f>
        <v>99.297000000000011</v>
      </c>
      <c r="J44" s="23"/>
      <c r="L44" s="19"/>
      <c r="M44" s="20"/>
      <c r="N44" s="21"/>
    </row>
    <row r="45" spans="1:14" ht="15.75" hidden="1" customHeight="1">
      <c r="A45" s="144" t="s">
        <v>137</v>
      </c>
      <c r="B45" s="145"/>
      <c r="C45" s="145"/>
      <c r="D45" s="145"/>
      <c r="E45" s="145"/>
      <c r="F45" s="145"/>
      <c r="G45" s="145"/>
      <c r="H45" s="145"/>
      <c r="I45" s="146"/>
      <c r="J45" s="23"/>
      <c r="L45" s="19"/>
      <c r="M45" s="20"/>
      <c r="N45" s="21"/>
    </row>
    <row r="46" spans="1:14" ht="15.75" hidden="1" customHeight="1">
      <c r="A46" s="41">
        <v>15</v>
      </c>
      <c r="B46" s="82" t="s">
        <v>113</v>
      </c>
      <c r="C46" s="83" t="s">
        <v>102</v>
      </c>
      <c r="D46" s="82" t="s">
        <v>41</v>
      </c>
      <c r="E46" s="84">
        <v>1044.7</v>
      </c>
      <c r="F46" s="85">
        <f>SUM(E46*2/1000)</f>
        <v>2.0893999999999999</v>
      </c>
      <c r="G46" s="13">
        <v>1283.46</v>
      </c>
      <c r="H46" s="86">
        <f t="shared" ref="H46:H56" si="3">SUM(F46*G46/1000)</f>
        <v>2.6816613240000002</v>
      </c>
      <c r="I46" s="13">
        <v>0</v>
      </c>
      <c r="J46" s="23"/>
      <c r="L46" s="19"/>
      <c r="M46" s="20"/>
      <c r="N46" s="21"/>
    </row>
    <row r="47" spans="1:14" ht="15.75" hidden="1" customHeight="1">
      <c r="A47" s="41"/>
      <c r="B47" s="82" t="s">
        <v>34</v>
      </c>
      <c r="C47" s="83" t="s">
        <v>102</v>
      </c>
      <c r="D47" s="82" t="s">
        <v>41</v>
      </c>
      <c r="E47" s="84">
        <v>19.8</v>
      </c>
      <c r="F47" s="85">
        <f>SUM(E47*2/1000)</f>
        <v>3.9600000000000003E-2</v>
      </c>
      <c r="G47" s="13">
        <v>4192.6400000000003</v>
      </c>
      <c r="H47" s="86">
        <f t="shared" si="3"/>
        <v>0.16602854400000003</v>
      </c>
      <c r="I47" s="13">
        <v>0</v>
      </c>
      <c r="J47" s="23"/>
      <c r="L47" s="19"/>
      <c r="M47" s="20"/>
      <c r="N47" s="21"/>
    </row>
    <row r="48" spans="1:14" ht="15.75" hidden="1" customHeight="1">
      <c r="A48" s="41">
        <v>16</v>
      </c>
      <c r="B48" s="82" t="s">
        <v>35</v>
      </c>
      <c r="C48" s="83" t="s">
        <v>102</v>
      </c>
      <c r="D48" s="82" t="s">
        <v>41</v>
      </c>
      <c r="E48" s="84">
        <v>660.84</v>
      </c>
      <c r="F48" s="85">
        <f>SUM(E48*2/1000)</f>
        <v>1.32168</v>
      </c>
      <c r="G48" s="13">
        <v>1711.28</v>
      </c>
      <c r="H48" s="86">
        <f t="shared" si="3"/>
        <v>2.2617645503999997</v>
      </c>
      <c r="I48" s="13">
        <v>0</v>
      </c>
      <c r="J48" s="23"/>
      <c r="L48" s="19"/>
      <c r="M48" s="20"/>
      <c r="N48" s="21"/>
    </row>
    <row r="49" spans="1:14" ht="15.75" hidden="1" customHeight="1">
      <c r="A49" s="41">
        <v>17</v>
      </c>
      <c r="B49" s="82" t="s">
        <v>36</v>
      </c>
      <c r="C49" s="83" t="s">
        <v>102</v>
      </c>
      <c r="D49" s="82" t="s">
        <v>41</v>
      </c>
      <c r="E49" s="84">
        <v>1156.21</v>
      </c>
      <c r="F49" s="85">
        <f>SUM(E49*2/1000)</f>
        <v>2.3124199999999999</v>
      </c>
      <c r="G49" s="13">
        <v>1179.73</v>
      </c>
      <c r="H49" s="86">
        <f t="shared" si="3"/>
        <v>2.7280312466000001</v>
      </c>
      <c r="I49" s="13">
        <v>0</v>
      </c>
      <c r="J49" s="23"/>
      <c r="L49" s="19"/>
      <c r="M49" s="20"/>
      <c r="N49" s="21"/>
    </row>
    <row r="50" spans="1:14" ht="15.75" hidden="1" customHeight="1">
      <c r="A50" s="41">
        <v>18</v>
      </c>
      <c r="B50" s="82" t="s">
        <v>32</v>
      </c>
      <c r="C50" s="83" t="s">
        <v>33</v>
      </c>
      <c r="D50" s="82" t="s">
        <v>144</v>
      </c>
      <c r="E50" s="84">
        <v>17.2</v>
      </c>
      <c r="F50" s="85">
        <f>SUM(E50*2/100)</f>
        <v>0.34399999999999997</v>
      </c>
      <c r="G50" s="13">
        <v>90.61</v>
      </c>
      <c r="H50" s="86">
        <f t="shared" si="3"/>
        <v>3.1169839999999997E-2</v>
      </c>
      <c r="I50" s="13">
        <v>0</v>
      </c>
      <c r="J50" s="23"/>
      <c r="L50" s="19"/>
      <c r="M50" s="20"/>
      <c r="N50" s="21"/>
    </row>
    <row r="51" spans="1:14" ht="15.75" hidden="1" customHeight="1">
      <c r="A51" s="41">
        <v>12</v>
      </c>
      <c r="B51" s="82" t="s">
        <v>55</v>
      </c>
      <c r="C51" s="83" t="s">
        <v>102</v>
      </c>
      <c r="D51" s="82" t="s">
        <v>146</v>
      </c>
      <c r="E51" s="84">
        <v>1839.1</v>
      </c>
      <c r="F51" s="85">
        <f>SUM(E51*5/1000)</f>
        <v>9.1954999999999991</v>
      </c>
      <c r="G51" s="13">
        <v>1711.28</v>
      </c>
      <c r="H51" s="86">
        <f t="shared" si="3"/>
        <v>15.736075239999998</v>
      </c>
      <c r="I51" s="13">
        <f>F51/5*G51</f>
        <v>3147.2150479999996</v>
      </c>
      <c r="J51" s="23"/>
      <c r="L51" s="19"/>
      <c r="M51" s="20"/>
      <c r="N51" s="21"/>
    </row>
    <row r="52" spans="1:14" ht="31.5" hidden="1" customHeight="1">
      <c r="A52" s="41">
        <v>13</v>
      </c>
      <c r="B52" s="82" t="s">
        <v>114</v>
      </c>
      <c r="C52" s="83" t="s">
        <v>102</v>
      </c>
      <c r="D52" s="82" t="s">
        <v>41</v>
      </c>
      <c r="E52" s="84">
        <f>E51</f>
        <v>1839.1</v>
      </c>
      <c r="F52" s="85">
        <f>SUM(E52*2/1000)</f>
        <v>3.6781999999999999</v>
      </c>
      <c r="G52" s="13">
        <v>1510.06</v>
      </c>
      <c r="H52" s="86">
        <f t="shared" si="3"/>
        <v>5.5543026919999994</v>
      </c>
      <c r="I52" s="13">
        <v>0</v>
      </c>
      <c r="J52" s="23"/>
      <c r="L52" s="19"/>
      <c r="M52" s="20"/>
      <c r="N52" s="21"/>
    </row>
    <row r="53" spans="1:14" ht="31.5" hidden="1" customHeight="1">
      <c r="A53" s="41">
        <v>14</v>
      </c>
      <c r="B53" s="82" t="s">
        <v>115</v>
      </c>
      <c r="C53" s="83" t="s">
        <v>37</v>
      </c>
      <c r="D53" s="82" t="s">
        <v>41</v>
      </c>
      <c r="E53" s="84">
        <v>9</v>
      </c>
      <c r="F53" s="85">
        <f>SUM(E53*2/100)</f>
        <v>0.18</v>
      </c>
      <c r="G53" s="13">
        <v>3850.4</v>
      </c>
      <c r="H53" s="86">
        <f t="shared" si="3"/>
        <v>0.69307200000000002</v>
      </c>
      <c r="I53" s="13">
        <v>0</v>
      </c>
      <c r="J53" s="23"/>
      <c r="L53" s="19"/>
      <c r="M53" s="20"/>
      <c r="N53" s="21"/>
    </row>
    <row r="54" spans="1:14" ht="15.75" hidden="1" customHeight="1">
      <c r="A54" s="41">
        <v>15</v>
      </c>
      <c r="B54" s="82" t="s">
        <v>38</v>
      </c>
      <c r="C54" s="83" t="s">
        <v>39</v>
      </c>
      <c r="D54" s="82" t="s">
        <v>41</v>
      </c>
      <c r="E54" s="84">
        <v>1</v>
      </c>
      <c r="F54" s="85">
        <v>0.02</v>
      </c>
      <c r="G54" s="13">
        <v>7033.13</v>
      </c>
      <c r="H54" s="86">
        <f t="shared" si="3"/>
        <v>0.1406626</v>
      </c>
      <c r="I54" s="13">
        <v>0</v>
      </c>
      <c r="J54" s="23"/>
      <c r="L54" s="19"/>
      <c r="M54" s="20"/>
      <c r="N54" s="21"/>
    </row>
    <row r="55" spans="1:14" ht="15.75" hidden="1" customHeight="1">
      <c r="A55" s="41">
        <v>13</v>
      </c>
      <c r="B55" s="82" t="s">
        <v>145</v>
      </c>
      <c r="C55" s="83" t="s">
        <v>29</v>
      </c>
      <c r="D55" s="82" t="s">
        <v>70</v>
      </c>
      <c r="E55" s="84">
        <v>36</v>
      </c>
      <c r="F55" s="85">
        <f>E55*3</f>
        <v>108</v>
      </c>
      <c r="G55" s="13">
        <v>175.6</v>
      </c>
      <c r="H55" s="86">
        <f t="shared" si="3"/>
        <v>18.9648</v>
      </c>
      <c r="I55" s="13">
        <f>E55*G55</f>
        <v>6321.5999999999995</v>
      </c>
      <c r="J55" s="23"/>
      <c r="L55" s="19"/>
      <c r="M55" s="20"/>
      <c r="N55" s="21"/>
    </row>
    <row r="56" spans="1:14" ht="15.75" hidden="1" customHeight="1">
      <c r="A56" s="41">
        <v>14</v>
      </c>
      <c r="B56" s="82" t="s">
        <v>40</v>
      </c>
      <c r="C56" s="83" t="s">
        <v>29</v>
      </c>
      <c r="D56" s="82" t="s">
        <v>70</v>
      </c>
      <c r="E56" s="84">
        <v>36</v>
      </c>
      <c r="F56" s="85">
        <f>E56*3</f>
        <v>108</v>
      </c>
      <c r="G56" s="13">
        <v>81.73</v>
      </c>
      <c r="H56" s="86">
        <f t="shared" si="3"/>
        <v>8.8268400000000007</v>
      </c>
      <c r="I56" s="13">
        <f>E56*G56</f>
        <v>2942.28</v>
      </c>
      <c r="J56" s="23"/>
      <c r="L56" s="19"/>
      <c r="M56" s="20"/>
      <c r="N56" s="21"/>
    </row>
    <row r="57" spans="1:14" ht="15.75" customHeight="1">
      <c r="A57" s="144" t="s">
        <v>154</v>
      </c>
      <c r="B57" s="145"/>
      <c r="C57" s="145"/>
      <c r="D57" s="145"/>
      <c r="E57" s="145"/>
      <c r="F57" s="145"/>
      <c r="G57" s="145"/>
      <c r="H57" s="145"/>
      <c r="I57" s="146"/>
      <c r="J57" s="23"/>
      <c r="L57" s="19"/>
      <c r="M57" s="20"/>
      <c r="N57" s="21"/>
    </row>
    <row r="58" spans="1:14" ht="15.75" hidden="1" customHeight="1">
      <c r="A58" s="81"/>
      <c r="B58" s="48" t="s">
        <v>42</v>
      </c>
      <c r="C58" s="16"/>
      <c r="D58" s="15"/>
      <c r="E58" s="15"/>
      <c r="F58" s="15"/>
      <c r="G58" s="29"/>
      <c r="H58" s="29"/>
      <c r="I58" s="18"/>
      <c r="J58" s="23"/>
      <c r="L58" s="19"/>
      <c r="M58" s="20"/>
      <c r="N58" s="21"/>
    </row>
    <row r="59" spans="1:14" ht="31.5" hidden="1" customHeight="1">
      <c r="A59" s="41">
        <v>12</v>
      </c>
      <c r="B59" s="82" t="s">
        <v>117</v>
      </c>
      <c r="C59" s="83" t="s">
        <v>147</v>
      </c>
      <c r="D59" s="82" t="s">
        <v>71</v>
      </c>
      <c r="E59" s="84">
        <v>12.5</v>
      </c>
      <c r="F59" s="85">
        <f>E59*6/100</f>
        <v>0.75</v>
      </c>
      <c r="G59" s="91">
        <v>2306.62</v>
      </c>
      <c r="H59" s="86">
        <f>F59*G59/1000</f>
        <v>1.729965</v>
      </c>
      <c r="I59" s="13">
        <f>F59/6*G59</f>
        <v>288.32749999999999</v>
      </c>
      <c r="J59" s="23"/>
      <c r="L59" s="19"/>
      <c r="M59" s="20"/>
      <c r="N59" s="21"/>
    </row>
    <row r="60" spans="1:14" ht="15.75" hidden="1" customHeight="1">
      <c r="A60" s="41"/>
      <c r="B60" s="92" t="s">
        <v>84</v>
      </c>
      <c r="C60" s="93" t="s">
        <v>118</v>
      </c>
      <c r="D60" s="37" t="s">
        <v>66</v>
      </c>
      <c r="E60" s="94"/>
      <c r="F60" s="95">
        <v>2</v>
      </c>
      <c r="G60" s="96">
        <v>1501</v>
      </c>
      <c r="H60" s="86">
        <f>F60*G60/1000</f>
        <v>3.0019999999999998</v>
      </c>
      <c r="I60" s="13">
        <v>0</v>
      </c>
      <c r="J60" s="23"/>
      <c r="L60" s="19"/>
      <c r="M60" s="20"/>
      <c r="N60" s="21"/>
    </row>
    <row r="61" spans="1:14" ht="15.75" hidden="1" customHeight="1">
      <c r="A61" s="41"/>
      <c r="B61" s="75" t="s">
        <v>43</v>
      </c>
      <c r="C61" s="75"/>
      <c r="D61" s="75"/>
      <c r="E61" s="75"/>
      <c r="F61" s="76"/>
      <c r="G61" s="63"/>
      <c r="H61" s="63"/>
      <c r="I61" s="35"/>
      <c r="J61" s="23"/>
      <c r="L61" s="19"/>
      <c r="M61" s="20"/>
      <c r="N61" s="21"/>
    </row>
    <row r="62" spans="1:14" ht="15.75" hidden="1" customHeight="1">
      <c r="A62" s="41">
        <v>27</v>
      </c>
      <c r="B62" s="92" t="s">
        <v>44</v>
      </c>
      <c r="C62" s="93" t="s">
        <v>52</v>
      </c>
      <c r="D62" s="92" t="s">
        <v>53</v>
      </c>
      <c r="E62" s="94">
        <v>164</v>
      </c>
      <c r="F62" s="95">
        <f>E62/100</f>
        <v>1.64</v>
      </c>
      <c r="G62" s="96">
        <v>987.51</v>
      </c>
      <c r="H62" s="97">
        <f>G62*F62/1000</f>
        <v>1.6195164</v>
      </c>
      <c r="I62" s="13">
        <v>0</v>
      </c>
      <c r="J62" s="23"/>
      <c r="L62" s="19"/>
      <c r="M62" s="20"/>
      <c r="N62" s="21"/>
    </row>
    <row r="63" spans="1:14" ht="15.75" customHeight="1">
      <c r="A63" s="41"/>
      <c r="B63" s="75" t="s">
        <v>45</v>
      </c>
      <c r="C63" s="16"/>
      <c r="D63" s="37"/>
      <c r="E63" s="15"/>
      <c r="F63" s="77"/>
      <c r="G63" s="64"/>
      <c r="H63" s="63"/>
      <c r="I63" s="18"/>
      <c r="J63" s="23"/>
      <c r="L63" s="19"/>
    </row>
    <row r="64" spans="1:14" ht="15.75" hidden="1" customHeight="1">
      <c r="A64" s="41">
        <v>17</v>
      </c>
      <c r="B64" s="98" t="s">
        <v>46</v>
      </c>
      <c r="C64" s="16" t="s">
        <v>116</v>
      </c>
      <c r="D64" s="98" t="s">
        <v>66</v>
      </c>
      <c r="E64" s="18">
        <v>1</v>
      </c>
      <c r="F64" s="85">
        <f>E64</f>
        <v>1</v>
      </c>
      <c r="G64" s="13">
        <v>276.74</v>
      </c>
      <c r="H64" s="99">
        <f t="shared" ref="H64:H72" si="4">SUM(F64*G64/1000)</f>
        <v>0.27673999999999999</v>
      </c>
      <c r="I64" s="13">
        <v>0</v>
      </c>
    </row>
    <row r="65" spans="1:22" ht="15.75" hidden="1" customHeight="1">
      <c r="A65" s="29">
        <v>29</v>
      </c>
      <c r="B65" s="98" t="s">
        <v>47</v>
      </c>
      <c r="C65" s="16" t="s">
        <v>116</v>
      </c>
      <c r="D65" s="98" t="s">
        <v>66</v>
      </c>
      <c r="E65" s="18">
        <v>3</v>
      </c>
      <c r="F65" s="85">
        <v>3</v>
      </c>
      <c r="G65" s="13">
        <v>94.89</v>
      </c>
      <c r="H65" s="99">
        <f t="shared" si="4"/>
        <v>0.28467000000000003</v>
      </c>
      <c r="I65" s="13">
        <v>0</v>
      </c>
    </row>
    <row r="66" spans="1:22" ht="15.75" hidden="1" customHeight="1">
      <c r="A66" s="29">
        <v>8</v>
      </c>
      <c r="B66" s="98" t="s">
        <v>48</v>
      </c>
      <c r="C66" s="16" t="s">
        <v>119</v>
      </c>
      <c r="D66" s="98" t="s">
        <v>53</v>
      </c>
      <c r="E66" s="84">
        <v>7265</v>
      </c>
      <c r="F66" s="13">
        <f>SUM(E66/100)</f>
        <v>72.650000000000006</v>
      </c>
      <c r="G66" s="13">
        <v>263.99</v>
      </c>
      <c r="H66" s="99">
        <f t="shared" si="4"/>
        <v>19.178873500000002</v>
      </c>
      <c r="I66" s="13">
        <v>0</v>
      </c>
    </row>
    <row r="67" spans="1:22" ht="15.75" hidden="1" customHeight="1">
      <c r="A67" s="29">
        <v>9</v>
      </c>
      <c r="B67" s="98" t="s">
        <v>49</v>
      </c>
      <c r="C67" s="16" t="s">
        <v>120</v>
      </c>
      <c r="D67" s="98" t="s">
        <v>53</v>
      </c>
      <c r="E67" s="84">
        <f>E66</f>
        <v>7265</v>
      </c>
      <c r="F67" s="13">
        <f>SUM(E67/1000)</f>
        <v>7.2649999999999997</v>
      </c>
      <c r="G67" s="13">
        <v>205.57</v>
      </c>
      <c r="H67" s="99">
        <f t="shared" si="4"/>
        <v>1.4934660500000001</v>
      </c>
      <c r="I67" s="13">
        <v>0</v>
      </c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9"/>
    </row>
    <row r="68" spans="1:22" ht="15.75" hidden="1" customHeight="1">
      <c r="A68" s="29">
        <v>10</v>
      </c>
      <c r="B68" s="98" t="s">
        <v>50</v>
      </c>
      <c r="C68" s="16" t="s">
        <v>76</v>
      </c>
      <c r="D68" s="98" t="s">
        <v>53</v>
      </c>
      <c r="E68" s="84">
        <v>1090</v>
      </c>
      <c r="F68" s="13">
        <f>SUM(E68/100)</f>
        <v>10.9</v>
      </c>
      <c r="G68" s="13">
        <v>2581.5300000000002</v>
      </c>
      <c r="H68" s="99">
        <f t="shared" si="4"/>
        <v>28.138677000000005</v>
      </c>
      <c r="I68" s="13">
        <v>0</v>
      </c>
      <c r="J68" s="25"/>
      <c r="K68" s="25"/>
      <c r="L68" s="3"/>
      <c r="M68" s="3"/>
      <c r="N68" s="3"/>
      <c r="O68" s="3"/>
      <c r="P68" s="3"/>
      <c r="Q68" s="3"/>
      <c r="R68" s="3"/>
      <c r="S68" s="3"/>
      <c r="T68" s="3"/>
      <c r="U68" s="3"/>
    </row>
    <row r="69" spans="1:22" ht="15.75" hidden="1" customHeight="1">
      <c r="A69" s="29">
        <v>11</v>
      </c>
      <c r="B69" s="100" t="s">
        <v>121</v>
      </c>
      <c r="C69" s="16" t="s">
        <v>31</v>
      </c>
      <c r="D69" s="98"/>
      <c r="E69" s="84">
        <v>7.6</v>
      </c>
      <c r="F69" s="13">
        <f>SUM(E69)</f>
        <v>7.6</v>
      </c>
      <c r="G69" s="13">
        <v>47.45</v>
      </c>
      <c r="H69" s="99">
        <f t="shared" si="4"/>
        <v>0.36062</v>
      </c>
      <c r="I69" s="13">
        <v>0</v>
      </c>
      <c r="J69" s="3"/>
      <c r="K69" s="3"/>
      <c r="L69" s="3"/>
      <c r="M69" s="3"/>
      <c r="N69" s="3"/>
      <c r="O69" s="3"/>
      <c r="P69" s="3"/>
      <c r="Q69" s="3"/>
      <c r="S69" s="3"/>
      <c r="T69" s="3"/>
      <c r="U69" s="3"/>
    </row>
    <row r="70" spans="1:22" ht="15.75" hidden="1" customHeight="1">
      <c r="A70" s="29">
        <v>12</v>
      </c>
      <c r="B70" s="100" t="s">
        <v>148</v>
      </c>
      <c r="C70" s="16" t="s">
        <v>31</v>
      </c>
      <c r="D70" s="98"/>
      <c r="E70" s="84">
        <f>E69</f>
        <v>7.6</v>
      </c>
      <c r="F70" s="13">
        <f>SUM(E70)</f>
        <v>7.6</v>
      </c>
      <c r="G70" s="13">
        <v>44.27</v>
      </c>
      <c r="H70" s="99">
        <f t="shared" si="4"/>
        <v>0.33645199999999997</v>
      </c>
      <c r="I70" s="13">
        <v>0</v>
      </c>
      <c r="J70" s="5"/>
      <c r="K70" s="5"/>
      <c r="L70" s="5"/>
      <c r="M70" s="5"/>
      <c r="N70" s="5"/>
      <c r="O70" s="5"/>
      <c r="P70" s="5"/>
      <c r="Q70" s="5"/>
      <c r="R70" s="136"/>
      <c r="S70" s="136"/>
      <c r="T70" s="136"/>
      <c r="U70" s="136"/>
    </row>
    <row r="71" spans="1:22" ht="15.75" hidden="1" customHeight="1">
      <c r="A71" s="29">
        <v>13</v>
      </c>
      <c r="B71" s="98" t="s">
        <v>56</v>
      </c>
      <c r="C71" s="16" t="s">
        <v>57</v>
      </c>
      <c r="D71" s="98" t="s">
        <v>53</v>
      </c>
      <c r="E71" s="18">
        <v>2</v>
      </c>
      <c r="F71" s="85">
        <f>SUM(E71)</f>
        <v>2</v>
      </c>
      <c r="G71" s="13">
        <v>62.07</v>
      </c>
      <c r="H71" s="99">
        <f t="shared" si="4"/>
        <v>0.12414</v>
      </c>
      <c r="I71" s="13">
        <v>0</v>
      </c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</row>
    <row r="72" spans="1:22" ht="15.75" customHeight="1">
      <c r="A72" s="29">
        <v>12</v>
      </c>
      <c r="B72" s="98" t="s">
        <v>85</v>
      </c>
      <c r="C72" s="41" t="s">
        <v>131</v>
      </c>
      <c r="D72" s="37" t="s">
        <v>66</v>
      </c>
      <c r="E72" s="17">
        <v>1839.1</v>
      </c>
      <c r="F72" s="101">
        <f>SUM(E72*12)</f>
        <v>22069.199999999997</v>
      </c>
      <c r="G72" s="13">
        <v>2.16</v>
      </c>
      <c r="H72" s="99">
        <f t="shared" si="4"/>
        <v>47.669471999999992</v>
      </c>
      <c r="I72" s="13">
        <f>F72/12*G72</f>
        <v>3972.4559999999997</v>
      </c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</row>
    <row r="73" spans="1:22" ht="15.75" hidden="1" customHeight="1">
      <c r="A73" s="29"/>
      <c r="B73" s="49" t="s">
        <v>72</v>
      </c>
      <c r="C73" s="49"/>
      <c r="D73" s="49"/>
      <c r="E73" s="18"/>
      <c r="F73" s="18"/>
      <c r="G73" s="29"/>
      <c r="H73" s="29"/>
      <c r="I73" s="18"/>
    </row>
    <row r="74" spans="1:22" ht="15.75" hidden="1" customHeight="1">
      <c r="A74" s="29"/>
      <c r="B74" s="98" t="s">
        <v>123</v>
      </c>
      <c r="C74" s="16" t="s">
        <v>124</v>
      </c>
      <c r="D74" s="98" t="s">
        <v>66</v>
      </c>
      <c r="E74" s="18">
        <v>1</v>
      </c>
      <c r="F74" s="13">
        <f>E74</f>
        <v>1</v>
      </c>
      <c r="G74" s="13">
        <v>976.4</v>
      </c>
      <c r="H74" s="99">
        <f t="shared" ref="H74:H78" si="5">SUM(F74*G74/1000)</f>
        <v>0.97639999999999993</v>
      </c>
      <c r="I74" s="13">
        <v>0</v>
      </c>
    </row>
    <row r="75" spans="1:22" ht="15.75" hidden="1" customHeight="1">
      <c r="A75" s="29"/>
      <c r="B75" s="98" t="s">
        <v>125</v>
      </c>
      <c r="C75" s="16" t="s">
        <v>126</v>
      </c>
      <c r="D75" s="98"/>
      <c r="E75" s="18">
        <v>1</v>
      </c>
      <c r="F75" s="13">
        <v>1</v>
      </c>
      <c r="G75" s="13">
        <v>650</v>
      </c>
      <c r="H75" s="99">
        <f t="shared" si="5"/>
        <v>0.65</v>
      </c>
      <c r="I75" s="13">
        <v>0</v>
      </c>
    </row>
    <row r="76" spans="1:22" ht="15.75" hidden="1" customHeight="1">
      <c r="A76" s="29"/>
      <c r="B76" s="98" t="s">
        <v>73</v>
      </c>
      <c r="C76" s="16" t="s">
        <v>149</v>
      </c>
      <c r="D76" s="98" t="s">
        <v>66</v>
      </c>
      <c r="E76" s="18">
        <v>3</v>
      </c>
      <c r="F76" s="13">
        <f>E76/10</f>
        <v>0.3</v>
      </c>
      <c r="G76" s="13">
        <v>624.16999999999996</v>
      </c>
      <c r="H76" s="99">
        <f t="shared" si="5"/>
        <v>0.18725099999999997</v>
      </c>
      <c r="I76" s="13">
        <v>0</v>
      </c>
    </row>
    <row r="77" spans="1:22" ht="15.75" hidden="1" customHeight="1">
      <c r="A77" s="29"/>
      <c r="B77" s="98" t="s">
        <v>74</v>
      </c>
      <c r="C77" s="16" t="s">
        <v>29</v>
      </c>
      <c r="D77" s="98" t="s">
        <v>66</v>
      </c>
      <c r="E77" s="18">
        <v>1</v>
      </c>
      <c r="F77" s="13">
        <v>1</v>
      </c>
      <c r="G77" s="13">
        <v>1061.4100000000001</v>
      </c>
      <c r="H77" s="99">
        <f t="shared" si="5"/>
        <v>1.0614100000000002</v>
      </c>
      <c r="I77" s="13">
        <v>0</v>
      </c>
    </row>
    <row r="78" spans="1:22" ht="15.75" hidden="1" customHeight="1">
      <c r="A78" s="29">
        <v>17</v>
      </c>
      <c r="B78" s="98" t="s">
        <v>86</v>
      </c>
      <c r="C78" s="16" t="s">
        <v>29</v>
      </c>
      <c r="D78" s="98" t="s">
        <v>66</v>
      </c>
      <c r="E78" s="18">
        <v>1</v>
      </c>
      <c r="F78" s="85">
        <f>SUM(E78)</f>
        <v>1</v>
      </c>
      <c r="G78" s="13">
        <v>446.12</v>
      </c>
      <c r="H78" s="99">
        <f t="shared" si="5"/>
        <v>0.44612000000000002</v>
      </c>
      <c r="I78" s="13">
        <f>G78</f>
        <v>446.12</v>
      </c>
    </row>
    <row r="79" spans="1:22" ht="15.75" hidden="1" customHeight="1">
      <c r="A79" s="29"/>
      <c r="B79" s="50" t="s">
        <v>75</v>
      </c>
      <c r="C79" s="38"/>
      <c r="D79" s="29"/>
      <c r="E79" s="18"/>
      <c r="F79" s="18"/>
      <c r="G79" s="36"/>
      <c r="H79" s="36"/>
      <c r="I79" s="18"/>
    </row>
    <row r="80" spans="1:22" ht="15.75" hidden="1" customHeight="1">
      <c r="A80" s="29">
        <v>39</v>
      </c>
      <c r="B80" s="39" t="s">
        <v>127</v>
      </c>
      <c r="C80" s="16" t="s">
        <v>76</v>
      </c>
      <c r="D80" s="98"/>
      <c r="E80" s="18"/>
      <c r="F80" s="13">
        <v>1.3</v>
      </c>
      <c r="G80" s="13">
        <v>3433.68</v>
      </c>
      <c r="H80" s="99">
        <f t="shared" ref="H80" si="6">SUM(F80*G80/1000)</f>
        <v>4.4637839999999995</v>
      </c>
      <c r="I80" s="13">
        <v>0</v>
      </c>
    </row>
    <row r="81" spans="1:9" ht="15.75" hidden="1" customHeight="1">
      <c r="A81" s="81"/>
      <c r="B81" s="75" t="s">
        <v>122</v>
      </c>
      <c r="C81" s="75"/>
      <c r="D81" s="75"/>
      <c r="E81" s="75"/>
      <c r="F81" s="75"/>
      <c r="G81" s="75"/>
      <c r="H81" s="75"/>
      <c r="I81" s="18"/>
    </row>
    <row r="82" spans="1:9" ht="15.75" hidden="1" customHeight="1">
      <c r="A82" s="29">
        <v>15</v>
      </c>
      <c r="B82" s="82" t="s">
        <v>89</v>
      </c>
      <c r="C82" s="16"/>
      <c r="D82" s="98"/>
      <c r="E82" s="102"/>
      <c r="F82" s="13">
        <v>1</v>
      </c>
      <c r="G82" s="13">
        <v>13707.8</v>
      </c>
      <c r="H82" s="99">
        <f>G82*F82/1000</f>
        <v>13.707799999999999</v>
      </c>
      <c r="I82" s="13">
        <f>G82</f>
        <v>13707.8</v>
      </c>
    </row>
    <row r="83" spans="1:9" ht="15.75" customHeight="1">
      <c r="A83" s="129" t="s">
        <v>155</v>
      </c>
      <c r="B83" s="130"/>
      <c r="C83" s="130"/>
      <c r="D83" s="130"/>
      <c r="E83" s="130"/>
      <c r="F83" s="130"/>
      <c r="G83" s="130"/>
      <c r="H83" s="130"/>
      <c r="I83" s="131"/>
    </row>
    <row r="84" spans="1:9" ht="15.75" customHeight="1">
      <c r="A84" s="29">
        <v>13</v>
      </c>
      <c r="B84" s="82" t="s">
        <v>128</v>
      </c>
      <c r="C84" s="16" t="s">
        <v>54</v>
      </c>
      <c r="D84" s="104" t="s">
        <v>150</v>
      </c>
      <c r="E84" s="13">
        <v>1839.1</v>
      </c>
      <c r="F84" s="13">
        <f>SUM(E84*12)</f>
        <v>22069.199999999997</v>
      </c>
      <c r="G84" s="13">
        <v>2.95</v>
      </c>
      <c r="H84" s="99">
        <f>SUM(F84*G84/1000)</f>
        <v>65.104139999999987</v>
      </c>
      <c r="I84" s="13">
        <f>F84/12*G84</f>
        <v>5425.3449999999993</v>
      </c>
    </row>
    <row r="85" spans="1:9" ht="31.5" customHeight="1">
      <c r="A85" s="29">
        <v>14</v>
      </c>
      <c r="B85" s="98" t="s">
        <v>77</v>
      </c>
      <c r="C85" s="16"/>
      <c r="D85" s="104" t="s">
        <v>150</v>
      </c>
      <c r="E85" s="84">
        <v>1839.1</v>
      </c>
      <c r="F85" s="13">
        <f>E85*12</f>
        <v>22069.199999999997</v>
      </c>
      <c r="G85" s="13">
        <v>3.05</v>
      </c>
      <c r="H85" s="99">
        <f>F85*G85/1000</f>
        <v>67.311059999999983</v>
      </c>
      <c r="I85" s="13">
        <f>F85/12*G85</f>
        <v>5609.2549999999983</v>
      </c>
    </row>
    <row r="86" spans="1:9" ht="31.5" customHeight="1">
      <c r="A86" s="29">
        <v>15</v>
      </c>
      <c r="B86" s="98" t="s">
        <v>132</v>
      </c>
      <c r="C86" s="16" t="s">
        <v>133</v>
      </c>
      <c r="D86" s="104" t="s">
        <v>150</v>
      </c>
      <c r="E86" s="102"/>
      <c r="F86" s="13"/>
      <c r="G86" s="13"/>
      <c r="H86" s="99">
        <v>59.113</v>
      </c>
      <c r="I86" s="13">
        <f>59113/12</f>
        <v>4926.083333333333</v>
      </c>
    </row>
    <row r="87" spans="1:9" ht="15.75" customHeight="1">
      <c r="A87" s="81"/>
      <c r="B87" s="40" t="s">
        <v>79</v>
      </c>
      <c r="C87" s="41"/>
      <c r="D87" s="15"/>
      <c r="E87" s="15"/>
      <c r="F87" s="15"/>
      <c r="G87" s="18"/>
      <c r="H87" s="18"/>
      <c r="I87" s="31">
        <f>I86+I85+I84+I72+I44+I43+I42+I41+I40+I39+I28+I27+I18+I17+I16</f>
        <v>38591.748219999987</v>
      </c>
    </row>
    <row r="88" spans="1:9" ht="15.75" customHeight="1">
      <c r="A88" s="132" t="s">
        <v>59</v>
      </c>
      <c r="B88" s="133"/>
      <c r="C88" s="133"/>
      <c r="D88" s="133"/>
      <c r="E88" s="133"/>
      <c r="F88" s="133"/>
      <c r="G88" s="133"/>
      <c r="H88" s="133"/>
      <c r="I88" s="134"/>
    </row>
    <row r="89" spans="1:9" ht="15.75" customHeight="1">
      <c r="A89" s="42">
        <v>16</v>
      </c>
      <c r="B89" s="98" t="s">
        <v>166</v>
      </c>
      <c r="C89" s="16" t="s">
        <v>167</v>
      </c>
      <c r="D89" s="98"/>
      <c r="E89" s="18"/>
      <c r="F89" s="13">
        <v>24</v>
      </c>
      <c r="G89" s="13">
        <v>1.2</v>
      </c>
      <c r="H89" s="13">
        <f>F89*G89/1000</f>
        <v>2.8799999999999996E-2</v>
      </c>
      <c r="I89" s="13">
        <f>G89*12</f>
        <v>14.399999999999999</v>
      </c>
    </row>
    <row r="90" spans="1:9" ht="15.75" customHeight="1">
      <c r="A90" s="42">
        <v>17</v>
      </c>
      <c r="B90" s="110" t="s">
        <v>180</v>
      </c>
      <c r="C90" s="126" t="s">
        <v>181</v>
      </c>
      <c r="D90" s="98"/>
      <c r="E90" s="18"/>
      <c r="F90" s="13"/>
      <c r="G90" s="36">
        <v>4165.3999999999996</v>
      </c>
      <c r="H90" s="99"/>
      <c r="I90" s="13">
        <f>G90*0.1</f>
        <v>416.53999999999996</v>
      </c>
    </row>
    <row r="91" spans="1:9" ht="15.75" customHeight="1">
      <c r="A91" s="42">
        <v>18</v>
      </c>
      <c r="B91" s="105" t="s">
        <v>174</v>
      </c>
      <c r="C91" s="106" t="s">
        <v>116</v>
      </c>
      <c r="D91" s="98"/>
      <c r="E91" s="18"/>
      <c r="F91" s="13"/>
      <c r="G91" s="36">
        <v>197.48</v>
      </c>
      <c r="H91" s="99"/>
      <c r="I91" s="13">
        <f>G91*1</f>
        <v>197.48</v>
      </c>
    </row>
    <row r="92" spans="1:9" ht="31.5" customHeight="1">
      <c r="A92" s="29">
        <v>19</v>
      </c>
      <c r="B92" s="105" t="s">
        <v>171</v>
      </c>
      <c r="C92" s="106" t="s">
        <v>152</v>
      </c>
      <c r="D92" s="65"/>
      <c r="E92" s="36"/>
      <c r="F92" s="36">
        <v>1</v>
      </c>
      <c r="G92" s="36">
        <v>613.44000000000005</v>
      </c>
      <c r="H92" s="103">
        <f>G92*F92/1000</f>
        <v>0.6134400000000001</v>
      </c>
      <c r="I92" s="18">
        <f>G92</f>
        <v>613.44000000000005</v>
      </c>
    </row>
    <row r="93" spans="1:9" ht="15.75" customHeight="1">
      <c r="A93" s="29"/>
      <c r="B93" s="46" t="s">
        <v>51</v>
      </c>
      <c r="C93" s="42"/>
      <c r="D93" s="54"/>
      <c r="E93" s="42">
        <v>1</v>
      </c>
      <c r="F93" s="42"/>
      <c r="G93" s="42"/>
      <c r="H93" s="42"/>
      <c r="I93" s="31">
        <f>SUM(I89:I92)</f>
        <v>1241.8600000000001</v>
      </c>
    </row>
    <row r="94" spans="1:9" ht="15.75" customHeight="1">
      <c r="A94" s="29"/>
      <c r="B94" s="52" t="s">
        <v>78</v>
      </c>
      <c r="C94" s="15"/>
      <c r="D94" s="15"/>
      <c r="E94" s="43"/>
      <c r="F94" s="43"/>
      <c r="G94" s="44"/>
      <c r="H94" s="44"/>
      <c r="I94" s="17">
        <v>0</v>
      </c>
    </row>
    <row r="95" spans="1:9" ht="15.75" customHeight="1">
      <c r="A95" s="55"/>
      <c r="B95" s="47" t="s">
        <v>140</v>
      </c>
      <c r="C95" s="34"/>
      <c r="D95" s="34"/>
      <c r="E95" s="34"/>
      <c r="F95" s="34"/>
      <c r="G95" s="34"/>
      <c r="H95" s="34"/>
      <c r="I95" s="45">
        <f>I87+I93</f>
        <v>39833.608219999987</v>
      </c>
    </row>
    <row r="96" spans="1:9" ht="15.75">
      <c r="A96" s="135" t="s">
        <v>202</v>
      </c>
      <c r="B96" s="135"/>
      <c r="C96" s="135"/>
      <c r="D96" s="135"/>
      <c r="E96" s="135"/>
      <c r="F96" s="135"/>
      <c r="G96" s="135"/>
      <c r="H96" s="135"/>
      <c r="I96" s="135"/>
    </row>
    <row r="97" spans="1:9" ht="15.75">
      <c r="A97" s="61"/>
      <c r="B97" s="151" t="s">
        <v>203</v>
      </c>
      <c r="C97" s="151"/>
      <c r="D97" s="151"/>
      <c r="E97" s="151"/>
      <c r="F97" s="151"/>
      <c r="G97" s="151"/>
      <c r="H97" s="80"/>
      <c r="I97" s="3"/>
    </row>
    <row r="98" spans="1:9">
      <c r="A98" s="71"/>
      <c r="B98" s="147" t="s">
        <v>6</v>
      </c>
      <c r="C98" s="147"/>
      <c r="D98" s="147"/>
      <c r="E98" s="147"/>
      <c r="F98" s="147"/>
      <c r="G98" s="147"/>
      <c r="H98" s="24"/>
      <c r="I98" s="5"/>
    </row>
    <row r="99" spans="1:9">
      <c r="A99" s="10"/>
      <c r="B99" s="10"/>
      <c r="C99" s="10"/>
      <c r="D99" s="10"/>
      <c r="E99" s="10"/>
      <c r="F99" s="10"/>
      <c r="G99" s="10"/>
      <c r="H99" s="10"/>
      <c r="I99" s="10"/>
    </row>
    <row r="100" spans="1:9" ht="15.75">
      <c r="A100" s="155" t="s">
        <v>7</v>
      </c>
      <c r="B100" s="155"/>
      <c r="C100" s="155"/>
      <c r="D100" s="155"/>
      <c r="E100" s="155"/>
      <c r="F100" s="155"/>
      <c r="G100" s="155"/>
      <c r="H100" s="155"/>
      <c r="I100" s="155"/>
    </row>
    <row r="101" spans="1:9" ht="15.75">
      <c r="A101" s="155" t="s">
        <v>8</v>
      </c>
      <c r="B101" s="155"/>
      <c r="C101" s="155"/>
      <c r="D101" s="155"/>
      <c r="E101" s="155"/>
      <c r="F101" s="155"/>
      <c r="G101" s="155"/>
      <c r="H101" s="155"/>
      <c r="I101" s="155"/>
    </row>
    <row r="102" spans="1:9" ht="15.75">
      <c r="A102" s="152" t="s">
        <v>60</v>
      </c>
      <c r="B102" s="152"/>
      <c r="C102" s="152"/>
      <c r="D102" s="152"/>
      <c r="E102" s="152"/>
      <c r="F102" s="152"/>
      <c r="G102" s="152"/>
      <c r="H102" s="152"/>
      <c r="I102" s="152"/>
    </row>
    <row r="103" spans="1:9" ht="15.75">
      <c r="A103" s="11"/>
    </row>
    <row r="104" spans="1:9" ht="15.75">
      <c r="A104" s="153" t="s">
        <v>9</v>
      </c>
      <c r="B104" s="153"/>
      <c r="C104" s="153"/>
      <c r="D104" s="153"/>
      <c r="E104" s="153"/>
      <c r="F104" s="153"/>
      <c r="G104" s="153"/>
      <c r="H104" s="153"/>
      <c r="I104" s="153"/>
    </row>
    <row r="105" spans="1:9" ht="15.75">
      <c r="A105" s="4"/>
    </row>
    <row r="106" spans="1:9" ht="15.75">
      <c r="B106" s="70" t="s">
        <v>10</v>
      </c>
      <c r="C106" s="154" t="s">
        <v>87</v>
      </c>
      <c r="D106" s="154"/>
      <c r="E106" s="154"/>
      <c r="F106" s="78"/>
      <c r="I106" s="73"/>
    </row>
    <row r="107" spans="1:9">
      <c r="A107" s="71"/>
      <c r="C107" s="147" t="s">
        <v>11</v>
      </c>
      <c r="D107" s="147"/>
      <c r="E107" s="147"/>
      <c r="F107" s="24"/>
      <c r="I107" s="72" t="s">
        <v>12</v>
      </c>
    </row>
    <row r="108" spans="1:9" ht="15.75">
      <c r="A108" s="25"/>
      <c r="C108" s="12"/>
      <c r="D108" s="12"/>
      <c r="G108" s="12"/>
      <c r="H108" s="12"/>
    </row>
    <row r="109" spans="1:9" ht="15.75">
      <c r="B109" s="70" t="s">
        <v>13</v>
      </c>
      <c r="C109" s="149"/>
      <c r="D109" s="149"/>
      <c r="E109" s="149"/>
      <c r="F109" s="79"/>
      <c r="I109" s="73"/>
    </row>
    <row r="110" spans="1:9">
      <c r="A110" s="71"/>
      <c r="C110" s="136" t="s">
        <v>11</v>
      </c>
      <c r="D110" s="136"/>
      <c r="E110" s="136"/>
      <c r="F110" s="71"/>
      <c r="I110" s="72" t="s">
        <v>12</v>
      </c>
    </row>
    <row r="111" spans="1:9" ht="15.75">
      <c r="A111" s="4" t="s">
        <v>14</v>
      </c>
    </row>
    <row r="112" spans="1:9">
      <c r="A112" s="150" t="s">
        <v>15</v>
      </c>
      <c r="B112" s="150"/>
      <c r="C112" s="150"/>
      <c r="D112" s="150"/>
      <c r="E112" s="150"/>
      <c r="F112" s="150"/>
      <c r="G112" s="150"/>
      <c r="H112" s="150"/>
      <c r="I112" s="150"/>
    </row>
    <row r="113" spans="1:9" ht="45" customHeight="1">
      <c r="A113" s="148" t="s">
        <v>16</v>
      </c>
      <c r="B113" s="148"/>
      <c r="C113" s="148"/>
      <c r="D113" s="148"/>
      <c r="E113" s="148"/>
      <c r="F113" s="148"/>
      <c r="G113" s="148"/>
      <c r="H113" s="148"/>
      <c r="I113" s="148"/>
    </row>
    <row r="114" spans="1:9" ht="30" customHeight="1">
      <c r="A114" s="148" t="s">
        <v>17</v>
      </c>
      <c r="B114" s="148"/>
      <c r="C114" s="148"/>
      <c r="D114" s="148"/>
      <c r="E114" s="148"/>
      <c r="F114" s="148"/>
      <c r="G114" s="148"/>
      <c r="H114" s="148"/>
      <c r="I114" s="148"/>
    </row>
    <row r="115" spans="1:9" ht="30" customHeight="1">
      <c r="A115" s="148" t="s">
        <v>21</v>
      </c>
      <c r="B115" s="148"/>
      <c r="C115" s="148"/>
      <c r="D115" s="148"/>
      <c r="E115" s="148"/>
      <c r="F115" s="148"/>
      <c r="G115" s="148"/>
      <c r="H115" s="148"/>
      <c r="I115" s="148"/>
    </row>
    <row r="116" spans="1:9" ht="15.75">
      <c r="A116" s="148" t="s">
        <v>20</v>
      </c>
      <c r="B116" s="148"/>
      <c r="C116" s="148"/>
      <c r="D116" s="148"/>
      <c r="E116" s="148"/>
      <c r="F116" s="148"/>
      <c r="G116" s="148"/>
      <c r="H116" s="148"/>
      <c r="I116" s="148"/>
    </row>
  </sheetData>
  <autoFilter ref="I12:I65"/>
  <mergeCells count="29">
    <mergeCell ref="A14:I14"/>
    <mergeCell ref="A15:I15"/>
    <mergeCell ref="A29:I29"/>
    <mergeCell ref="A45:I45"/>
    <mergeCell ref="A57:I57"/>
    <mergeCell ref="A3:I3"/>
    <mergeCell ref="A4:I4"/>
    <mergeCell ref="A5:I5"/>
    <mergeCell ref="A8:I8"/>
    <mergeCell ref="A10:I10"/>
    <mergeCell ref="R70:U70"/>
    <mergeCell ref="C110:E110"/>
    <mergeCell ref="A88:I88"/>
    <mergeCell ref="A96:I96"/>
    <mergeCell ref="B97:G97"/>
    <mergeCell ref="B98:G98"/>
    <mergeCell ref="A100:I100"/>
    <mergeCell ref="A101:I101"/>
    <mergeCell ref="A102:I102"/>
    <mergeCell ref="A104:I104"/>
    <mergeCell ref="C106:E106"/>
    <mergeCell ref="C107:E107"/>
    <mergeCell ref="C109:E109"/>
    <mergeCell ref="A83:I83"/>
    <mergeCell ref="A112:I112"/>
    <mergeCell ref="A113:I113"/>
    <mergeCell ref="A114:I114"/>
    <mergeCell ref="A115:I115"/>
    <mergeCell ref="A116:I116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V120"/>
  <sheetViews>
    <sheetView topLeftCell="A63" workbookViewId="0">
      <selection activeCell="B101" sqref="B101:G101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8.85546875" hidden="1" customWidth="1"/>
    <col min="6" max="6" width="7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7" t="s">
        <v>82</v>
      </c>
      <c r="I1" s="26"/>
      <c r="J1" s="1"/>
      <c r="K1" s="1"/>
      <c r="L1" s="1"/>
      <c r="M1" s="1"/>
    </row>
    <row r="2" spans="1:13" ht="15.75" customHeight="1">
      <c r="A2" s="28" t="s">
        <v>61</v>
      </c>
      <c r="J2" s="2"/>
      <c r="K2" s="2"/>
      <c r="L2" s="2"/>
      <c r="M2" s="2"/>
    </row>
    <row r="3" spans="1:13" ht="15.75" customHeight="1">
      <c r="A3" s="137" t="s">
        <v>156</v>
      </c>
      <c r="B3" s="137"/>
      <c r="C3" s="137"/>
      <c r="D3" s="137"/>
      <c r="E3" s="137"/>
      <c r="F3" s="137"/>
      <c r="G3" s="137"/>
      <c r="H3" s="137"/>
      <c r="I3" s="137"/>
      <c r="J3" s="3"/>
      <c r="K3" s="3"/>
      <c r="L3" s="3"/>
    </row>
    <row r="4" spans="1:13" ht="31.5" customHeight="1">
      <c r="A4" s="138" t="s">
        <v>129</v>
      </c>
      <c r="B4" s="138"/>
      <c r="C4" s="138"/>
      <c r="D4" s="138"/>
      <c r="E4" s="138"/>
      <c r="F4" s="138"/>
      <c r="G4" s="138"/>
      <c r="H4" s="138"/>
      <c r="I4" s="138"/>
    </row>
    <row r="5" spans="1:13" ht="15.75" customHeight="1">
      <c r="A5" s="137" t="s">
        <v>172</v>
      </c>
      <c r="B5" s="141"/>
      <c r="C5" s="141"/>
      <c r="D5" s="141"/>
      <c r="E5" s="141"/>
      <c r="F5" s="141"/>
      <c r="G5" s="141"/>
      <c r="H5" s="141"/>
      <c r="I5" s="141"/>
      <c r="J5" s="2"/>
      <c r="K5" s="2"/>
      <c r="L5" s="2"/>
      <c r="M5" s="2"/>
    </row>
    <row r="6" spans="1:13" ht="15.75" customHeight="1">
      <c r="A6" s="2"/>
      <c r="B6" s="74"/>
      <c r="C6" s="74"/>
      <c r="D6" s="74"/>
      <c r="E6" s="74"/>
      <c r="F6" s="74"/>
      <c r="G6" s="74"/>
      <c r="H6" s="74"/>
      <c r="I6" s="30">
        <v>43220</v>
      </c>
      <c r="J6" s="2"/>
      <c r="K6" s="2"/>
      <c r="L6" s="2"/>
      <c r="M6" s="2"/>
    </row>
    <row r="7" spans="1:13" ht="15.75" customHeight="1">
      <c r="B7" s="70"/>
      <c r="C7" s="70"/>
      <c r="D7" s="70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139" t="s">
        <v>136</v>
      </c>
      <c r="B8" s="139"/>
      <c r="C8" s="139"/>
      <c r="D8" s="139"/>
      <c r="E8" s="139"/>
      <c r="F8" s="139"/>
      <c r="G8" s="139"/>
      <c r="H8" s="139"/>
      <c r="I8" s="139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140" t="s">
        <v>135</v>
      </c>
      <c r="B10" s="140"/>
      <c r="C10" s="140"/>
      <c r="D10" s="140"/>
      <c r="E10" s="140"/>
      <c r="F10" s="140"/>
      <c r="G10" s="140"/>
      <c r="H10" s="140"/>
      <c r="I10" s="140"/>
      <c r="J10" s="2"/>
      <c r="K10" s="2"/>
      <c r="L10" s="2"/>
      <c r="M10" s="2"/>
    </row>
    <row r="11" spans="1:13" ht="15.75">
      <c r="A11" s="4"/>
    </row>
    <row r="12" spans="1:13" ht="47.2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142" t="s">
        <v>58</v>
      </c>
      <c r="B14" s="142"/>
      <c r="C14" s="142"/>
      <c r="D14" s="142"/>
      <c r="E14" s="142"/>
      <c r="F14" s="142"/>
      <c r="G14" s="142"/>
      <c r="H14" s="142"/>
      <c r="I14" s="142"/>
      <c r="J14" s="8"/>
      <c r="K14" s="8"/>
      <c r="L14" s="8"/>
      <c r="M14" s="8"/>
    </row>
    <row r="15" spans="1:13" ht="15.75" customHeight="1">
      <c r="A15" s="143" t="s">
        <v>4</v>
      </c>
      <c r="B15" s="143"/>
      <c r="C15" s="143"/>
      <c r="D15" s="143"/>
      <c r="E15" s="143"/>
      <c r="F15" s="143"/>
      <c r="G15" s="143"/>
      <c r="H15" s="143"/>
      <c r="I15" s="143"/>
      <c r="J15" s="8"/>
      <c r="K15" s="8"/>
      <c r="L15" s="8"/>
      <c r="M15" s="8"/>
    </row>
    <row r="16" spans="1:13" ht="15.75" customHeight="1">
      <c r="A16" s="29">
        <v>1</v>
      </c>
      <c r="B16" s="82" t="s">
        <v>83</v>
      </c>
      <c r="C16" s="83" t="s">
        <v>92</v>
      </c>
      <c r="D16" s="82" t="s">
        <v>141</v>
      </c>
      <c r="E16" s="84">
        <v>54.2</v>
      </c>
      <c r="F16" s="85">
        <f>SUM(E16*156/100)</f>
        <v>84.552000000000007</v>
      </c>
      <c r="G16" s="85">
        <v>218.21</v>
      </c>
      <c r="H16" s="86">
        <f t="shared" ref="H16:H26" si="0">SUM(F16*G16/1000)</f>
        <v>18.450091920000002</v>
      </c>
      <c r="I16" s="13">
        <f>F16/12*G16</f>
        <v>1537.5076600000002</v>
      </c>
      <c r="J16" s="8"/>
      <c r="K16" s="8"/>
      <c r="L16" s="8"/>
      <c r="M16" s="8"/>
    </row>
    <row r="17" spans="1:13" ht="15.75" customHeight="1">
      <c r="A17" s="29">
        <v>2</v>
      </c>
      <c r="B17" s="82" t="s">
        <v>90</v>
      </c>
      <c r="C17" s="83" t="s">
        <v>92</v>
      </c>
      <c r="D17" s="82" t="s">
        <v>142</v>
      </c>
      <c r="E17" s="84">
        <v>108.5</v>
      </c>
      <c r="F17" s="85">
        <f>SUM(E17*104/100)</f>
        <v>112.84</v>
      </c>
      <c r="G17" s="85">
        <v>218.21</v>
      </c>
      <c r="H17" s="86">
        <f t="shared" si="0"/>
        <v>24.622816400000005</v>
      </c>
      <c r="I17" s="13">
        <f>F17/12*G17</f>
        <v>2051.9013666666669</v>
      </c>
      <c r="J17" s="22"/>
      <c r="K17" s="8"/>
      <c r="L17" s="8"/>
      <c r="M17" s="8"/>
    </row>
    <row r="18" spans="1:13" ht="15.75" customHeight="1">
      <c r="A18" s="29">
        <v>3</v>
      </c>
      <c r="B18" s="82" t="s">
        <v>91</v>
      </c>
      <c r="C18" s="83" t="s">
        <v>92</v>
      </c>
      <c r="D18" s="82" t="s">
        <v>143</v>
      </c>
      <c r="E18" s="84">
        <f>SUM(E16+E17)</f>
        <v>162.69999999999999</v>
      </c>
      <c r="F18" s="85">
        <f>SUM(E18*24/100)</f>
        <v>39.047999999999995</v>
      </c>
      <c r="G18" s="85">
        <v>627.77</v>
      </c>
      <c r="H18" s="86">
        <f t="shared" si="0"/>
        <v>24.513162959999995</v>
      </c>
      <c r="I18" s="13">
        <f>F18/12*G18</f>
        <v>2042.7635799999996</v>
      </c>
      <c r="J18" s="22"/>
      <c r="K18" s="8"/>
      <c r="L18" s="8"/>
      <c r="M18" s="8"/>
    </row>
    <row r="19" spans="1:13" ht="15.75" hidden="1" customHeight="1">
      <c r="A19" s="29">
        <v>4</v>
      </c>
      <c r="B19" s="82" t="s">
        <v>93</v>
      </c>
      <c r="C19" s="83" t="s">
        <v>88</v>
      </c>
      <c r="D19" s="82" t="s">
        <v>94</v>
      </c>
      <c r="E19" s="84">
        <v>15.3</v>
      </c>
      <c r="F19" s="85">
        <f>SUM(E19/10)</f>
        <v>1.53</v>
      </c>
      <c r="G19" s="85">
        <v>211.74</v>
      </c>
      <c r="H19" s="86">
        <f t="shared" si="0"/>
        <v>0.32396219999999998</v>
      </c>
      <c r="I19" s="13">
        <f>F19/2*G19</f>
        <v>161.9811</v>
      </c>
      <c r="J19" s="22"/>
      <c r="K19" s="8"/>
      <c r="L19" s="8"/>
      <c r="M19" s="8"/>
    </row>
    <row r="20" spans="1:13" ht="15.75" hidden="1" customHeight="1">
      <c r="A20" s="29">
        <v>5</v>
      </c>
      <c r="B20" s="82" t="s">
        <v>96</v>
      </c>
      <c r="C20" s="83" t="s">
        <v>92</v>
      </c>
      <c r="D20" s="82" t="s">
        <v>41</v>
      </c>
      <c r="E20" s="84">
        <v>19.62</v>
      </c>
      <c r="F20" s="85">
        <f>SUM(E20*2/100)</f>
        <v>0.39240000000000003</v>
      </c>
      <c r="G20" s="85">
        <v>271.12</v>
      </c>
      <c r="H20" s="86">
        <f t="shared" si="0"/>
        <v>0.106387488</v>
      </c>
      <c r="I20" s="13">
        <f>F20/2*G20</f>
        <v>53.193744000000002</v>
      </c>
      <c r="J20" s="22"/>
      <c r="K20" s="8"/>
      <c r="L20" s="8"/>
      <c r="M20" s="8"/>
    </row>
    <row r="21" spans="1:13" ht="15.75" hidden="1" customHeight="1">
      <c r="A21" s="29">
        <v>6</v>
      </c>
      <c r="B21" s="82" t="s">
        <v>97</v>
      </c>
      <c r="C21" s="83" t="s">
        <v>92</v>
      </c>
      <c r="D21" s="82" t="s">
        <v>41</v>
      </c>
      <c r="E21" s="84">
        <v>8.68</v>
      </c>
      <c r="F21" s="85">
        <f>SUM(E21*2/100)</f>
        <v>0.1736</v>
      </c>
      <c r="G21" s="85">
        <v>268.92</v>
      </c>
      <c r="H21" s="86">
        <f t="shared" si="0"/>
        <v>4.6684512000000004E-2</v>
      </c>
      <c r="I21" s="13">
        <f>F21/2*G21</f>
        <v>23.342256000000003</v>
      </c>
      <c r="J21" s="22"/>
      <c r="K21" s="8"/>
      <c r="L21" s="8"/>
      <c r="M21" s="8"/>
    </row>
    <row r="22" spans="1:13" ht="15.75" hidden="1" customHeight="1">
      <c r="A22" s="29">
        <v>7</v>
      </c>
      <c r="B22" s="82" t="s">
        <v>98</v>
      </c>
      <c r="C22" s="83" t="s">
        <v>52</v>
      </c>
      <c r="D22" s="82" t="s">
        <v>94</v>
      </c>
      <c r="E22" s="84">
        <v>215</v>
      </c>
      <c r="F22" s="85">
        <f>SUM(E22/100)</f>
        <v>2.15</v>
      </c>
      <c r="G22" s="85">
        <v>335.05</v>
      </c>
      <c r="H22" s="86">
        <f t="shared" si="0"/>
        <v>0.72035749999999998</v>
      </c>
      <c r="I22" s="13">
        <f>F22*G22</f>
        <v>720.35749999999996</v>
      </c>
      <c r="J22" s="22"/>
      <c r="K22" s="8"/>
      <c r="L22" s="8"/>
      <c r="M22" s="8"/>
    </row>
    <row r="23" spans="1:13" ht="15.75" hidden="1" customHeight="1">
      <c r="A23" s="29">
        <v>8</v>
      </c>
      <c r="B23" s="82" t="s">
        <v>99</v>
      </c>
      <c r="C23" s="83" t="s">
        <v>52</v>
      </c>
      <c r="D23" s="82" t="s">
        <v>94</v>
      </c>
      <c r="E23" s="87">
        <v>17.64</v>
      </c>
      <c r="F23" s="85">
        <f>SUM(E23/100)</f>
        <v>0.1764</v>
      </c>
      <c r="G23" s="85">
        <v>55.1</v>
      </c>
      <c r="H23" s="86">
        <f t="shared" si="0"/>
        <v>9.7196399999999999E-3</v>
      </c>
      <c r="I23" s="13">
        <f>F23*G23</f>
        <v>9.7196400000000001</v>
      </c>
      <c r="J23" s="22"/>
      <c r="K23" s="8"/>
      <c r="L23" s="8"/>
      <c r="M23" s="8"/>
    </row>
    <row r="24" spans="1:13" ht="15.75" hidden="1" customHeight="1">
      <c r="A24" s="29">
        <v>9</v>
      </c>
      <c r="B24" s="82" t="s">
        <v>95</v>
      </c>
      <c r="C24" s="83" t="s">
        <v>52</v>
      </c>
      <c r="D24" s="82" t="s">
        <v>94</v>
      </c>
      <c r="E24" s="18">
        <v>4.5</v>
      </c>
      <c r="F24" s="88">
        <v>0.05</v>
      </c>
      <c r="G24" s="85">
        <v>484.94</v>
      </c>
      <c r="H24" s="86">
        <f>F24*G24/1000</f>
        <v>2.4247000000000001E-2</v>
      </c>
      <c r="I24" s="13">
        <f>F24*G24</f>
        <v>24.247</v>
      </c>
      <c r="J24" s="22"/>
      <c r="K24" s="8"/>
      <c r="L24" s="8"/>
      <c r="M24" s="8"/>
    </row>
    <row r="25" spans="1:13" ht="15.75" hidden="1" customHeight="1">
      <c r="A25" s="29">
        <v>10</v>
      </c>
      <c r="B25" s="82" t="s">
        <v>130</v>
      </c>
      <c r="C25" s="83" t="s">
        <v>52</v>
      </c>
      <c r="D25" s="82" t="s">
        <v>94</v>
      </c>
      <c r="E25" s="87">
        <v>9.4499999999999993</v>
      </c>
      <c r="F25" s="85">
        <v>0.09</v>
      </c>
      <c r="G25" s="85">
        <v>268.92</v>
      </c>
      <c r="H25" s="86">
        <f>F25*G25/1000</f>
        <v>2.42028E-2</v>
      </c>
      <c r="I25" s="13">
        <f>F25*G25</f>
        <v>24.2028</v>
      </c>
      <c r="J25" s="22"/>
      <c r="K25" s="8"/>
      <c r="L25" s="8"/>
      <c r="M25" s="8"/>
    </row>
    <row r="26" spans="1:13" ht="15.75" hidden="1" customHeight="1">
      <c r="A26" s="29">
        <v>11</v>
      </c>
      <c r="B26" s="82" t="s">
        <v>100</v>
      </c>
      <c r="C26" s="83" t="s">
        <v>52</v>
      </c>
      <c r="D26" s="82" t="s">
        <v>94</v>
      </c>
      <c r="E26" s="84">
        <v>14.4</v>
      </c>
      <c r="F26" s="85">
        <f>SUM(E26/100)</f>
        <v>0.14400000000000002</v>
      </c>
      <c r="G26" s="85">
        <v>648.04999999999995</v>
      </c>
      <c r="H26" s="86">
        <f t="shared" si="0"/>
        <v>9.3319200000000005E-2</v>
      </c>
      <c r="I26" s="13">
        <f>F26*G26</f>
        <v>93.319200000000009</v>
      </c>
      <c r="J26" s="22"/>
      <c r="K26" s="8"/>
      <c r="L26" s="8"/>
      <c r="M26" s="8"/>
    </row>
    <row r="27" spans="1:13" ht="15.75" customHeight="1">
      <c r="A27" s="29">
        <v>4</v>
      </c>
      <c r="B27" s="82" t="s">
        <v>63</v>
      </c>
      <c r="C27" s="83" t="s">
        <v>31</v>
      </c>
      <c r="D27" s="82"/>
      <c r="E27" s="84">
        <v>0.1</v>
      </c>
      <c r="F27" s="85">
        <f>SUM(E27*365)</f>
        <v>36.5</v>
      </c>
      <c r="G27" s="85">
        <v>182.96</v>
      </c>
      <c r="H27" s="86">
        <f>SUM(F27*G27/1000)</f>
        <v>6.6780400000000002</v>
      </c>
      <c r="I27" s="13">
        <f>F27/12*G27</f>
        <v>556.50333333333333</v>
      </c>
      <c r="J27" s="22"/>
      <c r="K27" s="8"/>
      <c r="L27" s="8"/>
      <c r="M27" s="8"/>
    </row>
    <row r="28" spans="1:13" ht="15.75" customHeight="1">
      <c r="A28" s="29">
        <v>5</v>
      </c>
      <c r="B28" s="89" t="s">
        <v>23</v>
      </c>
      <c r="C28" s="83" t="s">
        <v>24</v>
      </c>
      <c r="D28" s="82"/>
      <c r="E28" s="84">
        <v>1839.1</v>
      </c>
      <c r="F28" s="85">
        <f>SUM(E28*12)</f>
        <v>22069.199999999997</v>
      </c>
      <c r="G28" s="85">
        <v>4.58</v>
      </c>
      <c r="H28" s="86">
        <f>SUM(F28*G28/1000)</f>
        <v>101.07693599999999</v>
      </c>
      <c r="I28" s="13">
        <f>F28/12*G28</f>
        <v>8423.0779999999995</v>
      </c>
      <c r="J28" s="22"/>
      <c r="K28" s="8"/>
      <c r="L28" s="8"/>
      <c r="M28" s="8"/>
    </row>
    <row r="29" spans="1:13" ht="15.75" customHeight="1">
      <c r="A29" s="143" t="s">
        <v>81</v>
      </c>
      <c r="B29" s="143"/>
      <c r="C29" s="143"/>
      <c r="D29" s="143"/>
      <c r="E29" s="143"/>
      <c r="F29" s="143"/>
      <c r="G29" s="143"/>
      <c r="H29" s="143"/>
      <c r="I29" s="143"/>
      <c r="J29" s="22"/>
      <c r="K29" s="8"/>
      <c r="L29" s="8"/>
      <c r="M29" s="8"/>
    </row>
    <row r="30" spans="1:13" ht="15.75" hidden="1" customHeight="1">
      <c r="A30" s="41"/>
      <c r="B30" s="51" t="s">
        <v>27</v>
      </c>
      <c r="C30" s="51"/>
      <c r="D30" s="51"/>
      <c r="E30" s="51"/>
      <c r="F30" s="51"/>
      <c r="G30" s="51"/>
      <c r="H30" s="51"/>
      <c r="I30" s="18"/>
      <c r="J30" s="22"/>
      <c r="K30" s="8"/>
      <c r="L30" s="8"/>
      <c r="M30" s="8"/>
    </row>
    <row r="31" spans="1:13" ht="15.75" hidden="1" customHeight="1">
      <c r="A31" s="41">
        <v>2</v>
      </c>
      <c r="B31" s="32" t="s">
        <v>101</v>
      </c>
      <c r="C31" s="83" t="s">
        <v>102</v>
      </c>
      <c r="D31" s="82" t="s">
        <v>103</v>
      </c>
      <c r="E31" s="85">
        <v>58</v>
      </c>
      <c r="F31" s="85">
        <f>SUM(E31*52/1000)</f>
        <v>3.016</v>
      </c>
      <c r="G31" s="85">
        <v>193.97</v>
      </c>
      <c r="H31" s="86">
        <f>SUM(F31*G31/1000)</f>
        <v>0.58501351999999995</v>
      </c>
      <c r="I31" s="13">
        <f>F31/6*G31</f>
        <v>97.502253333333343</v>
      </c>
      <c r="J31" s="22"/>
      <c r="K31" s="8"/>
      <c r="L31" s="8"/>
      <c r="M31" s="8"/>
    </row>
    <row r="32" spans="1:13" ht="31.5" hidden="1" customHeight="1">
      <c r="A32" s="41">
        <v>3</v>
      </c>
      <c r="B32" s="32" t="s">
        <v>104</v>
      </c>
      <c r="C32" s="83" t="s">
        <v>102</v>
      </c>
      <c r="D32" s="82" t="s">
        <v>105</v>
      </c>
      <c r="E32" s="85">
        <v>48.3</v>
      </c>
      <c r="F32" s="85">
        <f>SUM(E32*78/1000)</f>
        <v>3.7673999999999994</v>
      </c>
      <c r="G32" s="85">
        <v>321.82</v>
      </c>
      <c r="H32" s="86">
        <f>SUM(F32*G32/1000)</f>
        <v>1.2124246679999999</v>
      </c>
      <c r="I32" s="13">
        <f>F32/6*G32</f>
        <v>202.07077799999996</v>
      </c>
      <c r="J32" s="22"/>
      <c r="K32" s="8"/>
      <c r="L32" s="8"/>
      <c r="M32" s="8"/>
    </row>
    <row r="33" spans="1:14" ht="15.75" hidden="1" customHeight="1">
      <c r="A33" s="41">
        <v>4</v>
      </c>
      <c r="B33" s="32" t="s">
        <v>26</v>
      </c>
      <c r="C33" s="83" t="s">
        <v>102</v>
      </c>
      <c r="D33" s="82" t="s">
        <v>53</v>
      </c>
      <c r="E33" s="85">
        <v>58</v>
      </c>
      <c r="F33" s="85">
        <f>SUM(E33/1000)</f>
        <v>5.8000000000000003E-2</v>
      </c>
      <c r="G33" s="85">
        <v>3758.28</v>
      </c>
      <c r="H33" s="86">
        <f>SUM(F33*G33/1000)</f>
        <v>0.21798024000000002</v>
      </c>
      <c r="I33" s="13">
        <f>F33*G33</f>
        <v>217.98024000000001</v>
      </c>
      <c r="J33" s="22"/>
      <c r="K33" s="8"/>
      <c r="L33" s="8"/>
      <c r="M33" s="8"/>
    </row>
    <row r="34" spans="1:14" ht="15.75" hidden="1" customHeight="1">
      <c r="A34" s="41"/>
      <c r="B34" s="32" t="s">
        <v>106</v>
      </c>
      <c r="C34" s="83" t="s">
        <v>39</v>
      </c>
      <c r="D34" s="82" t="s">
        <v>62</v>
      </c>
      <c r="E34" s="85">
        <v>1</v>
      </c>
      <c r="F34" s="85">
        <f>E34*155/100</f>
        <v>1.55</v>
      </c>
      <c r="G34" s="85">
        <v>1620.15</v>
      </c>
      <c r="H34" s="86">
        <f>SUM(F34*G34/1000)</f>
        <v>2.5112325000000002</v>
      </c>
      <c r="I34" s="13">
        <f>F34/6*G34</f>
        <v>418.53875000000005</v>
      </c>
      <c r="J34" s="22"/>
      <c r="K34" s="8"/>
    </row>
    <row r="35" spans="1:14" ht="15.75" hidden="1" customHeight="1">
      <c r="A35" s="41">
        <v>5</v>
      </c>
      <c r="B35" s="32" t="s">
        <v>107</v>
      </c>
      <c r="C35" s="83" t="s">
        <v>29</v>
      </c>
      <c r="D35" s="82" t="s">
        <v>62</v>
      </c>
      <c r="E35" s="90">
        <f>1/3</f>
        <v>0.33333333333333331</v>
      </c>
      <c r="F35" s="85">
        <f>155/3</f>
        <v>51.666666666666664</v>
      </c>
      <c r="G35" s="85">
        <v>70.540000000000006</v>
      </c>
      <c r="H35" s="86">
        <f>SUM(G35*155/3/1000)</f>
        <v>3.644566666666667</v>
      </c>
      <c r="I35" s="13">
        <f>F35/6*G35</f>
        <v>607.42777777777781</v>
      </c>
      <c r="J35" s="23"/>
    </row>
    <row r="36" spans="1:14" ht="15.75" hidden="1" customHeight="1">
      <c r="A36" s="41">
        <v>4</v>
      </c>
      <c r="B36" s="82" t="s">
        <v>64</v>
      </c>
      <c r="C36" s="83" t="s">
        <v>31</v>
      </c>
      <c r="D36" s="82" t="s">
        <v>66</v>
      </c>
      <c r="E36" s="84"/>
      <c r="F36" s="85">
        <v>1</v>
      </c>
      <c r="G36" s="85">
        <v>238.07</v>
      </c>
      <c r="H36" s="86">
        <f>SUM(F36*G36/1000)</f>
        <v>0.23807</v>
      </c>
      <c r="I36" s="13">
        <v>0</v>
      </c>
      <c r="J36" s="23"/>
    </row>
    <row r="37" spans="1:14" ht="15.75" hidden="1" customHeight="1">
      <c r="A37" s="29">
        <v>8</v>
      </c>
      <c r="B37" s="82" t="s">
        <v>65</v>
      </c>
      <c r="C37" s="83" t="s">
        <v>30</v>
      </c>
      <c r="D37" s="82" t="s">
        <v>66</v>
      </c>
      <c r="E37" s="84"/>
      <c r="F37" s="85">
        <v>1</v>
      </c>
      <c r="G37" s="85">
        <v>1413.96</v>
      </c>
      <c r="H37" s="86">
        <f>SUM(F37*G37/1000)</f>
        <v>1.4139600000000001</v>
      </c>
      <c r="I37" s="13">
        <v>0</v>
      </c>
      <c r="J37" s="23"/>
    </row>
    <row r="38" spans="1:14" ht="15.75" customHeight="1">
      <c r="A38" s="41"/>
      <c r="B38" s="49" t="s">
        <v>5</v>
      </c>
      <c r="C38" s="49"/>
      <c r="D38" s="49"/>
      <c r="E38" s="13"/>
      <c r="F38" s="13"/>
      <c r="G38" s="14"/>
      <c r="H38" s="14"/>
      <c r="I38" s="18"/>
      <c r="J38" s="23"/>
    </row>
    <row r="39" spans="1:14" ht="15.75" customHeight="1">
      <c r="A39" s="33">
        <v>6</v>
      </c>
      <c r="B39" s="82" t="s">
        <v>25</v>
      </c>
      <c r="C39" s="83" t="s">
        <v>30</v>
      </c>
      <c r="D39" s="82"/>
      <c r="E39" s="84"/>
      <c r="F39" s="85">
        <v>2</v>
      </c>
      <c r="G39" s="85">
        <v>1900.37</v>
      </c>
      <c r="H39" s="86">
        <f t="shared" ref="H39:H44" si="1">SUM(F39*G39/1000)</f>
        <v>3.8007399999999998</v>
      </c>
      <c r="I39" s="13">
        <f t="shared" ref="I39:I42" si="2">F39/6*G39</f>
        <v>633.45666666666659</v>
      </c>
      <c r="J39" s="23"/>
    </row>
    <row r="40" spans="1:14" ht="15.75" customHeight="1">
      <c r="A40" s="33">
        <v>7</v>
      </c>
      <c r="B40" s="82" t="s">
        <v>67</v>
      </c>
      <c r="C40" s="83" t="s">
        <v>28</v>
      </c>
      <c r="D40" s="82" t="s">
        <v>108</v>
      </c>
      <c r="E40" s="85">
        <v>48.3</v>
      </c>
      <c r="F40" s="85">
        <f>SUM(E40*30/1000)</f>
        <v>1.4490000000000001</v>
      </c>
      <c r="G40" s="85">
        <v>2616.4899999999998</v>
      </c>
      <c r="H40" s="86">
        <f t="shared" si="1"/>
        <v>3.7912940100000001</v>
      </c>
      <c r="I40" s="13">
        <f t="shared" si="2"/>
        <v>631.88233500000001</v>
      </c>
      <c r="J40" s="23"/>
    </row>
    <row r="41" spans="1:14" ht="15.75" customHeight="1">
      <c r="A41" s="33">
        <v>8</v>
      </c>
      <c r="B41" s="82" t="s">
        <v>68</v>
      </c>
      <c r="C41" s="83" t="s">
        <v>28</v>
      </c>
      <c r="D41" s="82" t="s">
        <v>109</v>
      </c>
      <c r="E41" s="85">
        <v>48.3</v>
      </c>
      <c r="F41" s="85">
        <f>SUM(E41*155/1000)</f>
        <v>7.4865000000000004</v>
      </c>
      <c r="G41" s="85">
        <v>436.45</v>
      </c>
      <c r="H41" s="86">
        <f t="shared" si="1"/>
        <v>3.2674829250000004</v>
      </c>
      <c r="I41" s="13">
        <f t="shared" si="2"/>
        <v>544.5804875</v>
      </c>
      <c r="J41" s="23"/>
    </row>
    <row r="42" spans="1:14" ht="47.25" customHeight="1">
      <c r="A42" s="33">
        <v>9</v>
      </c>
      <c r="B42" s="82" t="s">
        <v>80</v>
      </c>
      <c r="C42" s="83" t="s">
        <v>102</v>
      </c>
      <c r="D42" s="82" t="s">
        <v>110</v>
      </c>
      <c r="E42" s="85">
        <f>E40</f>
        <v>48.3</v>
      </c>
      <c r="F42" s="85">
        <f>SUM(E42*35/1000)</f>
        <v>1.6904999999999999</v>
      </c>
      <c r="G42" s="85">
        <v>7221.21</v>
      </c>
      <c r="H42" s="86">
        <f t="shared" si="1"/>
        <v>12.207455505</v>
      </c>
      <c r="I42" s="13">
        <f t="shared" si="2"/>
        <v>2034.5759175000001</v>
      </c>
      <c r="J42" s="23"/>
      <c r="L42" s="19"/>
      <c r="M42" s="20"/>
      <c r="N42" s="21"/>
    </row>
    <row r="43" spans="1:14" ht="15.75" customHeight="1">
      <c r="A43" s="33">
        <v>10</v>
      </c>
      <c r="B43" s="82" t="s">
        <v>111</v>
      </c>
      <c r="C43" s="83" t="s">
        <v>102</v>
      </c>
      <c r="D43" s="82" t="s">
        <v>112</v>
      </c>
      <c r="E43" s="85">
        <f>E40</f>
        <v>48.3</v>
      </c>
      <c r="F43" s="85">
        <f>SUM(E43*20/1000)</f>
        <v>0.96599999999999997</v>
      </c>
      <c r="G43" s="85">
        <v>533.45000000000005</v>
      </c>
      <c r="H43" s="86">
        <f t="shared" si="1"/>
        <v>0.51531270000000007</v>
      </c>
      <c r="I43" s="13">
        <f>F43/7.5*1.5*G43</f>
        <v>103.06254</v>
      </c>
      <c r="J43" s="23"/>
      <c r="L43" s="19"/>
      <c r="M43" s="20"/>
      <c r="N43" s="21"/>
    </row>
    <row r="44" spans="1:14" ht="15.75" customHeight="1">
      <c r="A44" s="33">
        <v>11</v>
      </c>
      <c r="B44" s="82" t="s">
        <v>69</v>
      </c>
      <c r="C44" s="83" t="s">
        <v>31</v>
      </c>
      <c r="D44" s="82"/>
      <c r="E44" s="84"/>
      <c r="F44" s="85">
        <v>0.5</v>
      </c>
      <c r="G44" s="85">
        <v>992.97</v>
      </c>
      <c r="H44" s="86">
        <f t="shared" si="1"/>
        <v>0.49648500000000001</v>
      </c>
      <c r="I44" s="13">
        <f>F44/7.5*1.5*G44</f>
        <v>99.297000000000011</v>
      </c>
      <c r="J44" s="23"/>
      <c r="L44" s="19"/>
      <c r="M44" s="20"/>
      <c r="N44" s="21"/>
    </row>
    <row r="45" spans="1:14" ht="21" customHeight="1">
      <c r="A45" s="144" t="s">
        <v>137</v>
      </c>
      <c r="B45" s="145"/>
      <c r="C45" s="145"/>
      <c r="D45" s="145"/>
      <c r="E45" s="145"/>
      <c r="F45" s="145"/>
      <c r="G45" s="145"/>
      <c r="H45" s="145"/>
      <c r="I45" s="146"/>
      <c r="J45" s="23"/>
      <c r="L45" s="19"/>
      <c r="M45" s="20"/>
      <c r="N45" s="21"/>
    </row>
    <row r="46" spans="1:14" ht="30" hidden="1" customHeight="1">
      <c r="A46" s="41">
        <v>15</v>
      </c>
      <c r="B46" s="82" t="s">
        <v>113</v>
      </c>
      <c r="C46" s="83" t="s">
        <v>102</v>
      </c>
      <c r="D46" s="82" t="s">
        <v>41</v>
      </c>
      <c r="E46" s="84">
        <v>1044.7</v>
      </c>
      <c r="F46" s="85">
        <f>SUM(E46*2/1000)</f>
        <v>2.0893999999999999</v>
      </c>
      <c r="G46" s="13">
        <v>1283.46</v>
      </c>
      <c r="H46" s="86">
        <f t="shared" ref="H46:H56" si="3">SUM(F46*G46/1000)</f>
        <v>2.6816613240000002</v>
      </c>
      <c r="I46" s="13">
        <v>0</v>
      </c>
      <c r="J46" s="23"/>
      <c r="L46" s="19"/>
      <c r="M46" s="20"/>
      <c r="N46" s="21"/>
    </row>
    <row r="47" spans="1:14" ht="33" hidden="1" customHeight="1">
      <c r="A47" s="41"/>
      <c r="B47" s="82" t="s">
        <v>34</v>
      </c>
      <c r="C47" s="83" t="s">
        <v>102</v>
      </c>
      <c r="D47" s="82" t="s">
        <v>41</v>
      </c>
      <c r="E47" s="84">
        <v>19.8</v>
      </c>
      <c r="F47" s="85">
        <f>SUM(E47*2/1000)</f>
        <v>3.9600000000000003E-2</v>
      </c>
      <c r="G47" s="13">
        <v>4192.6400000000003</v>
      </c>
      <c r="H47" s="86">
        <f t="shared" si="3"/>
        <v>0.16602854400000003</v>
      </c>
      <c r="I47" s="13">
        <v>0</v>
      </c>
      <c r="J47" s="23"/>
      <c r="L47" s="19"/>
      <c r="M47" s="20"/>
      <c r="N47" s="21"/>
    </row>
    <row r="48" spans="1:14" ht="34.5" hidden="1" customHeight="1">
      <c r="A48" s="41">
        <v>16</v>
      </c>
      <c r="B48" s="82" t="s">
        <v>35</v>
      </c>
      <c r="C48" s="83" t="s">
        <v>102</v>
      </c>
      <c r="D48" s="82" t="s">
        <v>41</v>
      </c>
      <c r="E48" s="84">
        <v>660.84</v>
      </c>
      <c r="F48" s="85">
        <f>SUM(E48*2/1000)</f>
        <v>1.32168</v>
      </c>
      <c r="G48" s="13">
        <v>1711.28</v>
      </c>
      <c r="H48" s="86">
        <f t="shared" si="3"/>
        <v>2.2617645503999997</v>
      </c>
      <c r="I48" s="13">
        <v>0</v>
      </c>
      <c r="J48" s="23"/>
      <c r="L48" s="19"/>
      <c r="M48" s="20"/>
      <c r="N48" s="21"/>
    </row>
    <row r="49" spans="1:14" ht="37.5" hidden="1" customHeight="1">
      <c r="A49" s="41">
        <v>17</v>
      </c>
      <c r="B49" s="82" t="s">
        <v>36</v>
      </c>
      <c r="C49" s="83" t="s">
        <v>102</v>
      </c>
      <c r="D49" s="82" t="s">
        <v>41</v>
      </c>
      <c r="E49" s="84">
        <v>1156.21</v>
      </c>
      <c r="F49" s="85">
        <f>SUM(E49*2/1000)</f>
        <v>2.3124199999999999</v>
      </c>
      <c r="G49" s="13">
        <v>1179.73</v>
      </c>
      <c r="H49" s="86">
        <f t="shared" si="3"/>
        <v>2.7280312466000001</v>
      </c>
      <c r="I49" s="13">
        <v>0</v>
      </c>
      <c r="J49" s="23"/>
      <c r="L49" s="19"/>
      <c r="M49" s="20"/>
      <c r="N49" s="21"/>
    </row>
    <row r="50" spans="1:14" ht="36" hidden="1" customHeight="1">
      <c r="A50" s="41">
        <v>18</v>
      </c>
      <c r="B50" s="82" t="s">
        <v>32</v>
      </c>
      <c r="C50" s="83" t="s">
        <v>33</v>
      </c>
      <c r="D50" s="82" t="s">
        <v>144</v>
      </c>
      <c r="E50" s="84">
        <v>17.2</v>
      </c>
      <c r="F50" s="85">
        <f>SUM(E50*2/100)</f>
        <v>0.34399999999999997</v>
      </c>
      <c r="G50" s="13">
        <v>90.61</v>
      </c>
      <c r="H50" s="86">
        <f t="shared" si="3"/>
        <v>3.1169839999999997E-2</v>
      </c>
      <c r="I50" s="13">
        <v>0</v>
      </c>
      <c r="J50" s="23"/>
      <c r="L50" s="19"/>
      <c r="M50" s="20"/>
      <c r="N50" s="21"/>
    </row>
    <row r="51" spans="1:14" ht="36.75" hidden="1" customHeight="1">
      <c r="A51" s="41">
        <v>12</v>
      </c>
      <c r="B51" s="82" t="s">
        <v>55</v>
      </c>
      <c r="C51" s="83" t="s">
        <v>102</v>
      </c>
      <c r="D51" s="82" t="s">
        <v>146</v>
      </c>
      <c r="E51" s="84">
        <v>1839.1</v>
      </c>
      <c r="F51" s="85">
        <f>SUM(E51*5/1000)</f>
        <v>9.1954999999999991</v>
      </c>
      <c r="G51" s="13">
        <v>1711.28</v>
      </c>
      <c r="H51" s="86">
        <f t="shared" si="3"/>
        <v>15.736075239999998</v>
      </c>
      <c r="I51" s="13">
        <f>F51/5*G51</f>
        <v>3147.2150479999996</v>
      </c>
      <c r="J51" s="23"/>
      <c r="L51" s="19"/>
      <c r="M51" s="20"/>
      <c r="N51" s="21"/>
    </row>
    <row r="52" spans="1:14" ht="36.75" customHeight="1">
      <c r="A52" s="41">
        <v>12</v>
      </c>
      <c r="B52" s="82" t="s">
        <v>114</v>
      </c>
      <c r="C52" s="83" t="s">
        <v>102</v>
      </c>
      <c r="D52" s="82" t="s">
        <v>41</v>
      </c>
      <c r="E52" s="84">
        <f>E51</f>
        <v>1839.1</v>
      </c>
      <c r="F52" s="85">
        <f>SUM(E52*2/1000)</f>
        <v>3.6781999999999999</v>
      </c>
      <c r="G52" s="13">
        <v>1510.06</v>
      </c>
      <c r="H52" s="86">
        <f t="shared" si="3"/>
        <v>5.5543026919999994</v>
      </c>
      <c r="I52" s="13">
        <f>F52/2*G52</f>
        <v>2777.1513459999996</v>
      </c>
      <c r="J52" s="23"/>
      <c r="L52" s="19"/>
      <c r="M52" s="20"/>
      <c r="N52" s="21"/>
    </row>
    <row r="53" spans="1:14" ht="33" customHeight="1">
      <c r="A53" s="41">
        <v>13</v>
      </c>
      <c r="B53" s="82" t="s">
        <v>115</v>
      </c>
      <c r="C53" s="83" t="s">
        <v>37</v>
      </c>
      <c r="D53" s="82" t="s">
        <v>41</v>
      </c>
      <c r="E53" s="84">
        <v>9</v>
      </c>
      <c r="F53" s="85">
        <f>SUM(E53*2/100)</f>
        <v>0.18</v>
      </c>
      <c r="G53" s="13">
        <v>3850.4</v>
      </c>
      <c r="H53" s="86">
        <f t="shared" si="3"/>
        <v>0.69307200000000002</v>
      </c>
      <c r="I53" s="13">
        <f>F53/2*G53</f>
        <v>346.536</v>
      </c>
      <c r="J53" s="23"/>
      <c r="L53" s="19"/>
      <c r="M53" s="20"/>
      <c r="N53" s="21"/>
    </row>
    <row r="54" spans="1:14" ht="24.75" customHeight="1">
      <c r="A54" s="41">
        <v>14</v>
      </c>
      <c r="B54" s="82" t="s">
        <v>38</v>
      </c>
      <c r="C54" s="83" t="s">
        <v>39</v>
      </c>
      <c r="D54" s="82" t="s">
        <v>41</v>
      </c>
      <c r="E54" s="84">
        <v>1</v>
      </c>
      <c r="F54" s="85">
        <v>0.02</v>
      </c>
      <c r="G54" s="13">
        <v>7033.13</v>
      </c>
      <c r="H54" s="86">
        <f t="shared" si="3"/>
        <v>0.1406626</v>
      </c>
      <c r="I54" s="13">
        <f>F54/2*G54</f>
        <v>70.331299999999999</v>
      </c>
      <c r="J54" s="23"/>
      <c r="L54" s="19"/>
      <c r="M54" s="20"/>
      <c r="N54" s="21"/>
    </row>
    <row r="55" spans="1:14" ht="26.25" hidden="1" customHeight="1">
      <c r="A55" s="41">
        <v>13</v>
      </c>
      <c r="B55" s="82" t="s">
        <v>145</v>
      </c>
      <c r="C55" s="83" t="s">
        <v>29</v>
      </c>
      <c r="D55" s="82" t="s">
        <v>70</v>
      </c>
      <c r="E55" s="84">
        <v>36</v>
      </c>
      <c r="F55" s="85">
        <f>E55*3</f>
        <v>108</v>
      </c>
      <c r="G55" s="13">
        <v>175.6</v>
      </c>
      <c r="H55" s="86">
        <f t="shared" si="3"/>
        <v>18.9648</v>
      </c>
      <c r="I55" s="13">
        <f>E55*G55</f>
        <v>6321.5999999999995</v>
      </c>
      <c r="J55" s="23"/>
      <c r="L55" s="19"/>
      <c r="M55" s="20"/>
      <c r="N55" s="21"/>
    </row>
    <row r="56" spans="1:14" ht="20.25" hidden="1" customHeight="1">
      <c r="A56" s="41">
        <v>14</v>
      </c>
      <c r="B56" s="82" t="s">
        <v>40</v>
      </c>
      <c r="C56" s="83" t="s">
        <v>29</v>
      </c>
      <c r="D56" s="82" t="s">
        <v>70</v>
      </c>
      <c r="E56" s="84">
        <v>36</v>
      </c>
      <c r="F56" s="85">
        <f>E56*3</f>
        <v>108</v>
      </c>
      <c r="G56" s="13">
        <v>81.73</v>
      </c>
      <c r="H56" s="86">
        <f t="shared" si="3"/>
        <v>8.8268400000000007</v>
      </c>
      <c r="I56" s="13">
        <f>E56*G56</f>
        <v>2942.28</v>
      </c>
      <c r="J56" s="23"/>
      <c r="L56" s="19"/>
      <c r="M56" s="20"/>
      <c r="N56" s="21"/>
    </row>
    <row r="57" spans="1:14" ht="15.75" customHeight="1">
      <c r="A57" s="144" t="s">
        <v>154</v>
      </c>
      <c r="B57" s="145"/>
      <c r="C57" s="145"/>
      <c r="D57" s="145"/>
      <c r="E57" s="145"/>
      <c r="F57" s="145"/>
      <c r="G57" s="145"/>
      <c r="H57" s="145"/>
      <c r="I57" s="146"/>
      <c r="J57" s="23"/>
      <c r="L57" s="19"/>
      <c r="M57" s="20"/>
      <c r="N57" s="21"/>
    </row>
    <row r="58" spans="1:14" ht="15.75" customHeight="1">
      <c r="A58" s="81"/>
      <c r="B58" s="48" t="s">
        <v>42</v>
      </c>
      <c r="C58" s="16"/>
      <c r="D58" s="15"/>
      <c r="E58" s="15"/>
      <c r="F58" s="15"/>
      <c r="G58" s="29"/>
      <c r="H58" s="29"/>
      <c r="I58" s="18"/>
      <c r="J58" s="23"/>
      <c r="L58" s="19"/>
      <c r="M58" s="20"/>
      <c r="N58" s="21"/>
    </row>
    <row r="59" spans="1:14" ht="31.5" customHeight="1">
      <c r="A59" s="41">
        <v>15</v>
      </c>
      <c r="B59" s="82" t="s">
        <v>117</v>
      </c>
      <c r="C59" s="83" t="s">
        <v>147</v>
      </c>
      <c r="D59" s="82" t="s">
        <v>71</v>
      </c>
      <c r="E59" s="84">
        <v>12.5</v>
      </c>
      <c r="F59" s="85">
        <f>E59*6/100</f>
        <v>0.75</v>
      </c>
      <c r="G59" s="91">
        <v>2306.62</v>
      </c>
      <c r="H59" s="86">
        <f>F59*G59/1000</f>
        <v>1.729965</v>
      </c>
      <c r="I59" s="13">
        <f>G59*0.651</f>
        <v>1501.6096199999999</v>
      </c>
      <c r="J59" s="23"/>
      <c r="L59" s="19"/>
      <c r="M59" s="20"/>
      <c r="N59" s="21"/>
    </row>
    <row r="60" spans="1:14" ht="15.75" customHeight="1">
      <c r="A60" s="41">
        <v>16</v>
      </c>
      <c r="B60" s="92" t="s">
        <v>84</v>
      </c>
      <c r="C60" s="93" t="s">
        <v>118</v>
      </c>
      <c r="D60" s="37" t="s">
        <v>66</v>
      </c>
      <c r="E60" s="94"/>
      <c r="F60" s="95">
        <v>2</v>
      </c>
      <c r="G60" s="96">
        <v>1501</v>
      </c>
      <c r="H60" s="86">
        <f>F60*G60/1000</f>
        <v>3.0019999999999998</v>
      </c>
      <c r="I60" s="13">
        <f>G60</f>
        <v>1501</v>
      </c>
      <c r="J60" s="23"/>
      <c r="L60" s="19"/>
      <c r="M60" s="20"/>
      <c r="N60" s="21"/>
    </row>
    <row r="61" spans="1:14" ht="15.75" hidden="1" customHeight="1">
      <c r="A61" s="41"/>
      <c r="B61" s="75" t="s">
        <v>43</v>
      </c>
      <c r="C61" s="75"/>
      <c r="D61" s="75"/>
      <c r="E61" s="75"/>
      <c r="F61" s="76"/>
      <c r="G61" s="63"/>
      <c r="H61" s="63"/>
      <c r="I61" s="35"/>
      <c r="J61" s="23"/>
      <c r="L61" s="19"/>
      <c r="M61" s="20"/>
      <c r="N61" s="21"/>
    </row>
    <row r="62" spans="1:14" ht="15.75" hidden="1" customHeight="1">
      <c r="A62" s="41">
        <v>27</v>
      </c>
      <c r="B62" s="92" t="s">
        <v>44</v>
      </c>
      <c r="C62" s="93" t="s">
        <v>52</v>
      </c>
      <c r="D62" s="92" t="s">
        <v>53</v>
      </c>
      <c r="E62" s="94">
        <v>164</v>
      </c>
      <c r="F62" s="95">
        <f>E62/100</f>
        <v>1.64</v>
      </c>
      <c r="G62" s="96">
        <v>987.51</v>
      </c>
      <c r="H62" s="97">
        <f>G62*F62/1000</f>
        <v>1.6195164</v>
      </c>
      <c r="I62" s="13">
        <v>0</v>
      </c>
      <c r="J62" s="23"/>
      <c r="L62" s="19"/>
      <c r="M62" s="20"/>
      <c r="N62" s="21"/>
    </row>
    <row r="63" spans="1:14" ht="15.75" customHeight="1">
      <c r="A63" s="41"/>
      <c r="B63" s="75" t="s">
        <v>45</v>
      </c>
      <c r="C63" s="16"/>
      <c r="D63" s="37"/>
      <c r="E63" s="15"/>
      <c r="F63" s="77"/>
      <c r="G63" s="64"/>
      <c r="H63" s="63"/>
      <c r="I63" s="18"/>
      <c r="J63" s="23"/>
      <c r="L63" s="19"/>
    </row>
    <row r="64" spans="1:14" ht="15.75" hidden="1" customHeight="1">
      <c r="A64" s="41">
        <v>17</v>
      </c>
      <c r="B64" s="98" t="s">
        <v>46</v>
      </c>
      <c r="C64" s="16" t="s">
        <v>116</v>
      </c>
      <c r="D64" s="98" t="s">
        <v>66</v>
      </c>
      <c r="E64" s="18">
        <v>1</v>
      </c>
      <c r="F64" s="85">
        <f>E64</f>
        <v>1</v>
      </c>
      <c r="G64" s="13">
        <v>276.74</v>
      </c>
      <c r="H64" s="99">
        <f t="shared" ref="H64:H72" si="4">SUM(F64*G64/1000)</f>
        <v>0.27673999999999999</v>
      </c>
      <c r="I64" s="13">
        <v>0</v>
      </c>
    </row>
    <row r="65" spans="1:22" ht="15.75" hidden="1" customHeight="1">
      <c r="A65" s="29">
        <v>29</v>
      </c>
      <c r="B65" s="98" t="s">
        <v>47</v>
      </c>
      <c r="C65" s="16" t="s">
        <v>116</v>
      </c>
      <c r="D65" s="98" t="s">
        <v>66</v>
      </c>
      <c r="E65" s="18">
        <v>3</v>
      </c>
      <c r="F65" s="85">
        <v>3</v>
      </c>
      <c r="G65" s="13">
        <v>94.89</v>
      </c>
      <c r="H65" s="99">
        <f t="shared" si="4"/>
        <v>0.28467000000000003</v>
      </c>
      <c r="I65" s="13">
        <v>0</v>
      </c>
    </row>
    <row r="66" spans="1:22" ht="15.75" hidden="1" customHeight="1">
      <c r="A66" s="29">
        <v>8</v>
      </c>
      <c r="B66" s="98" t="s">
        <v>48</v>
      </c>
      <c r="C66" s="16" t="s">
        <v>119</v>
      </c>
      <c r="D66" s="98" t="s">
        <v>53</v>
      </c>
      <c r="E66" s="84">
        <v>7265</v>
      </c>
      <c r="F66" s="13">
        <f>SUM(E66/100)</f>
        <v>72.650000000000006</v>
      </c>
      <c r="G66" s="13">
        <v>263.99</v>
      </c>
      <c r="H66" s="99">
        <f t="shared" si="4"/>
        <v>19.178873500000002</v>
      </c>
      <c r="I66" s="13">
        <v>0</v>
      </c>
    </row>
    <row r="67" spans="1:22" ht="15.75" hidden="1" customHeight="1">
      <c r="A67" s="29">
        <v>9</v>
      </c>
      <c r="B67" s="98" t="s">
        <v>49</v>
      </c>
      <c r="C67" s="16" t="s">
        <v>120</v>
      </c>
      <c r="D67" s="98" t="s">
        <v>53</v>
      </c>
      <c r="E67" s="84">
        <f>E66</f>
        <v>7265</v>
      </c>
      <c r="F67" s="13">
        <f>SUM(E67/1000)</f>
        <v>7.2649999999999997</v>
      </c>
      <c r="G67" s="13">
        <v>205.57</v>
      </c>
      <c r="H67" s="99">
        <f t="shared" si="4"/>
        <v>1.4934660500000001</v>
      </c>
      <c r="I67" s="13">
        <v>0</v>
      </c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9"/>
    </row>
    <row r="68" spans="1:22" ht="15.75" hidden="1" customHeight="1">
      <c r="A68" s="29">
        <v>10</v>
      </c>
      <c r="B68" s="98" t="s">
        <v>50</v>
      </c>
      <c r="C68" s="16" t="s">
        <v>76</v>
      </c>
      <c r="D68" s="98" t="s">
        <v>53</v>
      </c>
      <c r="E68" s="84">
        <v>1090</v>
      </c>
      <c r="F68" s="13">
        <f>SUM(E68/100)</f>
        <v>10.9</v>
      </c>
      <c r="G68" s="13">
        <v>2581.5300000000002</v>
      </c>
      <c r="H68" s="99">
        <f t="shared" si="4"/>
        <v>28.138677000000005</v>
      </c>
      <c r="I68" s="13">
        <v>0</v>
      </c>
      <c r="J68" s="25"/>
      <c r="K68" s="25"/>
      <c r="L68" s="3"/>
      <c r="M68" s="3"/>
      <c r="N68" s="3"/>
      <c r="O68" s="3"/>
      <c r="P68" s="3"/>
      <c r="Q68" s="3"/>
      <c r="R68" s="3"/>
      <c r="S68" s="3"/>
      <c r="T68" s="3"/>
      <c r="U68" s="3"/>
    </row>
    <row r="69" spans="1:22" ht="15.75" hidden="1" customHeight="1">
      <c r="A69" s="29">
        <v>11</v>
      </c>
      <c r="B69" s="100" t="s">
        <v>121</v>
      </c>
      <c r="C69" s="16" t="s">
        <v>31</v>
      </c>
      <c r="D69" s="98"/>
      <c r="E69" s="84">
        <v>7.6</v>
      </c>
      <c r="F69" s="13">
        <f>SUM(E69)</f>
        <v>7.6</v>
      </c>
      <c r="G69" s="13">
        <v>47.45</v>
      </c>
      <c r="H69" s="99">
        <f t="shared" si="4"/>
        <v>0.36062</v>
      </c>
      <c r="I69" s="13">
        <v>0</v>
      </c>
      <c r="J69" s="3"/>
      <c r="K69" s="3"/>
      <c r="L69" s="3"/>
      <c r="M69" s="3"/>
      <c r="N69" s="3"/>
      <c r="O69" s="3"/>
      <c r="P69" s="3"/>
      <c r="Q69" s="3"/>
      <c r="S69" s="3"/>
      <c r="T69" s="3"/>
      <c r="U69" s="3"/>
    </row>
    <row r="70" spans="1:22" ht="15.75" hidden="1" customHeight="1">
      <c r="A70" s="29">
        <v>12</v>
      </c>
      <c r="B70" s="100" t="s">
        <v>148</v>
      </c>
      <c r="C70" s="16" t="s">
        <v>31</v>
      </c>
      <c r="D70" s="98"/>
      <c r="E70" s="84">
        <f>E69</f>
        <v>7.6</v>
      </c>
      <c r="F70" s="13">
        <f>SUM(E70)</f>
        <v>7.6</v>
      </c>
      <c r="G70" s="13">
        <v>44.27</v>
      </c>
      <c r="H70" s="99">
        <f t="shared" si="4"/>
        <v>0.33645199999999997</v>
      </c>
      <c r="I70" s="13">
        <v>0</v>
      </c>
      <c r="J70" s="5"/>
      <c r="K70" s="5"/>
      <c r="L70" s="5"/>
      <c r="M70" s="5"/>
      <c r="N70" s="5"/>
      <c r="O70" s="5"/>
      <c r="P70" s="5"/>
      <c r="Q70" s="5"/>
      <c r="R70" s="136"/>
      <c r="S70" s="136"/>
      <c r="T70" s="136"/>
      <c r="U70" s="136"/>
    </row>
    <row r="71" spans="1:22" ht="15.75" hidden="1" customHeight="1">
      <c r="A71" s="29">
        <v>13</v>
      </c>
      <c r="B71" s="98" t="s">
        <v>56</v>
      </c>
      <c r="C71" s="16" t="s">
        <v>57</v>
      </c>
      <c r="D71" s="98" t="s">
        <v>53</v>
      </c>
      <c r="E71" s="18">
        <v>2</v>
      </c>
      <c r="F71" s="85">
        <f>SUM(E71)</f>
        <v>2</v>
      </c>
      <c r="G71" s="13">
        <v>62.07</v>
      </c>
      <c r="H71" s="99">
        <f t="shared" si="4"/>
        <v>0.12414</v>
      </c>
      <c r="I71" s="13">
        <v>0</v>
      </c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</row>
    <row r="72" spans="1:22" ht="15.75" customHeight="1">
      <c r="A72" s="29">
        <v>17</v>
      </c>
      <c r="B72" s="98" t="s">
        <v>85</v>
      </c>
      <c r="C72" s="41" t="s">
        <v>131</v>
      </c>
      <c r="D72" s="37" t="s">
        <v>66</v>
      </c>
      <c r="E72" s="17">
        <v>1839.1</v>
      </c>
      <c r="F72" s="101">
        <f>SUM(E72*12)</f>
        <v>22069.199999999997</v>
      </c>
      <c r="G72" s="13">
        <v>2.16</v>
      </c>
      <c r="H72" s="99">
        <f t="shared" si="4"/>
        <v>47.669471999999992</v>
      </c>
      <c r="I72" s="13">
        <f>F72/12*G72</f>
        <v>3972.4559999999997</v>
      </c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</row>
    <row r="73" spans="1:22" ht="15.75" hidden="1" customHeight="1">
      <c r="A73" s="29"/>
      <c r="B73" s="49" t="s">
        <v>72</v>
      </c>
      <c r="C73" s="49"/>
      <c r="D73" s="49"/>
      <c r="E73" s="18"/>
      <c r="F73" s="18"/>
      <c r="G73" s="29"/>
      <c r="H73" s="29"/>
      <c r="I73" s="18"/>
    </row>
    <row r="74" spans="1:22" ht="15.75" hidden="1" customHeight="1">
      <c r="A74" s="29"/>
      <c r="B74" s="98" t="s">
        <v>123</v>
      </c>
      <c r="C74" s="16" t="s">
        <v>124</v>
      </c>
      <c r="D74" s="98" t="s">
        <v>66</v>
      </c>
      <c r="E74" s="18">
        <v>1</v>
      </c>
      <c r="F74" s="13">
        <f>E74</f>
        <v>1</v>
      </c>
      <c r="G74" s="13">
        <v>976.4</v>
      </c>
      <c r="H74" s="99">
        <f t="shared" ref="H74:H78" si="5">SUM(F74*G74/1000)</f>
        <v>0.97639999999999993</v>
      </c>
      <c r="I74" s="13">
        <v>0</v>
      </c>
    </row>
    <row r="75" spans="1:22" ht="15.75" hidden="1" customHeight="1">
      <c r="A75" s="29"/>
      <c r="B75" s="98" t="s">
        <v>125</v>
      </c>
      <c r="C75" s="16" t="s">
        <v>126</v>
      </c>
      <c r="D75" s="98"/>
      <c r="E75" s="18">
        <v>1</v>
      </c>
      <c r="F75" s="13">
        <v>1</v>
      </c>
      <c r="G75" s="13">
        <v>650</v>
      </c>
      <c r="H75" s="99">
        <f t="shared" si="5"/>
        <v>0.65</v>
      </c>
      <c r="I75" s="13">
        <v>0</v>
      </c>
    </row>
    <row r="76" spans="1:22" ht="15.75" hidden="1" customHeight="1">
      <c r="A76" s="29"/>
      <c r="B76" s="98" t="s">
        <v>73</v>
      </c>
      <c r="C76" s="16" t="s">
        <v>149</v>
      </c>
      <c r="D76" s="98" t="s">
        <v>66</v>
      </c>
      <c r="E76" s="18">
        <v>3</v>
      </c>
      <c r="F76" s="13">
        <f>E76/10</f>
        <v>0.3</v>
      </c>
      <c r="G76" s="13">
        <v>624.16999999999996</v>
      </c>
      <c r="H76" s="99">
        <f t="shared" si="5"/>
        <v>0.18725099999999997</v>
      </c>
      <c r="I76" s="13">
        <v>0</v>
      </c>
    </row>
    <row r="77" spans="1:22" ht="15.75" hidden="1" customHeight="1">
      <c r="A77" s="29"/>
      <c r="B77" s="98" t="s">
        <v>74</v>
      </c>
      <c r="C77" s="16" t="s">
        <v>29</v>
      </c>
      <c r="D77" s="98" t="s">
        <v>66</v>
      </c>
      <c r="E77" s="18">
        <v>1</v>
      </c>
      <c r="F77" s="13">
        <v>1</v>
      </c>
      <c r="G77" s="13">
        <v>1061.4100000000001</v>
      </c>
      <c r="H77" s="99">
        <f t="shared" si="5"/>
        <v>1.0614100000000002</v>
      </c>
      <c r="I77" s="13">
        <v>0</v>
      </c>
    </row>
    <row r="78" spans="1:22" ht="15.75" hidden="1" customHeight="1">
      <c r="A78" s="29">
        <v>17</v>
      </c>
      <c r="B78" s="98" t="s">
        <v>86</v>
      </c>
      <c r="C78" s="16" t="s">
        <v>29</v>
      </c>
      <c r="D78" s="98" t="s">
        <v>66</v>
      </c>
      <c r="E78" s="18">
        <v>1</v>
      </c>
      <c r="F78" s="85">
        <f>SUM(E78)</f>
        <v>1</v>
      </c>
      <c r="G78" s="13">
        <v>446.12</v>
      </c>
      <c r="H78" s="99">
        <f t="shared" si="5"/>
        <v>0.44612000000000002</v>
      </c>
      <c r="I78" s="13">
        <f>G78</f>
        <v>446.12</v>
      </c>
    </row>
    <row r="79" spans="1:22" ht="15.75" hidden="1" customHeight="1">
      <c r="A79" s="29"/>
      <c r="B79" s="50" t="s">
        <v>75</v>
      </c>
      <c r="C79" s="38"/>
      <c r="D79" s="29"/>
      <c r="E79" s="18"/>
      <c r="F79" s="18"/>
      <c r="G79" s="36"/>
      <c r="H79" s="36"/>
      <c r="I79" s="18"/>
    </row>
    <row r="80" spans="1:22" ht="15.75" hidden="1" customHeight="1">
      <c r="A80" s="29">
        <v>39</v>
      </c>
      <c r="B80" s="39" t="s">
        <v>127</v>
      </c>
      <c r="C80" s="16" t="s">
        <v>76</v>
      </c>
      <c r="D80" s="98"/>
      <c r="E80" s="18"/>
      <c r="F80" s="13">
        <v>1.3</v>
      </c>
      <c r="G80" s="13">
        <v>3433.68</v>
      </c>
      <c r="H80" s="99">
        <f t="shared" ref="H80" si="6">SUM(F80*G80/1000)</f>
        <v>4.4637839999999995</v>
      </c>
      <c r="I80" s="13">
        <v>0</v>
      </c>
    </row>
    <row r="81" spans="1:9" ht="15.75" hidden="1" customHeight="1">
      <c r="A81" s="81"/>
      <c r="B81" s="75" t="s">
        <v>122</v>
      </c>
      <c r="C81" s="75"/>
      <c r="D81" s="75"/>
      <c r="E81" s="75"/>
      <c r="F81" s="75"/>
      <c r="G81" s="75"/>
      <c r="H81" s="75"/>
      <c r="I81" s="18"/>
    </row>
    <row r="82" spans="1:9" ht="15.75" hidden="1" customHeight="1">
      <c r="A82" s="119">
        <v>15</v>
      </c>
      <c r="B82" s="92" t="s">
        <v>89</v>
      </c>
      <c r="C82" s="120"/>
      <c r="D82" s="121"/>
      <c r="E82" s="102"/>
      <c r="F82" s="122">
        <v>1</v>
      </c>
      <c r="G82" s="122">
        <v>13707.8</v>
      </c>
      <c r="H82" s="123">
        <f>G82*F82/1000</f>
        <v>13.707799999999999</v>
      </c>
      <c r="I82" s="122">
        <f>G82</f>
        <v>13707.8</v>
      </c>
    </row>
    <row r="83" spans="1:9" ht="15.75" customHeight="1">
      <c r="A83" s="29"/>
      <c r="B83" s="124" t="s">
        <v>72</v>
      </c>
      <c r="C83" s="16"/>
      <c r="D83" s="98"/>
      <c r="E83" s="18"/>
      <c r="F83" s="13"/>
      <c r="G83" s="13"/>
      <c r="H83" s="13"/>
      <c r="I83" s="13"/>
    </row>
    <row r="84" spans="1:9" ht="15.75" customHeight="1">
      <c r="A84" s="29">
        <v>18</v>
      </c>
      <c r="B84" s="37" t="s">
        <v>86</v>
      </c>
      <c r="C84" s="38" t="s">
        <v>29</v>
      </c>
      <c r="D84" s="37" t="s">
        <v>66</v>
      </c>
      <c r="E84" s="18"/>
      <c r="F84" s="13"/>
      <c r="G84" s="125">
        <v>446.12</v>
      </c>
      <c r="H84" s="13"/>
      <c r="I84" s="13">
        <f>G84*1</f>
        <v>446.12</v>
      </c>
    </row>
    <row r="85" spans="1:9" ht="15.75" customHeight="1">
      <c r="A85" s="129" t="s">
        <v>155</v>
      </c>
      <c r="B85" s="130"/>
      <c r="C85" s="130"/>
      <c r="D85" s="130"/>
      <c r="E85" s="130"/>
      <c r="F85" s="130"/>
      <c r="G85" s="130"/>
      <c r="H85" s="130"/>
      <c r="I85" s="131"/>
    </row>
    <row r="86" spans="1:9" ht="15.75" customHeight="1">
      <c r="A86" s="29">
        <v>19</v>
      </c>
      <c r="B86" s="82" t="s">
        <v>128</v>
      </c>
      <c r="C86" s="16" t="s">
        <v>54</v>
      </c>
      <c r="D86" s="104" t="s">
        <v>150</v>
      </c>
      <c r="E86" s="13">
        <v>1839.1</v>
      </c>
      <c r="F86" s="13">
        <f>SUM(E86*12)</f>
        <v>22069.199999999997</v>
      </c>
      <c r="G86" s="13">
        <v>2.95</v>
      </c>
      <c r="H86" s="99">
        <f>SUM(F86*G86/1000)</f>
        <v>65.104139999999987</v>
      </c>
      <c r="I86" s="13">
        <f>F86/12*G86</f>
        <v>5425.3449999999993</v>
      </c>
    </row>
    <row r="87" spans="1:9" ht="31.5" customHeight="1">
      <c r="A87" s="29">
        <v>20</v>
      </c>
      <c r="B87" s="98" t="s">
        <v>77</v>
      </c>
      <c r="C87" s="16"/>
      <c r="D87" s="104" t="s">
        <v>150</v>
      </c>
      <c r="E87" s="84">
        <v>1839.1</v>
      </c>
      <c r="F87" s="13">
        <f>E87*12</f>
        <v>22069.199999999997</v>
      </c>
      <c r="G87" s="13">
        <v>3.05</v>
      </c>
      <c r="H87" s="99">
        <f>F87*G87/1000</f>
        <v>67.311059999999983</v>
      </c>
      <c r="I87" s="13">
        <f>F87/12*G87</f>
        <v>5609.2549999999983</v>
      </c>
    </row>
    <row r="88" spans="1:9" ht="31.5" customHeight="1">
      <c r="A88" s="29">
        <v>21</v>
      </c>
      <c r="B88" s="98" t="s">
        <v>132</v>
      </c>
      <c r="C88" s="16" t="s">
        <v>133</v>
      </c>
      <c r="D88" s="104" t="s">
        <v>150</v>
      </c>
      <c r="E88" s="102"/>
      <c r="F88" s="13"/>
      <c r="G88" s="13"/>
      <c r="H88" s="99">
        <v>59.113</v>
      </c>
      <c r="I88" s="13">
        <f>59113/12</f>
        <v>4926.083333333333</v>
      </c>
    </row>
    <row r="89" spans="1:9" ht="15.75" customHeight="1">
      <c r="A89" s="81"/>
      <c r="B89" s="40" t="s">
        <v>79</v>
      </c>
      <c r="C89" s="41"/>
      <c r="D89" s="15"/>
      <c r="E89" s="15"/>
      <c r="F89" s="15"/>
      <c r="G89" s="18"/>
      <c r="H89" s="18"/>
      <c r="I89" s="31">
        <f>I88+I87+I86+I84+I72+I60+I59+I54+I53+I52+I44+I43+I42+I41+I40+I39+I28+I27+I18+I17+I16</f>
        <v>45234.496485999989</v>
      </c>
    </row>
    <row r="90" spans="1:9" ht="15.75" customHeight="1">
      <c r="A90" s="132" t="s">
        <v>59</v>
      </c>
      <c r="B90" s="133"/>
      <c r="C90" s="133"/>
      <c r="D90" s="133"/>
      <c r="E90" s="133"/>
      <c r="F90" s="133"/>
      <c r="G90" s="133"/>
      <c r="H90" s="133"/>
      <c r="I90" s="134"/>
    </row>
    <row r="91" spans="1:9" ht="15.75" customHeight="1">
      <c r="A91" s="107">
        <v>22</v>
      </c>
      <c r="B91" s="37" t="s">
        <v>166</v>
      </c>
      <c r="C91" s="38" t="s">
        <v>167</v>
      </c>
      <c r="D91" s="52"/>
      <c r="E91" s="13"/>
      <c r="F91" s="13">
        <v>2</v>
      </c>
      <c r="G91" s="36">
        <v>1.2</v>
      </c>
      <c r="H91" s="99">
        <f t="shared" ref="H91:H94" si="7">G91*F91/1000</f>
        <v>2.3999999999999998E-3</v>
      </c>
      <c r="I91" s="108">
        <f>G91*12</f>
        <v>14.399999999999999</v>
      </c>
    </row>
    <row r="92" spans="1:9" ht="33" customHeight="1">
      <c r="A92" s="107">
        <v>23</v>
      </c>
      <c r="B92" s="105" t="s">
        <v>173</v>
      </c>
      <c r="C92" s="106" t="s">
        <v>116</v>
      </c>
      <c r="D92" s="52"/>
      <c r="E92" s="13"/>
      <c r="F92" s="13">
        <v>2</v>
      </c>
      <c r="G92" s="36">
        <v>5123.5</v>
      </c>
      <c r="H92" s="99">
        <f t="shared" si="7"/>
        <v>10.247</v>
      </c>
      <c r="I92" s="108">
        <f>G92*1</f>
        <v>5123.5</v>
      </c>
    </row>
    <row r="93" spans="1:9" ht="18.75" customHeight="1">
      <c r="A93" s="107">
        <v>24</v>
      </c>
      <c r="B93" s="105" t="s">
        <v>174</v>
      </c>
      <c r="C93" s="106" t="s">
        <v>116</v>
      </c>
      <c r="D93" s="52"/>
      <c r="E93" s="13"/>
      <c r="F93" s="13">
        <v>1</v>
      </c>
      <c r="G93" s="36">
        <v>197.48</v>
      </c>
      <c r="H93" s="99">
        <f t="shared" si="7"/>
        <v>0.19747999999999999</v>
      </c>
      <c r="I93" s="108">
        <f>G93*1</f>
        <v>197.48</v>
      </c>
    </row>
    <row r="94" spans="1:9" ht="18.75" hidden="1" customHeight="1">
      <c r="A94" s="107">
        <v>23</v>
      </c>
      <c r="B94" s="105" t="s">
        <v>175</v>
      </c>
      <c r="C94" s="106" t="s">
        <v>176</v>
      </c>
      <c r="D94" s="65"/>
      <c r="E94" s="36"/>
      <c r="F94" s="36">
        <v>4</v>
      </c>
      <c r="G94" s="36">
        <v>7033.13</v>
      </c>
      <c r="H94" s="103">
        <f t="shared" si="7"/>
        <v>28.13252</v>
      </c>
      <c r="I94" s="108">
        <f>G94*0.01</f>
        <v>70.331299999999999</v>
      </c>
    </row>
    <row r="95" spans="1:9" ht="31.5" hidden="1" customHeight="1">
      <c r="A95" s="107">
        <v>24</v>
      </c>
      <c r="B95" s="105" t="s">
        <v>177</v>
      </c>
      <c r="C95" s="106" t="s">
        <v>92</v>
      </c>
      <c r="D95" s="65"/>
      <c r="E95" s="36"/>
      <c r="F95" s="36"/>
      <c r="G95" s="36">
        <v>2306.62</v>
      </c>
      <c r="H95" s="103"/>
      <c r="I95" s="108">
        <f>G95*0.651</f>
        <v>1501.6096199999999</v>
      </c>
    </row>
    <row r="96" spans="1:9" ht="29.25" customHeight="1">
      <c r="A96" s="107">
        <v>25</v>
      </c>
      <c r="B96" s="105" t="s">
        <v>178</v>
      </c>
      <c r="C96" s="106" t="s">
        <v>179</v>
      </c>
      <c r="D96" s="65"/>
      <c r="E96" s="36"/>
      <c r="F96" s="36"/>
      <c r="G96" s="36">
        <f>2600.47-198.38</f>
        <v>2402.0899999999997</v>
      </c>
      <c r="H96" s="103"/>
      <c r="I96" s="108">
        <f>G96*1</f>
        <v>2402.0899999999997</v>
      </c>
    </row>
    <row r="97" spans="1:9" ht="15.75" customHeight="1">
      <c r="A97" s="29"/>
      <c r="B97" s="46" t="s">
        <v>51</v>
      </c>
      <c r="C97" s="42"/>
      <c r="D97" s="54"/>
      <c r="E97" s="42">
        <v>1</v>
      </c>
      <c r="F97" s="42"/>
      <c r="G97" s="42"/>
      <c r="H97" s="42"/>
      <c r="I97" s="31">
        <f>I96+I93+I92+I91</f>
        <v>7737.4699999999993</v>
      </c>
    </row>
    <row r="98" spans="1:9" ht="15.75" customHeight="1">
      <c r="A98" s="29"/>
      <c r="B98" s="52" t="s">
        <v>78</v>
      </c>
      <c r="C98" s="15"/>
      <c r="D98" s="15"/>
      <c r="E98" s="43"/>
      <c r="F98" s="43"/>
      <c r="G98" s="44"/>
      <c r="H98" s="44"/>
      <c r="I98" s="17">
        <v>0</v>
      </c>
    </row>
    <row r="99" spans="1:9" ht="15.75" customHeight="1">
      <c r="A99" s="55"/>
      <c r="B99" s="47" t="s">
        <v>140</v>
      </c>
      <c r="C99" s="34"/>
      <c r="D99" s="34"/>
      <c r="E99" s="34"/>
      <c r="F99" s="34"/>
      <c r="G99" s="34"/>
      <c r="H99" s="34"/>
      <c r="I99" s="45">
        <f>I89+I97</f>
        <v>52971.96648599999</v>
      </c>
    </row>
    <row r="100" spans="1:9" ht="15.75">
      <c r="A100" s="135" t="s">
        <v>183</v>
      </c>
      <c r="B100" s="135"/>
      <c r="C100" s="135"/>
      <c r="D100" s="135"/>
      <c r="E100" s="135"/>
      <c r="F100" s="135"/>
      <c r="G100" s="135"/>
      <c r="H100" s="135"/>
      <c r="I100" s="135"/>
    </row>
    <row r="101" spans="1:9" ht="15.75">
      <c r="A101" s="61"/>
      <c r="B101" s="151" t="s">
        <v>184</v>
      </c>
      <c r="C101" s="151"/>
      <c r="D101" s="151"/>
      <c r="E101" s="151"/>
      <c r="F101" s="151"/>
      <c r="G101" s="151"/>
      <c r="H101" s="80"/>
      <c r="I101" s="3"/>
    </row>
    <row r="102" spans="1:9">
      <c r="A102" s="71"/>
      <c r="B102" s="147" t="s">
        <v>6</v>
      </c>
      <c r="C102" s="147"/>
      <c r="D102" s="147"/>
      <c r="E102" s="147"/>
      <c r="F102" s="147"/>
      <c r="G102" s="147"/>
      <c r="H102" s="24"/>
      <c r="I102" s="5"/>
    </row>
    <row r="103" spans="1:9">
      <c r="A103" s="10"/>
      <c r="B103" s="10"/>
      <c r="C103" s="10"/>
      <c r="D103" s="10"/>
      <c r="E103" s="10"/>
      <c r="F103" s="10"/>
      <c r="G103" s="10"/>
      <c r="H103" s="10"/>
      <c r="I103" s="10"/>
    </row>
    <row r="104" spans="1:9" ht="15.75">
      <c r="A104" s="155" t="s">
        <v>7</v>
      </c>
      <c r="B104" s="155"/>
      <c r="C104" s="155"/>
      <c r="D104" s="155"/>
      <c r="E104" s="155"/>
      <c r="F104" s="155"/>
      <c r="G104" s="155"/>
      <c r="H104" s="155"/>
      <c r="I104" s="155"/>
    </row>
    <row r="105" spans="1:9" ht="15.75">
      <c r="A105" s="155" t="s">
        <v>8</v>
      </c>
      <c r="B105" s="155"/>
      <c r="C105" s="155"/>
      <c r="D105" s="155"/>
      <c r="E105" s="155"/>
      <c r="F105" s="155"/>
      <c r="G105" s="155"/>
      <c r="H105" s="155"/>
      <c r="I105" s="155"/>
    </row>
    <row r="106" spans="1:9" ht="15.75">
      <c r="A106" s="152" t="s">
        <v>60</v>
      </c>
      <c r="B106" s="152"/>
      <c r="C106" s="152"/>
      <c r="D106" s="152"/>
      <c r="E106" s="152"/>
      <c r="F106" s="152"/>
      <c r="G106" s="152"/>
      <c r="H106" s="152"/>
      <c r="I106" s="152"/>
    </row>
    <row r="107" spans="1:9" ht="15.75">
      <c r="A107" s="11"/>
    </row>
    <row r="108" spans="1:9" ht="15.75">
      <c r="A108" s="153" t="s">
        <v>9</v>
      </c>
      <c r="B108" s="153"/>
      <c r="C108" s="153"/>
      <c r="D108" s="153"/>
      <c r="E108" s="153"/>
      <c r="F108" s="153"/>
      <c r="G108" s="153"/>
      <c r="H108" s="153"/>
      <c r="I108" s="153"/>
    </row>
    <row r="109" spans="1:9" ht="15.75">
      <c r="A109" s="4"/>
    </row>
    <row r="110" spans="1:9" ht="15.75">
      <c r="B110" s="70" t="s">
        <v>10</v>
      </c>
      <c r="C110" s="154" t="s">
        <v>87</v>
      </c>
      <c r="D110" s="154"/>
      <c r="E110" s="154"/>
      <c r="F110" s="78"/>
      <c r="I110" s="73"/>
    </row>
    <row r="111" spans="1:9">
      <c r="A111" s="71"/>
      <c r="C111" s="147" t="s">
        <v>11</v>
      </c>
      <c r="D111" s="147"/>
      <c r="E111" s="147"/>
      <c r="F111" s="24"/>
      <c r="I111" s="72" t="s">
        <v>12</v>
      </c>
    </row>
    <row r="112" spans="1:9" ht="15.75">
      <c r="A112" s="25"/>
      <c r="C112" s="12"/>
      <c r="D112" s="12"/>
      <c r="G112" s="12"/>
      <c r="H112" s="12"/>
    </row>
    <row r="113" spans="1:9" ht="15.75">
      <c r="B113" s="70" t="s">
        <v>13</v>
      </c>
      <c r="C113" s="149"/>
      <c r="D113" s="149"/>
      <c r="E113" s="149"/>
      <c r="F113" s="79"/>
      <c r="I113" s="73"/>
    </row>
    <row r="114" spans="1:9">
      <c r="A114" s="71"/>
      <c r="C114" s="136" t="s">
        <v>11</v>
      </c>
      <c r="D114" s="136"/>
      <c r="E114" s="136"/>
      <c r="F114" s="71"/>
      <c r="I114" s="72" t="s">
        <v>12</v>
      </c>
    </row>
    <row r="115" spans="1:9" ht="15.75">
      <c r="A115" s="4" t="s">
        <v>14</v>
      </c>
    </row>
    <row r="116" spans="1:9">
      <c r="A116" s="150" t="s">
        <v>15</v>
      </c>
      <c r="B116" s="150"/>
      <c r="C116" s="150"/>
      <c r="D116" s="150"/>
      <c r="E116" s="150"/>
      <c r="F116" s="150"/>
      <c r="G116" s="150"/>
      <c r="H116" s="150"/>
      <c r="I116" s="150"/>
    </row>
    <row r="117" spans="1:9" ht="45" customHeight="1">
      <c r="A117" s="148" t="s">
        <v>16</v>
      </c>
      <c r="B117" s="148"/>
      <c r="C117" s="148"/>
      <c r="D117" s="148"/>
      <c r="E117" s="148"/>
      <c r="F117" s="148"/>
      <c r="G117" s="148"/>
      <c r="H117" s="148"/>
      <c r="I117" s="148"/>
    </row>
    <row r="118" spans="1:9" ht="30" customHeight="1">
      <c r="A118" s="148" t="s">
        <v>17</v>
      </c>
      <c r="B118" s="148"/>
      <c r="C118" s="148"/>
      <c r="D118" s="148"/>
      <c r="E118" s="148"/>
      <c r="F118" s="148"/>
      <c r="G118" s="148"/>
      <c r="H118" s="148"/>
      <c r="I118" s="148"/>
    </row>
    <row r="119" spans="1:9" ht="30" customHeight="1">
      <c r="A119" s="148" t="s">
        <v>21</v>
      </c>
      <c r="B119" s="148"/>
      <c r="C119" s="148"/>
      <c r="D119" s="148"/>
      <c r="E119" s="148"/>
      <c r="F119" s="148"/>
      <c r="G119" s="148"/>
      <c r="H119" s="148"/>
      <c r="I119" s="148"/>
    </row>
    <row r="120" spans="1:9" ht="15.75">
      <c r="A120" s="148" t="s">
        <v>20</v>
      </c>
      <c r="B120" s="148"/>
      <c r="C120" s="148"/>
      <c r="D120" s="148"/>
      <c r="E120" s="148"/>
      <c r="F120" s="148"/>
      <c r="G120" s="148"/>
      <c r="H120" s="148"/>
      <c r="I120" s="148"/>
    </row>
  </sheetData>
  <autoFilter ref="I12:I65"/>
  <mergeCells count="29">
    <mergeCell ref="A14:I14"/>
    <mergeCell ref="A15:I15"/>
    <mergeCell ref="A29:I29"/>
    <mergeCell ref="A45:I45"/>
    <mergeCell ref="A57:I57"/>
    <mergeCell ref="A3:I3"/>
    <mergeCell ref="A4:I4"/>
    <mergeCell ref="A5:I5"/>
    <mergeCell ref="A8:I8"/>
    <mergeCell ref="A10:I10"/>
    <mergeCell ref="R70:U70"/>
    <mergeCell ref="C114:E114"/>
    <mergeCell ref="A90:I90"/>
    <mergeCell ref="A100:I100"/>
    <mergeCell ref="B101:G101"/>
    <mergeCell ref="B102:G102"/>
    <mergeCell ref="A104:I104"/>
    <mergeCell ref="A105:I105"/>
    <mergeCell ref="A106:I106"/>
    <mergeCell ref="A108:I108"/>
    <mergeCell ref="C110:E110"/>
    <mergeCell ref="C111:E111"/>
    <mergeCell ref="C113:E113"/>
    <mergeCell ref="A85:I85"/>
    <mergeCell ref="A116:I116"/>
    <mergeCell ref="A117:I117"/>
    <mergeCell ref="A118:I118"/>
    <mergeCell ref="A119:I119"/>
    <mergeCell ref="A120:I120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:V113"/>
  <sheetViews>
    <sheetView topLeftCell="A63" workbookViewId="0">
      <selection activeCell="B89" sqref="B89:I89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7" t="s">
        <v>82</v>
      </c>
      <c r="I1" s="26"/>
      <c r="J1" s="1"/>
      <c r="K1" s="1"/>
      <c r="L1" s="1"/>
      <c r="M1" s="1"/>
    </row>
    <row r="2" spans="1:13" ht="15.75" customHeight="1">
      <c r="A2" s="28" t="s">
        <v>61</v>
      </c>
      <c r="J2" s="2"/>
      <c r="K2" s="2"/>
      <c r="L2" s="2"/>
      <c r="M2" s="2"/>
    </row>
    <row r="3" spans="1:13" ht="15.75" customHeight="1">
      <c r="A3" s="137" t="s">
        <v>157</v>
      </c>
      <c r="B3" s="137"/>
      <c r="C3" s="137"/>
      <c r="D3" s="137"/>
      <c r="E3" s="137"/>
      <c r="F3" s="137"/>
      <c r="G3" s="137"/>
      <c r="H3" s="137"/>
      <c r="I3" s="137"/>
      <c r="J3" s="3"/>
      <c r="K3" s="3"/>
      <c r="L3" s="3"/>
    </row>
    <row r="4" spans="1:13" ht="31.5" customHeight="1">
      <c r="A4" s="138" t="s">
        <v>129</v>
      </c>
      <c r="B4" s="138"/>
      <c r="C4" s="138"/>
      <c r="D4" s="138"/>
      <c r="E4" s="138"/>
      <c r="F4" s="138"/>
      <c r="G4" s="138"/>
      <c r="H4" s="138"/>
      <c r="I4" s="138"/>
    </row>
    <row r="5" spans="1:13" ht="15.75" customHeight="1">
      <c r="A5" s="137" t="s">
        <v>182</v>
      </c>
      <c r="B5" s="141"/>
      <c r="C5" s="141"/>
      <c r="D5" s="141"/>
      <c r="E5" s="141"/>
      <c r="F5" s="141"/>
      <c r="G5" s="141"/>
      <c r="H5" s="141"/>
      <c r="I5" s="141"/>
      <c r="J5" s="2"/>
      <c r="K5" s="2"/>
      <c r="L5" s="2"/>
      <c r="M5" s="2"/>
    </row>
    <row r="6" spans="1:13" ht="15.75" customHeight="1">
      <c r="A6" s="2"/>
      <c r="B6" s="74"/>
      <c r="C6" s="74"/>
      <c r="D6" s="74"/>
      <c r="E6" s="74"/>
      <c r="F6" s="74"/>
      <c r="G6" s="74"/>
      <c r="H6" s="74"/>
      <c r="I6" s="30">
        <v>43251</v>
      </c>
      <c r="J6" s="2"/>
      <c r="K6" s="2"/>
      <c r="L6" s="2"/>
      <c r="M6" s="2"/>
    </row>
    <row r="7" spans="1:13" ht="15.75" customHeight="1">
      <c r="B7" s="70"/>
      <c r="C7" s="70"/>
      <c r="D7" s="70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139" t="s">
        <v>136</v>
      </c>
      <c r="B8" s="139"/>
      <c r="C8" s="139"/>
      <c r="D8" s="139"/>
      <c r="E8" s="139"/>
      <c r="F8" s="139"/>
      <c r="G8" s="139"/>
      <c r="H8" s="139"/>
      <c r="I8" s="139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140" t="s">
        <v>135</v>
      </c>
      <c r="B10" s="140"/>
      <c r="C10" s="140"/>
      <c r="D10" s="140"/>
      <c r="E10" s="140"/>
      <c r="F10" s="140"/>
      <c r="G10" s="140"/>
      <c r="H10" s="140"/>
      <c r="I10" s="140"/>
      <c r="J10" s="2"/>
      <c r="K10" s="2"/>
      <c r="L10" s="2"/>
      <c r="M10" s="2"/>
    </row>
    <row r="11" spans="1:13" ht="15.75">
      <c r="A11" s="4"/>
    </row>
    <row r="12" spans="1:13" ht="47.2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142" t="s">
        <v>58</v>
      </c>
      <c r="B14" s="142"/>
      <c r="C14" s="142"/>
      <c r="D14" s="142"/>
      <c r="E14" s="142"/>
      <c r="F14" s="142"/>
      <c r="G14" s="142"/>
      <c r="H14" s="142"/>
      <c r="I14" s="142"/>
      <c r="J14" s="8"/>
      <c r="K14" s="8"/>
      <c r="L14" s="8"/>
      <c r="M14" s="8"/>
    </row>
    <row r="15" spans="1:13" ht="15.75" customHeight="1">
      <c r="A15" s="143" t="s">
        <v>4</v>
      </c>
      <c r="B15" s="143"/>
      <c r="C15" s="143"/>
      <c r="D15" s="143"/>
      <c r="E15" s="143"/>
      <c r="F15" s="143"/>
      <c r="G15" s="143"/>
      <c r="H15" s="143"/>
      <c r="I15" s="143"/>
      <c r="J15" s="8"/>
      <c r="K15" s="8"/>
      <c r="L15" s="8"/>
      <c r="M15" s="8"/>
    </row>
    <row r="16" spans="1:13" ht="15.75" customHeight="1">
      <c r="A16" s="29">
        <v>1</v>
      </c>
      <c r="B16" s="82" t="s">
        <v>83</v>
      </c>
      <c r="C16" s="83" t="s">
        <v>92</v>
      </c>
      <c r="D16" s="82" t="s">
        <v>141</v>
      </c>
      <c r="E16" s="84">
        <v>54.2</v>
      </c>
      <c r="F16" s="85">
        <f>SUM(E16*156/100)</f>
        <v>84.552000000000007</v>
      </c>
      <c r="G16" s="85">
        <v>218.21</v>
      </c>
      <c r="H16" s="86">
        <f t="shared" ref="H16:H26" si="0">SUM(F16*G16/1000)</f>
        <v>18.450091920000002</v>
      </c>
      <c r="I16" s="13">
        <f>F16/12*G16</f>
        <v>1537.5076600000002</v>
      </c>
      <c r="J16" s="8"/>
      <c r="K16" s="8"/>
      <c r="L16" s="8"/>
      <c r="M16" s="8"/>
    </row>
    <row r="17" spans="1:13" ht="15.75" customHeight="1">
      <c r="A17" s="29">
        <v>2</v>
      </c>
      <c r="B17" s="82" t="s">
        <v>90</v>
      </c>
      <c r="C17" s="83" t="s">
        <v>92</v>
      </c>
      <c r="D17" s="82" t="s">
        <v>142</v>
      </c>
      <c r="E17" s="84">
        <v>108.5</v>
      </c>
      <c r="F17" s="85">
        <f>SUM(E17*104/100)</f>
        <v>112.84</v>
      </c>
      <c r="G17" s="85">
        <v>218.21</v>
      </c>
      <c r="H17" s="86">
        <f t="shared" si="0"/>
        <v>24.622816400000005</v>
      </c>
      <c r="I17" s="13">
        <f>F17/12*G17</f>
        <v>2051.9013666666669</v>
      </c>
      <c r="J17" s="22"/>
      <c r="K17" s="8"/>
      <c r="L17" s="8"/>
      <c r="M17" s="8"/>
    </row>
    <row r="18" spans="1:13" ht="15.75" customHeight="1">
      <c r="A18" s="29">
        <v>3</v>
      </c>
      <c r="B18" s="82" t="s">
        <v>91</v>
      </c>
      <c r="C18" s="83" t="s">
        <v>92</v>
      </c>
      <c r="D18" s="82" t="s">
        <v>143</v>
      </c>
      <c r="E18" s="84">
        <f>SUM(E16+E17)</f>
        <v>162.69999999999999</v>
      </c>
      <c r="F18" s="85">
        <f>SUM(E18*24/100)</f>
        <v>39.047999999999995</v>
      </c>
      <c r="G18" s="85">
        <v>627.77</v>
      </c>
      <c r="H18" s="86">
        <f t="shared" si="0"/>
        <v>24.513162959999995</v>
      </c>
      <c r="I18" s="13">
        <f>F18/12*G18</f>
        <v>2042.7635799999996</v>
      </c>
      <c r="J18" s="22"/>
      <c r="K18" s="8"/>
      <c r="L18" s="8"/>
      <c r="M18" s="8"/>
    </row>
    <row r="19" spans="1:13" ht="15.75" customHeight="1">
      <c r="A19" s="29">
        <v>4</v>
      </c>
      <c r="B19" s="82" t="s">
        <v>93</v>
      </c>
      <c r="C19" s="83" t="s">
        <v>88</v>
      </c>
      <c r="D19" s="82" t="s">
        <v>94</v>
      </c>
      <c r="E19" s="84">
        <v>15.3</v>
      </c>
      <c r="F19" s="85">
        <f>SUM(E19/10)</f>
        <v>1.53</v>
      </c>
      <c r="G19" s="85">
        <v>211.74</v>
      </c>
      <c r="H19" s="86">
        <f t="shared" si="0"/>
        <v>0.32396219999999998</v>
      </c>
      <c r="I19" s="13">
        <f>F19*G19</f>
        <v>323.9622</v>
      </c>
      <c r="J19" s="22"/>
      <c r="K19" s="8"/>
      <c r="L19" s="8"/>
      <c r="M19" s="8"/>
    </row>
    <row r="20" spans="1:13" ht="15.75" customHeight="1">
      <c r="A20" s="29">
        <v>5</v>
      </c>
      <c r="B20" s="82" t="s">
        <v>96</v>
      </c>
      <c r="C20" s="83" t="s">
        <v>92</v>
      </c>
      <c r="D20" s="82" t="s">
        <v>41</v>
      </c>
      <c r="E20" s="84">
        <v>19.62</v>
      </c>
      <c r="F20" s="85">
        <f>SUM(E20*2/100)</f>
        <v>0.39240000000000003</v>
      </c>
      <c r="G20" s="85">
        <v>271.12</v>
      </c>
      <c r="H20" s="86">
        <f t="shared" si="0"/>
        <v>0.106387488</v>
      </c>
      <c r="I20" s="13">
        <f>F20/2*G20</f>
        <v>53.193744000000002</v>
      </c>
      <c r="J20" s="22"/>
      <c r="K20" s="8"/>
      <c r="L20" s="8"/>
      <c r="M20" s="8"/>
    </row>
    <row r="21" spans="1:13" ht="15.75" customHeight="1">
      <c r="A21" s="29">
        <v>6</v>
      </c>
      <c r="B21" s="82" t="s">
        <v>97</v>
      </c>
      <c r="C21" s="83" t="s">
        <v>92</v>
      </c>
      <c r="D21" s="82" t="s">
        <v>41</v>
      </c>
      <c r="E21" s="84">
        <v>8.68</v>
      </c>
      <c r="F21" s="85">
        <f>SUM(E21*2/100)</f>
        <v>0.1736</v>
      </c>
      <c r="G21" s="85">
        <v>268.92</v>
      </c>
      <c r="H21" s="86">
        <f t="shared" si="0"/>
        <v>4.6684512000000004E-2</v>
      </c>
      <c r="I21" s="13">
        <f>F21/2*G21</f>
        <v>23.342256000000003</v>
      </c>
      <c r="J21" s="22"/>
      <c r="K21" s="8"/>
      <c r="L21" s="8"/>
      <c r="M21" s="8"/>
    </row>
    <row r="22" spans="1:13" ht="15.75" customHeight="1">
      <c r="A22" s="29">
        <v>7</v>
      </c>
      <c r="B22" s="82" t="s">
        <v>98</v>
      </c>
      <c r="C22" s="83" t="s">
        <v>52</v>
      </c>
      <c r="D22" s="82" t="s">
        <v>94</v>
      </c>
      <c r="E22" s="84">
        <v>215</v>
      </c>
      <c r="F22" s="85">
        <f>SUM(E22/100)</f>
        <v>2.15</v>
      </c>
      <c r="G22" s="85">
        <v>335.05</v>
      </c>
      <c r="H22" s="86">
        <f t="shared" si="0"/>
        <v>0.72035749999999998</v>
      </c>
      <c r="I22" s="13">
        <f>F22*G22</f>
        <v>720.35749999999996</v>
      </c>
      <c r="J22" s="22"/>
      <c r="K22" s="8"/>
      <c r="L22" s="8"/>
      <c r="M22" s="8"/>
    </row>
    <row r="23" spans="1:13" ht="15.75" customHeight="1">
      <c r="A23" s="29">
        <v>8</v>
      </c>
      <c r="B23" s="82" t="s">
        <v>99</v>
      </c>
      <c r="C23" s="83" t="s">
        <v>52</v>
      </c>
      <c r="D23" s="82" t="s">
        <v>94</v>
      </c>
      <c r="E23" s="87">
        <v>17.64</v>
      </c>
      <c r="F23" s="85">
        <f>SUM(E23/100)</f>
        <v>0.1764</v>
      </c>
      <c r="G23" s="85">
        <v>55.1</v>
      </c>
      <c r="H23" s="86">
        <f t="shared" si="0"/>
        <v>9.7196399999999999E-3</v>
      </c>
      <c r="I23" s="13">
        <f>F23*G23</f>
        <v>9.7196400000000001</v>
      </c>
      <c r="J23" s="22"/>
      <c r="K23" s="8"/>
      <c r="L23" s="8"/>
      <c r="M23" s="8"/>
    </row>
    <row r="24" spans="1:13" ht="15.75" customHeight="1">
      <c r="A24" s="29">
        <v>9</v>
      </c>
      <c r="B24" s="82" t="s">
        <v>95</v>
      </c>
      <c r="C24" s="83" t="s">
        <v>52</v>
      </c>
      <c r="D24" s="82" t="s">
        <v>94</v>
      </c>
      <c r="E24" s="18">
        <v>4.5</v>
      </c>
      <c r="F24" s="88">
        <v>0.05</v>
      </c>
      <c r="G24" s="85">
        <v>484.94</v>
      </c>
      <c r="H24" s="86">
        <f>F24*G24/1000</f>
        <v>2.4247000000000001E-2</v>
      </c>
      <c r="I24" s="13">
        <f>F24*G24</f>
        <v>24.247</v>
      </c>
      <c r="J24" s="22"/>
      <c r="K24" s="8"/>
      <c r="L24" s="8"/>
      <c r="M24" s="8"/>
    </row>
    <row r="25" spans="1:13" ht="31.5" customHeight="1">
      <c r="A25" s="29">
        <v>10</v>
      </c>
      <c r="B25" s="82" t="s">
        <v>130</v>
      </c>
      <c r="C25" s="83" t="s">
        <v>52</v>
      </c>
      <c r="D25" s="82" t="s">
        <v>94</v>
      </c>
      <c r="E25" s="87">
        <v>9.4499999999999993</v>
      </c>
      <c r="F25" s="85">
        <v>0.09</v>
      </c>
      <c r="G25" s="85">
        <v>268.92</v>
      </c>
      <c r="H25" s="86">
        <f>F25*G25/1000</f>
        <v>2.42028E-2</v>
      </c>
      <c r="I25" s="13">
        <f>F25*G25</f>
        <v>24.2028</v>
      </c>
      <c r="J25" s="22"/>
      <c r="K25" s="8"/>
      <c r="L25" s="8"/>
      <c r="M25" s="8"/>
    </row>
    <row r="26" spans="1:13" ht="15.75" customHeight="1">
      <c r="A26" s="29">
        <v>11</v>
      </c>
      <c r="B26" s="82" t="s">
        <v>100</v>
      </c>
      <c r="C26" s="83" t="s">
        <v>52</v>
      </c>
      <c r="D26" s="82" t="s">
        <v>94</v>
      </c>
      <c r="E26" s="84">
        <v>14.4</v>
      </c>
      <c r="F26" s="85">
        <f>SUM(E26/100)</f>
        <v>0.14400000000000002</v>
      </c>
      <c r="G26" s="85">
        <v>648.04999999999995</v>
      </c>
      <c r="H26" s="86">
        <f t="shared" si="0"/>
        <v>9.3319200000000005E-2</v>
      </c>
      <c r="I26" s="13">
        <f>F26*G26</f>
        <v>93.319200000000009</v>
      </c>
      <c r="J26" s="22"/>
      <c r="K26" s="8"/>
      <c r="L26" s="8"/>
      <c r="M26" s="8"/>
    </row>
    <row r="27" spans="1:13" ht="15.75" customHeight="1">
      <c r="A27" s="29">
        <v>12</v>
      </c>
      <c r="B27" s="82" t="s">
        <v>63</v>
      </c>
      <c r="C27" s="83" t="s">
        <v>31</v>
      </c>
      <c r="D27" s="82"/>
      <c r="E27" s="84">
        <v>0.1</v>
      </c>
      <c r="F27" s="85">
        <f>SUM(E27*365)</f>
        <v>36.5</v>
      </c>
      <c r="G27" s="85">
        <v>182.96</v>
      </c>
      <c r="H27" s="86">
        <f>SUM(F27*G27/1000)</f>
        <v>6.6780400000000002</v>
      </c>
      <c r="I27" s="13">
        <f>F27/12*G27</f>
        <v>556.50333333333333</v>
      </c>
      <c r="J27" s="22"/>
      <c r="K27" s="8"/>
      <c r="L27" s="8"/>
      <c r="M27" s="8"/>
    </row>
    <row r="28" spans="1:13" ht="15.75" customHeight="1">
      <c r="A28" s="29">
        <v>13</v>
      </c>
      <c r="B28" s="89" t="s">
        <v>23</v>
      </c>
      <c r="C28" s="83" t="s">
        <v>24</v>
      </c>
      <c r="D28" s="82"/>
      <c r="E28" s="84">
        <v>1839.1</v>
      </c>
      <c r="F28" s="85">
        <f>SUM(E28*12)</f>
        <v>22069.199999999997</v>
      </c>
      <c r="G28" s="85">
        <v>4.58</v>
      </c>
      <c r="H28" s="86">
        <f>SUM(F28*G28/1000)</f>
        <v>101.07693599999999</v>
      </c>
      <c r="I28" s="13">
        <f>F28/12*G28</f>
        <v>8423.0779999999995</v>
      </c>
      <c r="J28" s="22"/>
      <c r="K28" s="8"/>
      <c r="L28" s="8"/>
      <c r="M28" s="8"/>
    </row>
    <row r="29" spans="1:13" ht="15.75" customHeight="1">
      <c r="A29" s="143" t="s">
        <v>81</v>
      </c>
      <c r="B29" s="143"/>
      <c r="C29" s="143"/>
      <c r="D29" s="143"/>
      <c r="E29" s="143"/>
      <c r="F29" s="143"/>
      <c r="G29" s="143"/>
      <c r="H29" s="143"/>
      <c r="I29" s="143"/>
      <c r="J29" s="22"/>
      <c r="K29" s="8"/>
      <c r="L29" s="8"/>
      <c r="M29" s="8"/>
    </row>
    <row r="30" spans="1:13" ht="15.75" customHeight="1">
      <c r="A30" s="41"/>
      <c r="B30" s="51" t="s">
        <v>27</v>
      </c>
      <c r="C30" s="51"/>
      <c r="D30" s="51"/>
      <c r="E30" s="51"/>
      <c r="F30" s="51"/>
      <c r="G30" s="51"/>
      <c r="H30" s="51"/>
      <c r="I30" s="18"/>
      <c r="J30" s="22"/>
      <c r="K30" s="8"/>
      <c r="L30" s="8"/>
      <c r="M30" s="8"/>
    </row>
    <row r="31" spans="1:13" ht="15.75" customHeight="1">
      <c r="A31" s="41">
        <v>14</v>
      </c>
      <c r="B31" s="32" t="s">
        <v>101</v>
      </c>
      <c r="C31" s="83" t="s">
        <v>102</v>
      </c>
      <c r="D31" s="82" t="s">
        <v>103</v>
      </c>
      <c r="E31" s="85">
        <v>58</v>
      </c>
      <c r="F31" s="85">
        <f>SUM(E31*52/1000)</f>
        <v>3.016</v>
      </c>
      <c r="G31" s="85">
        <v>193.97</v>
      </c>
      <c r="H31" s="86">
        <f>SUM(F31*G31/1000)</f>
        <v>0.58501351999999995</v>
      </c>
      <c r="I31" s="13">
        <f>F31/6*G31</f>
        <v>97.502253333333343</v>
      </c>
      <c r="J31" s="22"/>
      <c r="K31" s="8"/>
      <c r="L31" s="8"/>
      <c r="M31" s="8"/>
    </row>
    <row r="32" spans="1:13" ht="31.5" customHeight="1">
      <c r="A32" s="41">
        <v>15</v>
      </c>
      <c r="B32" s="32" t="s">
        <v>104</v>
      </c>
      <c r="C32" s="83" t="s">
        <v>102</v>
      </c>
      <c r="D32" s="82" t="s">
        <v>105</v>
      </c>
      <c r="E32" s="85">
        <v>48.3</v>
      </c>
      <c r="F32" s="85">
        <f>SUM(E32*78/1000)</f>
        <v>3.7673999999999994</v>
      </c>
      <c r="G32" s="85">
        <v>321.82</v>
      </c>
      <c r="H32" s="86">
        <f>SUM(F32*G32/1000)</f>
        <v>1.2124246679999999</v>
      </c>
      <c r="I32" s="13">
        <f>F32/6*G32</f>
        <v>202.07077799999996</v>
      </c>
      <c r="J32" s="22"/>
      <c r="K32" s="8"/>
      <c r="L32" s="8"/>
      <c r="M32" s="8"/>
    </row>
    <row r="33" spans="1:14" ht="15.75" customHeight="1">
      <c r="A33" s="41">
        <v>16</v>
      </c>
      <c r="B33" s="32" t="s">
        <v>26</v>
      </c>
      <c r="C33" s="83" t="s">
        <v>102</v>
      </c>
      <c r="D33" s="82" t="s">
        <v>53</v>
      </c>
      <c r="E33" s="85">
        <v>58</v>
      </c>
      <c r="F33" s="85">
        <f>SUM(E33/1000)</f>
        <v>5.8000000000000003E-2</v>
      </c>
      <c r="G33" s="85">
        <v>3758.28</v>
      </c>
      <c r="H33" s="86">
        <f>SUM(F33*G33/1000)</f>
        <v>0.21798024000000002</v>
      </c>
      <c r="I33" s="13">
        <f>F33*G33</f>
        <v>217.98024000000001</v>
      </c>
      <c r="J33" s="22"/>
      <c r="K33" s="8"/>
      <c r="L33" s="8"/>
      <c r="M33" s="8"/>
    </row>
    <row r="34" spans="1:14" ht="15.75" customHeight="1">
      <c r="A34" s="41">
        <v>17</v>
      </c>
      <c r="B34" s="32" t="s">
        <v>106</v>
      </c>
      <c r="C34" s="83" t="s">
        <v>39</v>
      </c>
      <c r="D34" s="82" t="s">
        <v>62</v>
      </c>
      <c r="E34" s="85">
        <v>1</v>
      </c>
      <c r="F34" s="85">
        <f>E34*155/100</f>
        <v>1.55</v>
      </c>
      <c r="G34" s="85">
        <v>1620.15</v>
      </c>
      <c r="H34" s="86">
        <f>SUM(F34*G34/1000)</f>
        <v>2.5112325000000002</v>
      </c>
      <c r="I34" s="13">
        <f>F34/6*G34</f>
        <v>418.53875000000005</v>
      </c>
      <c r="J34" s="22"/>
      <c r="K34" s="8"/>
    </row>
    <row r="35" spans="1:14" ht="15.75" customHeight="1">
      <c r="A35" s="41">
        <v>18</v>
      </c>
      <c r="B35" s="32" t="s">
        <v>107</v>
      </c>
      <c r="C35" s="83" t="s">
        <v>29</v>
      </c>
      <c r="D35" s="82" t="s">
        <v>62</v>
      </c>
      <c r="E35" s="90">
        <f>1/3</f>
        <v>0.33333333333333331</v>
      </c>
      <c r="F35" s="85">
        <f>155/3</f>
        <v>51.666666666666664</v>
      </c>
      <c r="G35" s="85">
        <v>70.540000000000006</v>
      </c>
      <c r="H35" s="86">
        <f>SUM(G35*155/3/1000)</f>
        <v>3.644566666666667</v>
      </c>
      <c r="I35" s="13">
        <f>F35/6*G35</f>
        <v>607.42777777777781</v>
      </c>
      <c r="J35" s="23"/>
    </row>
    <row r="36" spans="1:14" ht="15.75" hidden="1" customHeight="1">
      <c r="A36" s="41">
        <v>4</v>
      </c>
      <c r="B36" s="82" t="s">
        <v>64</v>
      </c>
      <c r="C36" s="83" t="s">
        <v>31</v>
      </c>
      <c r="D36" s="82" t="s">
        <v>66</v>
      </c>
      <c r="E36" s="84"/>
      <c r="F36" s="85">
        <v>1</v>
      </c>
      <c r="G36" s="85">
        <v>238.07</v>
      </c>
      <c r="H36" s="86">
        <f>SUM(F36*G36/1000)</f>
        <v>0.23807</v>
      </c>
      <c r="I36" s="13">
        <v>0</v>
      </c>
      <c r="J36" s="23"/>
    </row>
    <row r="37" spans="1:14" ht="15.75" hidden="1" customHeight="1">
      <c r="A37" s="29">
        <v>8</v>
      </c>
      <c r="B37" s="82" t="s">
        <v>65</v>
      </c>
      <c r="C37" s="83" t="s">
        <v>30</v>
      </c>
      <c r="D37" s="82" t="s">
        <v>66</v>
      </c>
      <c r="E37" s="84"/>
      <c r="F37" s="85">
        <v>1</v>
      </c>
      <c r="G37" s="85">
        <v>1413.96</v>
      </c>
      <c r="H37" s="86">
        <f>SUM(F37*G37/1000)</f>
        <v>1.4139600000000001</v>
      </c>
      <c r="I37" s="13">
        <v>0</v>
      </c>
      <c r="J37" s="23"/>
    </row>
    <row r="38" spans="1:14" ht="15.75" hidden="1" customHeight="1">
      <c r="A38" s="41"/>
      <c r="B38" s="49" t="s">
        <v>5</v>
      </c>
      <c r="C38" s="49"/>
      <c r="D38" s="49"/>
      <c r="E38" s="13"/>
      <c r="F38" s="13"/>
      <c r="G38" s="14"/>
      <c r="H38" s="14"/>
      <c r="I38" s="18"/>
      <c r="J38" s="23"/>
    </row>
    <row r="39" spans="1:14" ht="15.75" hidden="1" customHeight="1">
      <c r="A39" s="33">
        <v>6</v>
      </c>
      <c r="B39" s="82" t="s">
        <v>25</v>
      </c>
      <c r="C39" s="83" t="s">
        <v>30</v>
      </c>
      <c r="D39" s="82"/>
      <c r="E39" s="84"/>
      <c r="F39" s="85">
        <v>2</v>
      </c>
      <c r="G39" s="85">
        <v>1900.37</v>
      </c>
      <c r="H39" s="86">
        <f t="shared" ref="H39:H44" si="1">SUM(F39*G39/1000)</f>
        <v>3.8007399999999998</v>
      </c>
      <c r="I39" s="13">
        <f t="shared" ref="I39:I44" si="2">F39/6*G39</f>
        <v>633.45666666666659</v>
      </c>
      <c r="J39" s="23"/>
    </row>
    <row r="40" spans="1:14" ht="15.75" hidden="1" customHeight="1">
      <c r="A40" s="33">
        <v>7</v>
      </c>
      <c r="B40" s="82" t="s">
        <v>67</v>
      </c>
      <c r="C40" s="83" t="s">
        <v>28</v>
      </c>
      <c r="D40" s="82" t="s">
        <v>108</v>
      </c>
      <c r="E40" s="85">
        <v>48.3</v>
      </c>
      <c r="F40" s="85">
        <f>SUM(E40*30/1000)</f>
        <v>1.4490000000000001</v>
      </c>
      <c r="G40" s="85">
        <v>2616.4899999999998</v>
      </c>
      <c r="H40" s="86">
        <f t="shared" si="1"/>
        <v>3.7912940100000001</v>
      </c>
      <c r="I40" s="13">
        <f t="shared" si="2"/>
        <v>631.88233500000001</v>
      </c>
      <c r="J40" s="23"/>
    </row>
    <row r="41" spans="1:14" ht="15.75" hidden="1" customHeight="1">
      <c r="A41" s="33">
        <v>8</v>
      </c>
      <c r="B41" s="82" t="s">
        <v>68</v>
      </c>
      <c r="C41" s="83" t="s">
        <v>28</v>
      </c>
      <c r="D41" s="82" t="s">
        <v>109</v>
      </c>
      <c r="E41" s="85">
        <v>48.3</v>
      </c>
      <c r="F41" s="85">
        <f>SUM(E41*155/1000)</f>
        <v>7.4865000000000004</v>
      </c>
      <c r="G41" s="85">
        <v>436.45</v>
      </c>
      <c r="H41" s="86">
        <f t="shared" si="1"/>
        <v>3.2674829250000004</v>
      </c>
      <c r="I41" s="13">
        <f t="shared" si="2"/>
        <v>544.5804875</v>
      </c>
      <c r="J41" s="23"/>
    </row>
    <row r="42" spans="1:14" ht="47.25" hidden="1" customHeight="1">
      <c r="A42" s="33">
        <v>9</v>
      </c>
      <c r="B42" s="82" t="s">
        <v>80</v>
      </c>
      <c r="C42" s="83" t="s">
        <v>102</v>
      </c>
      <c r="D42" s="82" t="s">
        <v>110</v>
      </c>
      <c r="E42" s="85">
        <f>E40</f>
        <v>48.3</v>
      </c>
      <c r="F42" s="85">
        <f>SUM(E42*35/1000)</f>
        <v>1.6904999999999999</v>
      </c>
      <c r="G42" s="85">
        <v>7221.21</v>
      </c>
      <c r="H42" s="86">
        <f t="shared" si="1"/>
        <v>12.207455505</v>
      </c>
      <c r="I42" s="13">
        <f t="shared" si="2"/>
        <v>2034.5759175000001</v>
      </c>
      <c r="J42" s="23"/>
      <c r="L42" s="19"/>
      <c r="M42" s="20"/>
      <c r="N42" s="21"/>
    </row>
    <row r="43" spans="1:14" ht="15.75" hidden="1" customHeight="1">
      <c r="A43" s="33">
        <v>10</v>
      </c>
      <c r="B43" s="82" t="s">
        <v>111</v>
      </c>
      <c r="C43" s="83" t="s">
        <v>102</v>
      </c>
      <c r="D43" s="82" t="s">
        <v>112</v>
      </c>
      <c r="E43" s="85">
        <f>E40</f>
        <v>48.3</v>
      </c>
      <c r="F43" s="85">
        <f>SUM(E43*20/1000)</f>
        <v>0.96599999999999997</v>
      </c>
      <c r="G43" s="85">
        <v>533.45000000000005</v>
      </c>
      <c r="H43" s="86">
        <f t="shared" si="1"/>
        <v>0.51531270000000007</v>
      </c>
      <c r="I43" s="13">
        <f t="shared" si="2"/>
        <v>85.885450000000006</v>
      </c>
      <c r="J43" s="23"/>
      <c r="L43" s="19"/>
      <c r="M43" s="20"/>
      <c r="N43" s="21"/>
    </row>
    <row r="44" spans="1:14" ht="15.75" hidden="1" customHeight="1">
      <c r="A44" s="33">
        <v>11</v>
      </c>
      <c r="B44" s="82" t="s">
        <v>69</v>
      </c>
      <c r="C44" s="83" t="s">
        <v>31</v>
      </c>
      <c r="D44" s="82"/>
      <c r="E44" s="84"/>
      <c r="F44" s="85">
        <v>0.5</v>
      </c>
      <c r="G44" s="85">
        <v>992.97</v>
      </c>
      <c r="H44" s="86">
        <f t="shared" si="1"/>
        <v>0.49648500000000001</v>
      </c>
      <c r="I44" s="13">
        <f t="shared" si="2"/>
        <v>82.747500000000002</v>
      </c>
      <c r="J44" s="23"/>
      <c r="L44" s="19"/>
      <c r="M44" s="20"/>
      <c r="N44" s="21"/>
    </row>
    <row r="45" spans="1:14" ht="15.75" customHeight="1">
      <c r="A45" s="144" t="s">
        <v>137</v>
      </c>
      <c r="B45" s="145"/>
      <c r="C45" s="145"/>
      <c r="D45" s="145"/>
      <c r="E45" s="145"/>
      <c r="F45" s="145"/>
      <c r="G45" s="145"/>
      <c r="H45" s="145"/>
      <c r="I45" s="146"/>
      <c r="J45" s="23"/>
      <c r="L45" s="19"/>
      <c r="M45" s="20"/>
      <c r="N45" s="21"/>
    </row>
    <row r="46" spans="1:14" ht="15.75" customHeight="1">
      <c r="A46" s="41">
        <v>19</v>
      </c>
      <c r="B46" s="82" t="s">
        <v>113</v>
      </c>
      <c r="C46" s="83" t="s">
        <v>102</v>
      </c>
      <c r="D46" s="82" t="s">
        <v>41</v>
      </c>
      <c r="E46" s="84">
        <v>1044.7</v>
      </c>
      <c r="F46" s="85">
        <f>SUM(E46*2/1000)</f>
        <v>2.0893999999999999</v>
      </c>
      <c r="G46" s="13">
        <v>1283.46</v>
      </c>
      <c r="H46" s="86">
        <f t="shared" ref="H46:H56" si="3">SUM(F46*G46/1000)</f>
        <v>2.6816613240000002</v>
      </c>
      <c r="I46" s="13">
        <f t="shared" ref="I46:I49" si="4">F46/2*G46</f>
        <v>1340.8306620000001</v>
      </c>
      <c r="J46" s="23"/>
      <c r="L46" s="19"/>
      <c r="M46" s="20"/>
      <c r="N46" s="21"/>
    </row>
    <row r="47" spans="1:14" ht="15.75" customHeight="1">
      <c r="A47" s="41">
        <v>20</v>
      </c>
      <c r="B47" s="82" t="s">
        <v>34</v>
      </c>
      <c r="C47" s="83" t="s">
        <v>102</v>
      </c>
      <c r="D47" s="82" t="s">
        <v>41</v>
      </c>
      <c r="E47" s="84">
        <v>19.8</v>
      </c>
      <c r="F47" s="85">
        <f>SUM(E47*2/1000)</f>
        <v>3.9600000000000003E-2</v>
      </c>
      <c r="G47" s="13">
        <v>4192.6400000000003</v>
      </c>
      <c r="H47" s="86">
        <f t="shared" si="3"/>
        <v>0.16602854400000003</v>
      </c>
      <c r="I47" s="13">
        <f t="shared" si="4"/>
        <v>83.01427200000002</v>
      </c>
      <c r="J47" s="23"/>
      <c r="L47" s="19"/>
      <c r="M47" s="20"/>
      <c r="N47" s="21"/>
    </row>
    <row r="48" spans="1:14" ht="15.75" customHeight="1">
      <c r="A48" s="41">
        <v>21</v>
      </c>
      <c r="B48" s="82" t="s">
        <v>35</v>
      </c>
      <c r="C48" s="83" t="s">
        <v>102</v>
      </c>
      <c r="D48" s="82" t="s">
        <v>41</v>
      </c>
      <c r="E48" s="84">
        <v>660.84</v>
      </c>
      <c r="F48" s="85">
        <f>SUM(E48*2/1000)</f>
        <v>1.32168</v>
      </c>
      <c r="G48" s="13">
        <v>1711.28</v>
      </c>
      <c r="H48" s="86">
        <f t="shared" si="3"/>
        <v>2.2617645503999997</v>
      </c>
      <c r="I48" s="13">
        <f t="shared" si="4"/>
        <v>1130.8822751999999</v>
      </c>
      <c r="J48" s="23"/>
      <c r="L48" s="19"/>
      <c r="M48" s="20"/>
      <c r="N48" s="21"/>
    </row>
    <row r="49" spans="1:14" ht="15.75" customHeight="1">
      <c r="A49" s="41">
        <v>22</v>
      </c>
      <c r="B49" s="82" t="s">
        <v>36</v>
      </c>
      <c r="C49" s="83" t="s">
        <v>102</v>
      </c>
      <c r="D49" s="82" t="s">
        <v>41</v>
      </c>
      <c r="E49" s="84">
        <v>1156.21</v>
      </c>
      <c r="F49" s="85">
        <f>SUM(E49*2/1000)</f>
        <v>2.3124199999999999</v>
      </c>
      <c r="G49" s="13">
        <v>1179.73</v>
      </c>
      <c r="H49" s="86">
        <f t="shared" si="3"/>
        <v>2.7280312466000001</v>
      </c>
      <c r="I49" s="13">
        <f t="shared" si="4"/>
        <v>1364.0156233</v>
      </c>
      <c r="J49" s="23"/>
      <c r="L49" s="19"/>
      <c r="M49" s="20"/>
      <c r="N49" s="21"/>
    </row>
    <row r="50" spans="1:14" ht="15.75" customHeight="1">
      <c r="A50" s="41">
        <v>23</v>
      </c>
      <c r="B50" s="82" t="s">
        <v>32</v>
      </c>
      <c r="C50" s="83" t="s">
        <v>33</v>
      </c>
      <c r="D50" s="82" t="s">
        <v>144</v>
      </c>
      <c r="E50" s="84">
        <v>17.2</v>
      </c>
      <c r="F50" s="85">
        <f>SUM(E50*2/100)</f>
        <v>0.34399999999999997</v>
      </c>
      <c r="G50" s="13">
        <v>90.61</v>
      </c>
      <c r="H50" s="86">
        <f t="shared" si="3"/>
        <v>3.1169839999999997E-2</v>
      </c>
      <c r="I50" s="13">
        <f>F50/2*G50</f>
        <v>15.584919999999999</v>
      </c>
      <c r="J50" s="23"/>
      <c r="L50" s="19"/>
      <c r="M50" s="20"/>
      <c r="N50" s="21"/>
    </row>
    <row r="51" spans="1:14" ht="15.75" customHeight="1">
      <c r="A51" s="41">
        <v>24</v>
      </c>
      <c r="B51" s="82" t="s">
        <v>55</v>
      </c>
      <c r="C51" s="83" t="s">
        <v>102</v>
      </c>
      <c r="D51" s="82" t="s">
        <v>146</v>
      </c>
      <c r="E51" s="84">
        <v>1839.1</v>
      </c>
      <c r="F51" s="85">
        <f>SUM(E51*5/1000)</f>
        <v>9.1954999999999991</v>
      </c>
      <c r="G51" s="13">
        <v>1711.28</v>
      </c>
      <c r="H51" s="86">
        <f t="shared" si="3"/>
        <v>15.736075239999998</v>
      </c>
      <c r="I51" s="13">
        <f>F51/5*G51</f>
        <v>3147.2150479999996</v>
      </c>
      <c r="J51" s="23"/>
      <c r="L51" s="19"/>
      <c r="M51" s="20"/>
      <c r="N51" s="21"/>
    </row>
    <row r="52" spans="1:14" ht="31.5" hidden="1" customHeight="1">
      <c r="A52" s="41">
        <v>25</v>
      </c>
      <c r="B52" s="82" t="s">
        <v>114</v>
      </c>
      <c r="C52" s="83" t="s">
        <v>102</v>
      </c>
      <c r="D52" s="82" t="s">
        <v>41</v>
      </c>
      <c r="E52" s="84">
        <f>E51</f>
        <v>1839.1</v>
      </c>
      <c r="F52" s="85">
        <f>SUM(E52*2/1000)</f>
        <v>3.6781999999999999</v>
      </c>
      <c r="G52" s="13">
        <v>1510.06</v>
      </c>
      <c r="H52" s="86">
        <f t="shared" si="3"/>
        <v>5.5543026919999994</v>
      </c>
      <c r="I52" s="13">
        <f>F52/2*G52</f>
        <v>2777.1513459999996</v>
      </c>
      <c r="J52" s="23"/>
      <c r="L52" s="19"/>
      <c r="M52" s="20"/>
      <c r="N52" s="21"/>
    </row>
    <row r="53" spans="1:14" ht="31.5" hidden="1" customHeight="1">
      <c r="A53" s="41">
        <v>26</v>
      </c>
      <c r="B53" s="82" t="s">
        <v>115</v>
      </c>
      <c r="C53" s="83" t="s">
        <v>37</v>
      </c>
      <c r="D53" s="82" t="s">
        <v>41</v>
      </c>
      <c r="E53" s="84">
        <v>9</v>
      </c>
      <c r="F53" s="85">
        <f>SUM(E53*2/100)</f>
        <v>0.18</v>
      </c>
      <c r="G53" s="13">
        <v>3850.4</v>
      </c>
      <c r="H53" s="86">
        <f t="shared" si="3"/>
        <v>0.69307200000000002</v>
      </c>
      <c r="I53" s="13">
        <f t="shared" ref="I53:I54" si="5">F53/2*G53</f>
        <v>346.536</v>
      </c>
      <c r="J53" s="23"/>
      <c r="L53" s="19"/>
      <c r="M53" s="20"/>
      <c r="N53" s="21"/>
    </row>
    <row r="54" spans="1:14" ht="15.75" hidden="1" customHeight="1">
      <c r="A54" s="41">
        <v>27</v>
      </c>
      <c r="B54" s="82" t="s">
        <v>38</v>
      </c>
      <c r="C54" s="83" t="s">
        <v>39</v>
      </c>
      <c r="D54" s="82" t="s">
        <v>41</v>
      </c>
      <c r="E54" s="84">
        <v>1</v>
      </c>
      <c r="F54" s="85">
        <v>0.02</v>
      </c>
      <c r="G54" s="13">
        <v>7033.13</v>
      </c>
      <c r="H54" s="86">
        <f t="shared" si="3"/>
        <v>0.1406626</v>
      </c>
      <c r="I54" s="13">
        <f t="shared" si="5"/>
        <v>70.331299999999999</v>
      </c>
      <c r="J54" s="23"/>
      <c r="L54" s="19"/>
      <c r="M54" s="20"/>
      <c r="N54" s="21"/>
    </row>
    <row r="55" spans="1:14" ht="15.75" hidden="1" customHeight="1">
      <c r="A55" s="41">
        <v>28</v>
      </c>
      <c r="B55" s="82" t="s">
        <v>145</v>
      </c>
      <c r="C55" s="83" t="s">
        <v>29</v>
      </c>
      <c r="D55" s="82" t="s">
        <v>70</v>
      </c>
      <c r="E55" s="84">
        <v>36</v>
      </c>
      <c r="F55" s="85">
        <f>E55*3</f>
        <v>108</v>
      </c>
      <c r="G55" s="13">
        <v>175.6</v>
      </c>
      <c r="H55" s="86">
        <f t="shared" si="3"/>
        <v>18.9648</v>
      </c>
      <c r="I55" s="13">
        <f>E55*G55</f>
        <v>6321.5999999999995</v>
      </c>
      <c r="J55" s="23"/>
      <c r="L55" s="19"/>
      <c r="M55" s="20"/>
      <c r="N55" s="21"/>
    </row>
    <row r="56" spans="1:14" ht="15.75" hidden="1" customHeight="1">
      <c r="A56" s="41">
        <v>29</v>
      </c>
      <c r="B56" s="82" t="s">
        <v>40</v>
      </c>
      <c r="C56" s="83" t="s">
        <v>29</v>
      </c>
      <c r="D56" s="82" t="s">
        <v>70</v>
      </c>
      <c r="E56" s="84">
        <v>36</v>
      </c>
      <c r="F56" s="85">
        <f>E56*3</f>
        <v>108</v>
      </c>
      <c r="G56" s="13">
        <v>81.73</v>
      </c>
      <c r="H56" s="86">
        <f t="shared" si="3"/>
        <v>8.8268400000000007</v>
      </c>
      <c r="I56" s="13">
        <f>E56*G56</f>
        <v>2942.28</v>
      </c>
      <c r="J56" s="23"/>
      <c r="L56" s="19"/>
      <c r="M56" s="20"/>
      <c r="N56" s="21"/>
    </row>
    <row r="57" spans="1:14" ht="15.75" customHeight="1">
      <c r="A57" s="144" t="s">
        <v>138</v>
      </c>
      <c r="B57" s="145"/>
      <c r="C57" s="145"/>
      <c r="D57" s="145"/>
      <c r="E57" s="145"/>
      <c r="F57" s="145"/>
      <c r="G57" s="145"/>
      <c r="H57" s="145"/>
      <c r="I57" s="146"/>
      <c r="J57" s="23"/>
      <c r="L57" s="19"/>
      <c r="M57" s="20"/>
      <c r="N57" s="21"/>
    </row>
    <row r="58" spans="1:14" ht="15.75" hidden="1" customHeight="1">
      <c r="A58" s="81"/>
      <c r="B58" s="48" t="s">
        <v>42</v>
      </c>
      <c r="C58" s="16"/>
      <c r="D58" s="15"/>
      <c r="E58" s="15"/>
      <c r="F58" s="15"/>
      <c r="G58" s="29"/>
      <c r="H58" s="29"/>
      <c r="I58" s="18"/>
      <c r="J58" s="23"/>
      <c r="L58" s="19"/>
      <c r="M58" s="20"/>
      <c r="N58" s="21"/>
    </row>
    <row r="59" spans="1:14" ht="31.5" hidden="1" customHeight="1">
      <c r="A59" s="41">
        <v>12</v>
      </c>
      <c r="B59" s="82" t="s">
        <v>117</v>
      </c>
      <c r="C59" s="83" t="s">
        <v>147</v>
      </c>
      <c r="D59" s="82" t="s">
        <v>71</v>
      </c>
      <c r="E59" s="84">
        <v>12.5</v>
      </c>
      <c r="F59" s="85">
        <f>E59*6/100</f>
        <v>0.75</v>
      </c>
      <c r="G59" s="91">
        <v>2306.62</v>
      </c>
      <c r="H59" s="86">
        <f>F59*G59/1000</f>
        <v>1.729965</v>
      </c>
      <c r="I59" s="13">
        <f>F59/6*G59</f>
        <v>288.32749999999999</v>
      </c>
      <c r="J59" s="23"/>
      <c r="L59" s="19"/>
      <c r="M59" s="20"/>
      <c r="N59" s="21"/>
    </row>
    <row r="60" spans="1:14" ht="15.75" hidden="1" customHeight="1">
      <c r="A60" s="41">
        <v>13</v>
      </c>
      <c r="B60" s="92" t="s">
        <v>84</v>
      </c>
      <c r="C60" s="93" t="s">
        <v>118</v>
      </c>
      <c r="D60" s="37" t="s">
        <v>66</v>
      </c>
      <c r="E60" s="94"/>
      <c r="F60" s="95">
        <v>2</v>
      </c>
      <c r="G60" s="96">
        <v>1501</v>
      </c>
      <c r="H60" s="86">
        <f>F60*G60/1000</f>
        <v>3.0019999999999998</v>
      </c>
      <c r="I60" s="13">
        <f>G60*0.5</f>
        <v>750.5</v>
      </c>
      <c r="J60" s="23"/>
      <c r="L60" s="19"/>
      <c r="M60" s="20"/>
      <c r="N60" s="21"/>
    </row>
    <row r="61" spans="1:14" ht="15.75" hidden="1" customHeight="1">
      <c r="A61" s="41"/>
      <c r="B61" s="75" t="s">
        <v>43</v>
      </c>
      <c r="C61" s="75"/>
      <c r="D61" s="75"/>
      <c r="E61" s="75"/>
      <c r="F61" s="76"/>
      <c r="G61" s="63"/>
      <c r="H61" s="63"/>
      <c r="I61" s="35"/>
      <c r="J61" s="23"/>
      <c r="L61" s="19"/>
      <c r="M61" s="20"/>
      <c r="N61" s="21"/>
    </row>
    <row r="62" spans="1:14" ht="15.75" hidden="1" customHeight="1">
      <c r="A62" s="41">
        <v>27</v>
      </c>
      <c r="B62" s="92" t="s">
        <v>44</v>
      </c>
      <c r="C62" s="93" t="s">
        <v>52</v>
      </c>
      <c r="D62" s="92" t="s">
        <v>53</v>
      </c>
      <c r="E62" s="94">
        <v>164</v>
      </c>
      <c r="F62" s="95">
        <f>E62/100</f>
        <v>1.64</v>
      </c>
      <c r="G62" s="96">
        <v>987.51</v>
      </c>
      <c r="H62" s="97">
        <f>G62*F62/1000</f>
        <v>1.6195164</v>
      </c>
      <c r="I62" s="13">
        <v>0</v>
      </c>
      <c r="J62" s="23"/>
      <c r="L62" s="19"/>
      <c r="M62" s="20"/>
      <c r="N62" s="21"/>
    </row>
    <row r="63" spans="1:14" ht="15.75" customHeight="1">
      <c r="A63" s="41"/>
      <c r="B63" s="75" t="s">
        <v>45</v>
      </c>
      <c r="C63" s="16"/>
      <c r="D63" s="37"/>
      <c r="E63" s="15"/>
      <c r="F63" s="77"/>
      <c r="G63" s="64"/>
      <c r="H63" s="63"/>
      <c r="I63" s="18"/>
      <c r="J63" s="23"/>
      <c r="L63" s="19"/>
    </row>
    <row r="64" spans="1:14" ht="15.75" hidden="1" customHeight="1">
      <c r="A64" s="41">
        <v>17</v>
      </c>
      <c r="B64" s="98" t="s">
        <v>46</v>
      </c>
      <c r="C64" s="16" t="s">
        <v>116</v>
      </c>
      <c r="D64" s="98" t="s">
        <v>66</v>
      </c>
      <c r="E64" s="18">
        <v>1</v>
      </c>
      <c r="F64" s="85">
        <f>E64</f>
        <v>1</v>
      </c>
      <c r="G64" s="13">
        <v>276.74</v>
      </c>
      <c r="H64" s="99">
        <f t="shared" ref="H64:H72" si="6">SUM(F64*G64/1000)</f>
        <v>0.27673999999999999</v>
      </c>
      <c r="I64" s="13">
        <v>0</v>
      </c>
    </row>
    <row r="65" spans="1:22" ht="15.75" hidden="1" customHeight="1">
      <c r="A65" s="29">
        <v>29</v>
      </c>
      <c r="B65" s="98" t="s">
        <v>47</v>
      </c>
      <c r="C65" s="16" t="s">
        <v>116</v>
      </c>
      <c r="D65" s="98" t="s">
        <v>66</v>
      </c>
      <c r="E65" s="18">
        <v>3</v>
      </c>
      <c r="F65" s="85">
        <v>3</v>
      </c>
      <c r="G65" s="13">
        <v>94.89</v>
      </c>
      <c r="H65" s="99">
        <f t="shared" si="6"/>
        <v>0.28467000000000003</v>
      </c>
      <c r="I65" s="13">
        <v>0</v>
      </c>
    </row>
    <row r="66" spans="1:22" ht="15.75" customHeight="1">
      <c r="A66" s="29">
        <v>25</v>
      </c>
      <c r="B66" s="98" t="s">
        <v>48</v>
      </c>
      <c r="C66" s="16" t="s">
        <v>119</v>
      </c>
      <c r="D66" s="98" t="s">
        <v>53</v>
      </c>
      <c r="E66" s="84">
        <v>7265</v>
      </c>
      <c r="F66" s="13">
        <f>SUM(E66/100)</f>
        <v>72.650000000000006</v>
      </c>
      <c r="G66" s="13">
        <v>263.99</v>
      </c>
      <c r="H66" s="99">
        <f t="shared" si="6"/>
        <v>19.178873500000002</v>
      </c>
      <c r="I66" s="13">
        <f>F66*G66</f>
        <v>19178.873500000002</v>
      </c>
    </row>
    <row r="67" spans="1:22" ht="15.75" customHeight="1">
      <c r="A67" s="29">
        <v>26</v>
      </c>
      <c r="B67" s="98" t="s">
        <v>49</v>
      </c>
      <c r="C67" s="16" t="s">
        <v>120</v>
      </c>
      <c r="D67" s="98" t="s">
        <v>53</v>
      </c>
      <c r="E67" s="84">
        <f>E66</f>
        <v>7265</v>
      </c>
      <c r="F67" s="13">
        <f>SUM(E67/1000)</f>
        <v>7.2649999999999997</v>
      </c>
      <c r="G67" s="13">
        <v>205.57</v>
      </c>
      <c r="H67" s="99">
        <f t="shared" si="6"/>
        <v>1.4934660500000001</v>
      </c>
      <c r="I67" s="13">
        <f t="shared" ref="I67:I70" si="7">F67*G67</f>
        <v>1493.46605</v>
      </c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9"/>
    </row>
    <row r="68" spans="1:22" ht="15.75" customHeight="1">
      <c r="A68" s="29">
        <v>27</v>
      </c>
      <c r="B68" s="98" t="s">
        <v>50</v>
      </c>
      <c r="C68" s="16" t="s">
        <v>76</v>
      </c>
      <c r="D68" s="98" t="s">
        <v>53</v>
      </c>
      <c r="E68" s="84">
        <v>1090</v>
      </c>
      <c r="F68" s="13">
        <f>SUM(E68/100)</f>
        <v>10.9</v>
      </c>
      <c r="G68" s="13">
        <v>2581.5300000000002</v>
      </c>
      <c r="H68" s="99">
        <f t="shared" si="6"/>
        <v>28.138677000000005</v>
      </c>
      <c r="I68" s="13">
        <f t="shared" si="7"/>
        <v>28138.677000000003</v>
      </c>
      <c r="J68" s="25"/>
      <c r="K68" s="25"/>
      <c r="L68" s="3"/>
      <c r="M68" s="3"/>
      <c r="N68" s="3"/>
      <c r="O68" s="3"/>
      <c r="P68" s="3"/>
      <c r="Q68" s="3"/>
      <c r="R68" s="3"/>
      <c r="S68" s="3"/>
      <c r="T68" s="3"/>
      <c r="U68" s="3"/>
    </row>
    <row r="69" spans="1:22" ht="15.75" customHeight="1">
      <c r="A69" s="29">
        <v>28</v>
      </c>
      <c r="B69" s="100" t="s">
        <v>121</v>
      </c>
      <c r="C69" s="16" t="s">
        <v>31</v>
      </c>
      <c r="D69" s="98"/>
      <c r="E69" s="84">
        <v>7.6</v>
      </c>
      <c r="F69" s="13">
        <f>SUM(E69)</f>
        <v>7.6</v>
      </c>
      <c r="G69" s="13">
        <v>47.45</v>
      </c>
      <c r="H69" s="99">
        <f t="shared" si="6"/>
        <v>0.36062</v>
      </c>
      <c r="I69" s="13">
        <f t="shared" si="7"/>
        <v>360.62</v>
      </c>
      <c r="J69" s="3"/>
      <c r="K69" s="3"/>
      <c r="L69" s="3"/>
      <c r="M69" s="3"/>
      <c r="N69" s="3"/>
      <c r="O69" s="3"/>
      <c r="P69" s="3"/>
      <c r="Q69" s="3"/>
      <c r="S69" s="3"/>
      <c r="T69" s="3"/>
      <c r="U69" s="3"/>
    </row>
    <row r="70" spans="1:22" ht="15.75" customHeight="1">
      <c r="A70" s="29">
        <v>29</v>
      </c>
      <c r="B70" s="100" t="s">
        <v>148</v>
      </c>
      <c r="C70" s="16" t="s">
        <v>31</v>
      </c>
      <c r="D70" s="98"/>
      <c r="E70" s="84">
        <f>E69</f>
        <v>7.6</v>
      </c>
      <c r="F70" s="13">
        <f>SUM(E70)</f>
        <v>7.6</v>
      </c>
      <c r="G70" s="13">
        <v>44.27</v>
      </c>
      <c r="H70" s="99">
        <f t="shared" si="6"/>
        <v>0.33645199999999997</v>
      </c>
      <c r="I70" s="13">
        <f t="shared" si="7"/>
        <v>336.452</v>
      </c>
      <c r="J70" s="5"/>
      <c r="K70" s="5"/>
      <c r="L70" s="5"/>
      <c r="M70" s="5"/>
      <c r="N70" s="5"/>
      <c r="O70" s="5"/>
      <c r="P70" s="5"/>
      <c r="Q70" s="5"/>
      <c r="R70" s="136"/>
      <c r="S70" s="136"/>
      <c r="T70" s="136"/>
      <c r="U70" s="136"/>
    </row>
    <row r="71" spans="1:22" ht="15.75" hidden="1" customHeight="1">
      <c r="A71" s="29">
        <v>13</v>
      </c>
      <c r="B71" s="98" t="s">
        <v>56</v>
      </c>
      <c r="C71" s="16" t="s">
        <v>57</v>
      </c>
      <c r="D71" s="98" t="s">
        <v>53</v>
      </c>
      <c r="E71" s="18">
        <v>2</v>
      </c>
      <c r="F71" s="85">
        <f>SUM(E71)</f>
        <v>2</v>
      </c>
      <c r="G71" s="13">
        <v>62.07</v>
      </c>
      <c r="H71" s="99">
        <f t="shared" si="6"/>
        <v>0.12414</v>
      </c>
      <c r="I71" s="13">
        <v>0</v>
      </c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</row>
    <row r="72" spans="1:22" ht="15.75" customHeight="1">
      <c r="A72" s="29">
        <v>30</v>
      </c>
      <c r="B72" s="98" t="s">
        <v>85</v>
      </c>
      <c r="C72" s="41" t="s">
        <v>131</v>
      </c>
      <c r="D72" s="37" t="s">
        <v>66</v>
      </c>
      <c r="E72" s="17">
        <v>1839.1</v>
      </c>
      <c r="F72" s="101">
        <f>SUM(E72*12)</f>
        <v>22069.199999999997</v>
      </c>
      <c r="G72" s="13">
        <v>2.16</v>
      </c>
      <c r="H72" s="99">
        <f t="shared" si="6"/>
        <v>47.669471999999992</v>
      </c>
      <c r="I72" s="13">
        <f>F72/12*G72</f>
        <v>3972.4559999999997</v>
      </c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</row>
    <row r="73" spans="1:22" ht="15.75" hidden="1" customHeight="1">
      <c r="A73" s="29"/>
      <c r="B73" s="49" t="s">
        <v>72</v>
      </c>
      <c r="C73" s="49"/>
      <c r="D73" s="49"/>
      <c r="E73" s="18"/>
      <c r="F73" s="18"/>
      <c r="G73" s="29"/>
      <c r="H73" s="29"/>
      <c r="I73" s="18"/>
    </row>
    <row r="74" spans="1:22" ht="15.75" hidden="1" customHeight="1">
      <c r="A74" s="29"/>
      <c r="B74" s="98" t="s">
        <v>123</v>
      </c>
      <c r="C74" s="16" t="s">
        <v>124</v>
      </c>
      <c r="D74" s="98" t="s">
        <v>66</v>
      </c>
      <c r="E74" s="18">
        <v>1</v>
      </c>
      <c r="F74" s="13">
        <f>E74</f>
        <v>1</v>
      </c>
      <c r="G74" s="13">
        <v>976.4</v>
      </c>
      <c r="H74" s="99">
        <f t="shared" ref="H74:H78" si="8">SUM(F74*G74/1000)</f>
        <v>0.97639999999999993</v>
      </c>
      <c r="I74" s="13">
        <v>0</v>
      </c>
    </row>
    <row r="75" spans="1:22" ht="15.75" hidden="1" customHeight="1">
      <c r="A75" s="29"/>
      <c r="B75" s="98" t="s">
        <v>125</v>
      </c>
      <c r="C75" s="16" t="s">
        <v>126</v>
      </c>
      <c r="D75" s="98"/>
      <c r="E75" s="18">
        <v>1</v>
      </c>
      <c r="F75" s="13">
        <v>1</v>
      </c>
      <c r="G75" s="13">
        <v>650</v>
      </c>
      <c r="H75" s="99">
        <f t="shared" si="8"/>
        <v>0.65</v>
      </c>
      <c r="I75" s="13">
        <v>0</v>
      </c>
    </row>
    <row r="76" spans="1:22" ht="15.75" hidden="1" customHeight="1">
      <c r="A76" s="29"/>
      <c r="B76" s="98" t="s">
        <v>73</v>
      </c>
      <c r="C76" s="16" t="s">
        <v>149</v>
      </c>
      <c r="D76" s="98" t="s">
        <v>66</v>
      </c>
      <c r="E76" s="18">
        <v>3</v>
      </c>
      <c r="F76" s="13">
        <f>E76/10</f>
        <v>0.3</v>
      </c>
      <c r="G76" s="13">
        <v>624.16999999999996</v>
      </c>
      <c r="H76" s="99">
        <f t="shared" si="8"/>
        <v>0.18725099999999997</v>
      </c>
      <c r="I76" s="13">
        <v>0</v>
      </c>
    </row>
    <row r="77" spans="1:22" ht="15.75" hidden="1" customHeight="1">
      <c r="A77" s="29"/>
      <c r="B77" s="98" t="s">
        <v>74</v>
      </c>
      <c r="C77" s="16" t="s">
        <v>29</v>
      </c>
      <c r="D77" s="98" t="s">
        <v>66</v>
      </c>
      <c r="E77" s="18">
        <v>1</v>
      </c>
      <c r="F77" s="13">
        <v>1</v>
      </c>
      <c r="G77" s="13">
        <v>1061.4100000000001</v>
      </c>
      <c r="H77" s="99">
        <f t="shared" si="8"/>
        <v>1.0614100000000002</v>
      </c>
      <c r="I77" s="13">
        <v>0</v>
      </c>
    </row>
    <row r="78" spans="1:22" ht="15.75" hidden="1" customHeight="1">
      <c r="A78" s="29">
        <v>17</v>
      </c>
      <c r="B78" s="98" t="s">
        <v>86</v>
      </c>
      <c r="C78" s="16" t="s">
        <v>29</v>
      </c>
      <c r="D78" s="98" t="s">
        <v>66</v>
      </c>
      <c r="E78" s="18">
        <v>1</v>
      </c>
      <c r="F78" s="85">
        <f>SUM(E78)</f>
        <v>1</v>
      </c>
      <c r="G78" s="13">
        <v>446.12</v>
      </c>
      <c r="H78" s="99">
        <f t="shared" si="8"/>
        <v>0.44612000000000002</v>
      </c>
      <c r="I78" s="13">
        <f>G78</f>
        <v>446.12</v>
      </c>
    </row>
    <row r="79" spans="1:22" ht="15.75" hidden="1" customHeight="1">
      <c r="A79" s="29"/>
      <c r="B79" s="50" t="s">
        <v>75</v>
      </c>
      <c r="C79" s="38"/>
      <c r="D79" s="29"/>
      <c r="E79" s="18"/>
      <c r="F79" s="18"/>
      <c r="G79" s="36"/>
      <c r="H79" s="36"/>
      <c r="I79" s="18"/>
    </row>
    <row r="80" spans="1:22" ht="15.75" hidden="1" customHeight="1">
      <c r="A80" s="29">
        <v>39</v>
      </c>
      <c r="B80" s="39" t="s">
        <v>127</v>
      </c>
      <c r="C80" s="16" t="s">
        <v>76</v>
      </c>
      <c r="D80" s="98"/>
      <c r="E80" s="18"/>
      <c r="F80" s="13">
        <v>1.3</v>
      </c>
      <c r="G80" s="13">
        <v>3433.68</v>
      </c>
      <c r="H80" s="99">
        <f t="shared" ref="H80" si="9">SUM(F80*G80/1000)</f>
        <v>4.4637839999999995</v>
      </c>
      <c r="I80" s="13">
        <v>0</v>
      </c>
    </row>
    <row r="81" spans="1:9" ht="15.75" hidden="1" customHeight="1">
      <c r="A81" s="81"/>
      <c r="B81" s="75" t="s">
        <v>122</v>
      </c>
      <c r="C81" s="75"/>
      <c r="D81" s="75"/>
      <c r="E81" s="75"/>
      <c r="F81" s="75"/>
      <c r="G81" s="75"/>
      <c r="H81" s="75"/>
      <c r="I81" s="18"/>
    </row>
    <row r="82" spans="1:9" ht="15.75" hidden="1" customHeight="1">
      <c r="A82" s="29">
        <v>15</v>
      </c>
      <c r="B82" s="82" t="s">
        <v>89</v>
      </c>
      <c r="C82" s="16"/>
      <c r="D82" s="98"/>
      <c r="E82" s="102"/>
      <c r="F82" s="13">
        <v>1</v>
      </c>
      <c r="G82" s="13">
        <v>13707.8</v>
      </c>
      <c r="H82" s="99">
        <f>G82*F82/1000</f>
        <v>13.707799999999999</v>
      </c>
      <c r="I82" s="13">
        <f>G82</f>
        <v>13707.8</v>
      </c>
    </row>
    <row r="83" spans="1:9" ht="15.75" customHeight="1">
      <c r="A83" s="129" t="s">
        <v>139</v>
      </c>
      <c r="B83" s="130"/>
      <c r="C83" s="130"/>
      <c r="D83" s="130"/>
      <c r="E83" s="130"/>
      <c r="F83" s="130"/>
      <c r="G83" s="130"/>
      <c r="H83" s="130"/>
      <c r="I83" s="131"/>
    </row>
    <row r="84" spans="1:9" ht="15.75" customHeight="1">
      <c r="A84" s="29">
        <v>31</v>
      </c>
      <c r="B84" s="82" t="s">
        <v>128</v>
      </c>
      <c r="C84" s="16" t="s">
        <v>54</v>
      </c>
      <c r="D84" s="104" t="s">
        <v>150</v>
      </c>
      <c r="E84" s="13">
        <v>1839.1</v>
      </c>
      <c r="F84" s="13">
        <f>SUM(E84*12)</f>
        <v>22069.199999999997</v>
      </c>
      <c r="G84" s="13">
        <v>2.95</v>
      </c>
      <c r="H84" s="99">
        <f>SUM(F84*G84/1000)</f>
        <v>65.104139999999987</v>
      </c>
      <c r="I84" s="13">
        <f>F84/12*G84</f>
        <v>5425.3449999999993</v>
      </c>
    </row>
    <row r="85" spans="1:9" ht="31.5" customHeight="1">
      <c r="A85" s="29">
        <v>32</v>
      </c>
      <c r="B85" s="98" t="s">
        <v>77</v>
      </c>
      <c r="C85" s="16"/>
      <c r="D85" s="104" t="s">
        <v>150</v>
      </c>
      <c r="E85" s="84">
        <v>1839.1</v>
      </c>
      <c r="F85" s="13">
        <f>E85*12</f>
        <v>22069.199999999997</v>
      </c>
      <c r="G85" s="13">
        <v>3.05</v>
      </c>
      <c r="H85" s="99">
        <f>F85*G85/1000</f>
        <v>67.311059999999983</v>
      </c>
      <c r="I85" s="13">
        <f>F85/12*G85</f>
        <v>5609.2549999999983</v>
      </c>
    </row>
    <row r="86" spans="1:9" ht="31.5" customHeight="1">
      <c r="A86" s="29">
        <v>33</v>
      </c>
      <c r="B86" s="98" t="s">
        <v>132</v>
      </c>
      <c r="C86" s="16" t="s">
        <v>133</v>
      </c>
      <c r="D86" s="104" t="s">
        <v>150</v>
      </c>
      <c r="E86" s="102"/>
      <c r="F86" s="13"/>
      <c r="G86" s="13"/>
      <c r="H86" s="99">
        <v>59.113</v>
      </c>
      <c r="I86" s="13">
        <f>59113/12</f>
        <v>4926.083333333333</v>
      </c>
    </row>
    <row r="87" spans="1:9" ht="15.75" customHeight="1">
      <c r="A87" s="81"/>
      <c r="B87" s="40" t="s">
        <v>79</v>
      </c>
      <c r="C87" s="41"/>
      <c r="D87" s="15"/>
      <c r="E87" s="15"/>
      <c r="F87" s="15"/>
      <c r="G87" s="18"/>
      <c r="H87" s="18"/>
      <c r="I87" s="31">
        <f>I86+I85+I84+I72+I70+I69+I68+I67+I66+I51+I50+I49+I48+I47+I46+I35+I34+I33+I32+I31+I28+I27+I26+I25+I24+I23+I22+I21+I20+I19+I18+I17+I16</f>
        <v>93950.388762944436</v>
      </c>
    </row>
    <row r="88" spans="1:9" ht="15.75" customHeight="1">
      <c r="A88" s="132" t="s">
        <v>59</v>
      </c>
      <c r="B88" s="133"/>
      <c r="C88" s="133"/>
      <c r="D88" s="133"/>
      <c r="E88" s="133"/>
      <c r="F88" s="133"/>
      <c r="G88" s="133"/>
      <c r="H88" s="133"/>
      <c r="I88" s="134"/>
    </row>
    <row r="89" spans="1:9" ht="15.75" customHeight="1">
      <c r="A89" s="107">
        <v>34</v>
      </c>
      <c r="B89" s="37" t="s">
        <v>166</v>
      </c>
      <c r="C89" s="38" t="s">
        <v>167</v>
      </c>
      <c r="D89" s="52"/>
      <c r="E89" s="13"/>
      <c r="F89" s="13">
        <v>2</v>
      </c>
      <c r="G89" s="36">
        <v>1.2</v>
      </c>
      <c r="H89" s="99">
        <f t="shared" ref="H89" si="10">G89*F89/1000</f>
        <v>2.3999999999999998E-3</v>
      </c>
      <c r="I89" s="108">
        <f>G89*12</f>
        <v>14.399999999999999</v>
      </c>
    </row>
    <row r="90" spans="1:9" ht="15.75" customHeight="1">
      <c r="A90" s="29"/>
      <c r="B90" s="46" t="s">
        <v>51</v>
      </c>
      <c r="C90" s="42"/>
      <c r="D90" s="54"/>
      <c r="E90" s="42">
        <v>1</v>
      </c>
      <c r="F90" s="42"/>
      <c r="G90" s="42"/>
      <c r="H90" s="42"/>
      <c r="I90" s="31">
        <f>SUM(I89:I89)</f>
        <v>14.399999999999999</v>
      </c>
    </row>
    <row r="91" spans="1:9" ht="15.75" customHeight="1">
      <c r="A91" s="29"/>
      <c r="B91" s="52" t="s">
        <v>78</v>
      </c>
      <c r="C91" s="15"/>
      <c r="D91" s="15"/>
      <c r="E91" s="43"/>
      <c r="F91" s="43"/>
      <c r="G91" s="44"/>
      <c r="H91" s="44"/>
      <c r="I91" s="17">
        <v>0</v>
      </c>
    </row>
    <row r="92" spans="1:9" ht="15.75" customHeight="1">
      <c r="A92" s="55"/>
      <c r="B92" s="47" t="s">
        <v>140</v>
      </c>
      <c r="C92" s="34"/>
      <c r="D92" s="34"/>
      <c r="E92" s="34"/>
      <c r="F92" s="34"/>
      <c r="G92" s="34"/>
      <c r="H92" s="34"/>
      <c r="I92" s="45">
        <f>I87+I90</f>
        <v>93964.78876294443</v>
      </c>
    </row>
    <row r="93" spans="1:9" ht="15.75">
      <c r="A93" s="135" t="s">
        <v>185</v>
      </c>
      <c r="B93" s="135"/>
      <c r="C93" s="135"/>
      <c r="D93" s="135"/>
      <c r="E93" s="135"/>
      <c r="F93" s="135"/>
      <c r="G93" s="135"/>
      <c r="H93" s="135"/>
      <c r="I93" s="135"/>
    </row>
    <row r="94" spans="1:9" ht="15.75">
      <c r="A94" s="61"/>
      <c r="B94" s="151" t="s">
        <v>186</v>
      </c>
      <c r="C94" s="151"/>
      <c r="D94" s="151"/>
      <c r="E94" s="151"/>
      <c r="F94" s="151"/>
      <c r="G94" s="151"/>
      <c r="H94" s="80"/>
      <c r="I94" s="3"/>
    </row>
    <row r="95" spans="1:9">
      <c r="A95" s="71"/>
      <c r="B95" s="147" t="s">
        <v>6</v>
      </c>
      <c r="C95" s="147"/>
      <c r="D95" s="147"/>
      <c r="E95" s="147"/>
      <c r="F95" s="147"/>
      <c r="G95" s="147"/>
      <c r="H95" s="24"/>
      <c r="I95" s="5"/>
    </row>
    <row r="96" spans="1:9">
      <c r="A96" s="10"/>
      <c r="B96" s="10"/>
      <c r="C96" s="10"/>
      <c r="D96" s="10"/>
      <c r="E96" s="10"/>
      <c r="F96" s="10"/>
      <c r="G96" s="10"/>
      <c r="H96" s="10"/>
      <c r="I96" s="10"/>
    </row>
    <row r="97" spans="1:9" ht="15.75">
      <c r="A97" s="155" t="s">
        <v>7</v>
      </c>
      <c r="B97" s="155"/>
      <c r="C97" s="155"/>
      <c r="D97" s="155"/>
      <c r="E97" s="155"/>
      <c r="F97" s="155"/>
      <c r="G97" s="155"/>
      <c r="H97" s="155"/>
      <c r="I97" s="155"/>
    </row>
    <row r="98" spans="1:9" ht="15.75">
      <c r="A98" s="155" t="s">
        <v>8</v>
      </c>
      <c r="B98" s="155"/>
      <c r="C98" s="155"/>
      <c r="D98" s="155"/>
      <c r="E98" s="155"/>
      <c r="F98" s="155"/>
      <c r="G98" s="155"/>
      <c r="H98" s="155"/>
      <c r="I98" s="155"/>
    </row>
    <row r="99" spans="1:9" ht="15.75">
      <c r="A99" s="152" t="s">
        <v>60</v>
      </c>
      <c r="B99" s="152"/>
      <c r="C99" s="152"/>
      <c r="D99" s="152"/>
      <c r="E99" s="152"/>
      <c r="F99" s="152"/>
      <c r="G99" s="152"/>
      <c r="H99" s="152"/>
      <c r="I99" s="152"/>
    </row>
    <row r="100" spans="1:9" ht="15.75">
      <c r="A100" s="11"/>
    </row>
    <row r="101" spans="1:9" ht="15.75">
      <c r="A101" s="153" t="s">
        <v>9</v>
      </c>
      <c r="B101" s="153"/>
      <c r="C101" s="153"/>
      <c r="D101" s="153"/>
      <c r="E101" s="153"/>
      <c r="F101" s="153"/>
      <c r="G101" s="153"/>
      <c r="H101" s="153"/>
      <c r="I101" s="153"/>
    </row>
    <row r="102" spans="1:9" ht="15.75">
      <c r="A102" s="4"/>
    </row>
    <row r="103" spans="1:9" ht="15.75">
      <c r="B103" s="70" t="s">
        <v>10</v>
      </c>
      <c r="C103" s="154" t="s">
        <v>87</v>
      </c>
      <c r="D103" s="154"/>
      <c r="E103" s="154"/>
      <c r="F103" s="78"/>
      <c r="I103" s="73"/>
    </row>
    <row r="104" spans="1:9">
      <c r="A104" s="71"/>
      <c r="C104" s="147" t="s">
        <v>11</v>
      </c>
      <c r="D104" s="147"/>
      <c r="E104" s="147"/>
      <c r="F104" s="24"/>
      <c r="I104" s="72" t="s">
        <v>12</v>
      </c>
    </row>
    <row r="105" spans="1:9" ht="15.75">
      <c r="A105" s="25"/>
      <c r="C105" s="12"/>
      <c r="D105" s="12"/>
      <c r="G105" s="12"/>
      <c r="H105" s="12"/>
    </row>
    <row r="106" spans="1:9" ht="15.75">
      <c r="B106" s="70" t="s">
        <v>13</v>
      </c>
      <c r="C106" s="149"/>
      <c r="D106" s="149"/>
      <c r="E106" s="149"/>
      <c r="F106" s="79"/>
      <c r="I106" s="73"/>
    </row>
    <row r="107" spans="1:9">
      <c r="A107" s="71"/>
      <c r="C107" s="136" t="s">
        <v>11</v>
      </c>
      <c r="D107" s="136"/>
      <c r="E107" s="136"/>
      <c r="F107" s="71"/>
      <c r="I107" s="72" t="s">
        <v>12</v>
      </c>
    </row>
    <row r="108" spans="1:9" ht="15.75">
      <c r="A108" s="4" t="s">
        <v>14</v>
      </c>
    </row>
    <row r="109" spans="1:9">
      <c r="A109" s="150" t="s">
        <v>15</v>
      </c>
      <c r="B109" s="150"/>
      <c r="C109" s="150"/>
      <c r="D109" s="150"/>
      <c r="E109" s="150"/>
      <c r="F109" s="150"/>
      <c r="G109" s="150"/>
      <c r="H109" s="150"/>
      <c r="I109" s="150"/>
    </row>
    <row r="110" spans="1:9" ht="45" customHeight="1">
      <c r="A110" s="148" t="s">
        <v>16</v>
      </c>
      <c r="B110" s="148"/>
      <c r="C110" s="148"/>
      <c r="D110" s="148"/>
      <c r="E110" s="148"/>
      <c r="F110" s="148"/>
      <c r="G110" s="148"/>
      <c r="H110" s="148"/>
      <c r="I110" s="148"/>
    </row>
    <row r="111" spans="1:9" ht="30" customHeight="1">
      <c r="A111" s="148" t="s">
        <v>17</v>
      </c>
      <c r="B111" s="148"/>
      <c r="C111" s="148"/>
      <c r="D111" s="148"/>
      <c r="E111" s="148"/>
      <c r="F111" s="148"/>
      <c r="G111" s="148"/>
      <c r="H111" s="148"/>
      <c r="I111" s="148"/>
    </row>
    <row r="112" spans="1:9" ht="30" customHeight="1">
      <c r="A112" s="148" t="s">
        <v>21</v>
      </c>
      <c r="B112" s="148"/>
      <c r="C112" s="148"/>
      <c r="D112" s="148"/>
      <c r="E112" s="148"/>
      <c r="F112" s="148"/>
      <c r="G112" s="148"/>
      <c r="H112" s="148"/>
      <c r="I112" s="148"/>
    </row>
    <row r="113" spans="1:9" ht="15.75">
      <c r="A113" s="148" t="s">
        <v>20</v>
      </c>
      <c r="B113" s="148"/>
      <c r="C113" s="148"/>
      <c r="D113" s="148"/>
      <c r="E113" s="148"/>
      <c r="F113" s="148"/>
      <c r="G113" s="148"/>
      <c r="H113" s="148"/>
      <c r="I113" s="148"/>
    </row>
  </sheetData>
  <autoFilter ref="I12:I65"/>
  <mergeCells count="29">
    <mergeCell ref="A14:I14"/>
    <mergeCell ref="A15:I15"/>
    <mergeCell ref="A29:I29"/>
    <mergeCell ref="A45:I45"/>
    <mergeCell ref="A57:I57"/>
    <mergeCell ref="A3:I3"/>
    <mergeCell ref="A4:I4"/>
    <mergeCell ref="A5:I5"/>
    <mergeCell ref="A8:I8"/>
    <mergeCell ref="A10:I10"/>
    <mergeCell ref="R70:U70"/>
    <mergeCell ref="C107:E107"/>
    <mergeCell ref="A88:I88"/>
    <mergeCell ref="A93:I93"/>
    <mergeCell ref="B94:G94"/>
    <mergeCell ref="B95:G95"/>
    <mergeCell ref="A97:I97"/>
    <mergeCell ref="A98:I98"/>
    <mergeCell ref="A99:I99"/>
    <mergeCell ref="A101:I101"/>
    <mergeCell ref="C103:E103"/>
    <mergeCell ref="C104:E104"/>
    <mergeCell ref="C106:E106"/>
    <mergeCell ref="A83:I83"/>
    <mergeCell ref="A109:I109"/>
    <mergeCell ref="A110:I110"/>
    <mergeCell ref="A111:I111"/>
    <mergeCell ref="A112:I112"/>
    <mergeCell ref="A113:I113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>
  <dimension ref="A1:V115"/>
  <sheetViews>
    <sheetView topLeftCell="A72" workbookViewId="0">
      <selection activeCell="B89" sqref="B89:I89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7" t="s">
        <v>82</v>
      </c>
      <c r="I1" s="26"/>
      <c r="J1" s="1"/>
      <c r="K1" s="1"/>
      <c r="L1" s="1"/>
      <c r="M1" s="1"/>
    </row>
    <row r="2" spans="1:13" ht="15.75" customHeight="1">
      <c r="A2" s="28" t="s">
        <v>61</v>
      </c>
      <c r="J2" s="2"/>
      <c r="K2" s="2"/>
      <c r="L2" s="2"/>
      <c r="M2" s="2"/>
    </row>
    <row r="3" spans="1:13" ht="15.75" customHeight="1">
      <c r="A3" s="137" t="s">
        <v>158</v>
      </c>
      <c r="B3" s="137"/>
      <c r="C3" s="137"/>
      <c r="D3" s="137"/>
      <c r="E3" s="137"/>
      <c r="F3" s="137"/>
      <c r="G3" s="137"/>
      <c r="H3" s="137"/>
      <c r="I3" s="137"/>
      <c r="J3" s="3"/>
      <c r="K3" s="3"/>
      <c r="L3" s="3"/>
    </row>
    <row r="4" spans="1:13" ht="31.5" customHeight="1">
      <c r="A4" s="138" t="s">
        <v>129</v>
      </c>
      <c r="B4" s="138"/>
      <c r="C4" s="138"/>
      <c r="D4" s="138"/>
      <c r="E4" s="138"/>
      <c r="F4" s="138"/>
      <c r="G4" s="138"/>
      <c r="H4" s="138"/>
      <c r="I4" s="138"/>
    </row>
    <row r="5" spans="1:13" ht="15.75" customHeight="1">
      <c r="A5" s="137" t="s">
        <v>187</v>
      </c>
      <c r="B5" s="141"/>
      <c r="C5" s="141"/>
      <c r="D5" s="141"/>
      <c r="E5" s="141"/>
      <c r="F5" s="141"/>
      <c r="G5" s="141"/>
      <c r="H5" s="141"/>
      <c r="I5" s="141"/>
      <c r="J5" s="2"/>
      <c r="K5" s="2"/>
      <c r="L5" s="2"/>
      <c r="M5" s="2"/>
    </row>
    <row r="6" spans="1:13" ht="15.75" customHeight="1">
      <c r="A6" s="2"/>
      <c r="B6" s="74"/>
      <c r="C6" s="74"/>
      <c r="D6" s="74"/>
      <c r="E6" s="74"/>
      <c r="F6" s="74"/>
      <c r="G6" s="74"/>
      <c r="H6" s="74"/>
      <c r="I6" s="30">
        <v>43281</v>
      </c>
      <c r="J6" s="2"/>
      <c r="K6" s="2"/>
      <c r="L6" s="2"/>
      <c r="M6" s="2"/>
    </row>
    <row r="7" spans="1:13" ht="15.75" customHeight="1">
      <c r="B7" s="70"/>
      <c r="C7" s="70"/>
      <c r="D7" s="70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139" t="s">
        <v>136</v>
      </c>
      <c r="B8" s="139"/>
      <c r="C8" s="139"/>
      <c r="D8" s="139"/>
      <c r="E8" s="139"/>
      <c r="F8" s="139"/>
      <c r="G8" s="139"/>
      <c r="H8" s="139"/>
      <c r="I8" s="139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140" t="s">
        <v>135</v>
      </c>
      <c r="B10" s="140"/>
      <c r="C10" s="140"/>
      <c r="D10" s="140"/>
      <c r="E10" s="140"/>
      <c r="F10" s="140"/>
      <c r="G10" s="140"/>
      <c r="H10" s="140"/>
      <c r="I10" s="140"/>
      <c r="J10" s="2"/>
      <c r="K10" s="2"/>
      <c r="L10" s="2"/>
      <c r="M10" s="2"/>
    </row>
    <row r="11" spans="1:13" ht="15.75">
      <c r="A11" s="4"/>
    </row>
    <row r="12" spans="1:13" ht="47.2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142" t="s">
        <v>58</v>
      </c>
      <c r="B14" s="142"/>
      <c r="C14" s="142"/>
      <c r="D14" s="142"/>
      <c r="E14" s="142"/>
      <c r="F14" s="142"/>
      <c r="G14" s="142"/>
      <c r="H14" s="142"/>
      <c r="I14" s="142"/>
      <c r="J14" s="8"/>
      <c r="K14" s="8"/>
      <c r="L14" s="8"/>
      <c r="M14" s="8"/>
    </row>
    <row r="15" spans="1:13" ht="15.75" customHeight="1">
      <c r="A15" s="143" t="s">
        <v>4</v>
      </c>
      <c r="B15" s="143"/>
      <c r="C15" s="143"/>
      <c r="D15" s="143"/>
      <c r="E15" s="143"/>
      <c r="F15" s="143"/>
      <c r="G15" s="143"/>
      <c r="H15" s="143"/>
      <c r="I15" s="143"/>
      <c r="J15" s="8"/>
      <c r="K15" s="8"/>
      <c r="L15" s="8"/>
      <c r="M15" s="8"/>
    </row>
    <row r="16" spans="1:13" ht="15.75" customHeight="1">
      <c r="A16" s="29">
        <v>1</v>
      </c>
      <c r="B16" s="82" t="s">
        <v>83</v>
      </c>
      <c r="C16" s="83" t="s">
        <v>92</v>
      </c>
      <c r="D16" s="82" t="s">
        <v>141</v>
      </c>
      <c r="E16" s="84">
        <v>54.2</v>
      </c>
      <c r="F16" s="85">
        <f>SUM(E16*156/100)</f>
        <v>84.552000000000007</v>
      </c>
      <c r="G16" s="85">
        <v>218.21</v>
      </c>
      <c r="H16" s="86">
        <f t="shared" ref="H16:H26" si="0">SUM(F16*G16/1000)</f>
        <v>18.450091920000002</v>
      </c>
      <c r="I16" s="13">
        <f>F16/12*G16</f>
        <v>1537.5076600000002</v>
      </c>
      <c r="J16" s="8"/>
      <c r="K16" s="8"/>
      <c r="L16" s="8"/>
      <c r="M16" s="8"/>
    </row>
    <row r="17" spans="1:13" ht="15.75" customHeight="1">
      <c r="A17" s="29">
        <v>2</v>
      </c>
      <c r="B17" s="82" t="s">
        <v>90</v>
      </c>
      <c r="C17" s="83" t="s">
        <v>92</v>
      </c>
      <c r="D17" s="82" t="s">
        <v>142</v>
      </c>
      <c r="E17" s="84">
        <v>108.5</v>
      </c>
      <c r="F17" s="85">
        <f>SUM(E17*104/100)</f>
        <v>112.84</v>
      </c>
      <c r="G17" s="85">
        <v>218.21</v>
      </c>
      <c r="H17" s="86">
        <f t="shared" si="0"/>
        <v>24.622816400000005</v>
      </c>
      <c r="I17" s="13">
        <f>F17/12*G17</f>
        <v>2051.9013666666669</v>
      </c>
      <c r="J17" s="22"/>
      <c r="K17" s="8"/>
      <c r="L17" s="8"/>
      <c r="M17" s="8"/>
    </row>
    <row r="18" spans="1:13" ht="15.75" customHeight="1">
      <c r="A18" s="29">
        <v>3</v>
      </c>
      <c r="B18" s="82" t="s">
        <v>91</v>
      </c>
      <c r="C18" s="83" t="s">
        <v>92</v>
      </c>
      <c r="D18" s="82" t="s">
        <v>143</v>
      </c>
      <c r="E18" s="84">
        <f>SUM(E16+E17)</f>
        <v>162.69999999999999</v>
      </c>
      <c r="F18" s="85">
        <f>SUM(E18*24/100)</f>
        <v>39.047999999999995</v>
      </c>
      <c r="G18" s="85">
        <v>627.77</v>
      </c>
      <c r="H18" s="86">
        <f t="shared" si="0"/>
        <v>24.513162959999995</v>
      </c>
      <c r="I18" s="13">
        <f>F18/12*G18</f>
        <v>2042.7635799999996</v>
      </c>
      <c r="J18" s="22"/>
      <c r="K18" s="8"/>
      <c r="L18" s="8"/>
      <c r="M18" s="8"/>
    </row>
    <row r="19" spans="1:13" ht="15.75" hidden="1" customHeight="1">
      <c r="A19" s="29">
        <v>4</v>
      </c>
      <c r="B19" s="82" t="s">
        <v>93</v>
      </c>
      <c r="C19" s="83" t="s">
        <v>88</v>
      </c>
      <c r="D19" s="82" t="s">
        <v>94</v>
      </c>
      <c r="E19" s="84">
        <v>15.3</v>
      </c>
      <c r="F19" s="85">
        <f>SUM(E19/10)</f>
        <v>1.53</v>
      </c>
      <c r="G19" s="85">
        <v>211.74</v>
      </c>
      <c r="H19" s="86">
        <f t="shared" si="0"/>
        <v>0.32396219999999998</v>
      </c>
      <c r="I19" s="13">
        <f>F19/2*G19</f>
        <v>161.9811</v>
      </c>
      <c r="J19" s="22"/>
      <c r="K19" s="8"/>
      <c r="L19" s="8"/>
      <c r="M19" s="8"/>
    </row>
    <row r="20" spans="1:13" ht="15.75" hidden="1" customHeight="1">
      <c r="A20" s="29">
        <v>5</v>
      </c>
      <c r="B20" s="82" t="s">
        <v>96</v>
      </c>
      <c r="C20" s="83" t="s">
        <v>92</v>
      </c>
      <c r="D20" s="82" t="s">
        <v>41</v>
      </c>
      <c r="E20" s="84">
        <v>19.62</v>
      </c>
      <c r="F20" s="85">
        <f>SUM(E20*2/100)</f>
        <v>0.39240000000000003</v>
      </c>
      <c r="G20" s="85">
        <v>271.12</v>
      </c>
      <c r="H20" s="86">
        <f t="shared" si="0"/>
        <v>0.106387488</v>
      </c>
      <c r="I20" s="13">
        <f>F20/2*G20</f>
        <v>53.193744000000002</v>
      </c>
      <c r="J20" s="22"/>
      <c r="K20" s="8"/>
      <c r="L20" s="8"/>
      <c r="M20" s="8"/>
    </row>
    <row r="21" spans="1:13" ht="15.75" hidden="1" customHeight="1">
      <c r="A21" s="29">
        <v>6</v>
      </c>
      <c r="B21" s="82" t="s">
        <v>97</v>
      </c>
      <c r="C21" s="83" t="s">
        <v>92</v>
      </c>
      <c r="D21" s="82" t="s">
        <v>41</v>
      </c>
      <c r="E21" s="84">
        <v>8.68</v>
      </c>
      <c r="F21" s="85">
        <f>SUM(E21*2/100)</f>
        <v>0.1736</v>
      </c>
      <c r="G21" s="85">
        <v>268.92</v>
      </c>
      <c r="H21" s="86">
        <f t="shared" si="0"/>
        <v>4.6684512000000004E-2</v>
      </c>
      <c r="I21" s="13">
        <f>F21/2*G21</f>
        <v>23.342256000000003</v>
      </c>
      <c r="J21" s="22"/>
      <c r="K21" s="8"/>
      <c r="L21" s="8"/>
      <c r="M21" s="8"/>
    </row>
    <row r="22" spans="1:13" ht="15.75" hidden="1" customHeight="1">
      <c r="A22" s="29">
        <v>7</v>
      </c>
      <c r="B22" s="82" t="s">
        <v>98</v>
      </c>
      <c r="C22" s="83" t="s">
        <v>52</v>
      </c>
      <c r="D22" s="82" t="s">
        <v>94</v>
      </c>
      <c r="E22" s="84">
        <v>215</v>
      </c>
      <c r="F22" s="85">
        <f>SUM(E22/100)</f>
        <v>2.15</v>
      </c>
      <c r="G22" s="85">
        <v>335.05</v>
      </c>
      <c r="H22" s="86">
        <f t="shared" si="0"/>
        <v>0.72035749999999998</v>
      </c>
      <c r="I22" s="13">
        <f>F22*G22</f>
        <v>720.35749999999996</v>
      </c>
      <c r="J22" s="22"/>
      <c r="K22" s="8"/>
      <c r="L22" s="8"/>
      <c r="M22" s="8"/>
    </row>
    <row r="23" spans="1:13" ht="15.75" hidden="1" customHeight="1">
      <c r="A23" s="29">
        <v>8</v>
      </c>
      <c r="B23" s="82" t="s">
        <v>99</v>
      </c>
      <c r="C23" s="83" t="s">
        <v>52</v>
      </c>
      <c r="D23" s="82" t="s">
        <v>94</v>
      </c>
      <c r="E23" s="87">
        <v>17.64</v>
      </c>
      <c r="F23" s="85">
        <f>SUM(E23/100)</f>
        <v>0.1764</v>
      </c>
      <c r="G23" s="85">
        <v>55.1</v>
      </c>
      <c r="H23" s="86">
        <f t="shared" si="0"/>
        <v>9.7196399999999999E-3</v>
      </c>
      <c r="I23" s="13">
        <f>F23*G23</f>
        <v>9.7196400000000001</v>
      </c>
      <c r="J23" s="22"/>
      <c r="K23" s="8"/>
      <c r="L23" s="8"/>
      <c r="M23" s="8"/>
    </row>
    <row r="24" spans="1:13" ht="15.75" hidden="1" customHeight="1">
      <c r="A24" s="29">
        <v>9</v>
      </c>
      <c r="B24" s="82" t="s">
        <v>95</v>
      </c>
      <c r="C24" s="83" t="s">
        <v>52</v>
      </c>
      <c r="D24" s="82" t="s">
        <v>94</v>
      </c>
      <c r="E24" s="18">
        <v>4.5</v>
      </c>
      <c r="F24" s="88">
        <v>0.05</v>
      </c>
      <c r="G24" s="85">
        <v>484.94</v>
      </c>
      <c r="H24" s="86">
        <f>F24*G24/1000</f>
        <v>2.4247000000000001E-2</v>
      </c>
      <c r="I24" s="13">
        <f>F24*G24</f>
        <v>24.247</v>
      </c>
      <c r="J24" s="22"/>
      <c r="K24" s="8"/>
      <c r="L24" s="8"/>
      <c r="M24" s="8"/>
    </row>
    <row r="25" spans="1:13" ht="15.75" hidden="1" customHeight="1">
      <c r="A25" s="29">
        <v>10</v>
      </c>
      <c r="B25" s="82" t="s">
        <v>130</v>
      </c>
      <c r="C25" s="83" t="s">
        <v>52</v>
      </c>
      <c r="D25" s="82" t="s">
        <v>94</v>
      </c>
      <c r="E25" s="87">
        <v>9.4499999999999993</v>
      </c>
      <c r="F25" s="85">
        <v>0.09</v>
      </c>
      <c r="G25" s="85">
        <v>268.92</v>
      </c>
      <c r="H25" s="86">
        <f>F25*G25/1000</f>
        <v>2.42028E-2</v>
      </c>
      <c r="I25" s="13">
        <f>F25*G25</f>
        <v>24.2028</v>
      </c>
      <c r="J25" s="22"/>
      <c r="K25" s="8"/>
      <c r="L25" s="8"/>
      <c r="M25" s="8"/>
    </row>
    <row r="26" spans="1:13" ht="15.75" hidden="1" customHeight="1">
      <c r="A26" s="29">
        <v>11</v>
      </c>
      <c r="B26" s="82" t="s">
        <v>100</v>
      </c>
      <c r="C26" s="83" t="s">
        <v>52</v>
      </c>
      <c r="D26" s="82" t="s">
        <v>94</v>
      </c>
      <c r="E26" s="84">
        <v>14.4</v>
      </c>
      <c r="F26" s="85">
        <f>SUM(E26/100)</f>
        <v>0.14400000000000002</v>
      </c>
      <c r="G26" s="85">
        <v>648.04999999999995</v>
      </c>
      <c r="H26" s="86">
        <f t="shared" si="0"/>
        <v>9.3319200000000005E-2</v>
      </c>
      <c r="I26" s="13">
        <f>F26*G26</f>
        <v>93.319200000000009</v>
      </c>
      <c r="J26" s="22"/>
      <c r="K26" s="8"/>
      <c r="L26" s="8"/>
      <c r="M26" s="8"/>
    </row>
    <row r="27" spans="1:13" ht="15.75" customHeight="1">
      <c r="A27" s="29">
        <v>4</v>
      </c>
      <c r="B27" s="82" t="s">
        <v>63</v>
      </c>
      <c r="C27" s="83" t="s">
        <v>31</v>
      </c>
      <c r="D27" s="82"/>
      <c r="E27" s="84">
        <v>0.1</v>
      </c>
      <c r="F27" s="85">
        <f>SUM(E27*365)</f>
        <v>36.5</v>
      </c>
      <c r="G27" s="85">
        <v>182.96</v>
      </c>
      <c r="H27" s="86">
        <f>SUM(F27*G27/1000)</f>
        <v>6.6780400000000002</v>
      </c>
      <c r="I27" s="13">
        <f>F27/12*G27</f>
        <v>556.50333333333333</v>
      </c>
      <c r="J27" s="22"/>
      <c r="K27" s="8"/>
      <c r="L27" s="8"/>
      <c r="M27" s="8"/>
    </row>
    <row r="28" spans="1:13" ht="15.75" customHeight="1">
      <c r="A28" s="29">
        <v>5</v>
      </c>
      <c r="B28" s="89" t="s">
        <v>23</v>
      </c>
      <c r="C28" s="83" t="s">
        <v>24</v>
      </c>
      <c r="D28" s="82"/>
      <c r="E28" s="84">
        <v>1839.1</v>
      </c>
      <c r="F28" s="85">
        <f>SUM(E28*12)</f>
        <v>22069.199999999997</v>
      </c>
      <c r="G28" s="85">
        <v>4.58</v>
      </c>
      <c r="H28" s="86">
        <f>SUM(F28*G28/1000)</f>
        <v>101.07693599999999</v>
      </c>
      <c r="I28" s="13">
        <f>F28/12*G28</f>
        <v>8423.0779999999995</v>
      </c>
      <c r="J28" s="22"/>
      <c r="K28" s="8"/>
      <c r="L28" s="8"/>
      <c r="M28" s="8"/>
    </row>
    <row r="29" spans="1:13" ht="15.75" customHeight="1">
      <c r="A29" s="143" t="s">
        <v>81</v>
      </c>
      <c r="B29" s="143"/>
      <c r="C29" s="143"/>
      <c r="D29" s="143"/>
      <c r="E29" s="143"/>
      <c r="F29" s="143"/>
      <c r="G29" s="143"/>
      <c r="H29" s="143"/>
      <c r="I29" s="143"/>
      <c r="J29" s="22"/>
      <c r="K29" s="8"/>
      <c r="L29" s="8"/>
      <c r="M29" s="8"/>
    </row>
    <row r="30" spans="1:13" ht="15.75" customHeight="1">
      <c r="A30" s="41"/>
      <c r="B30" s="51" t="s">
        <v>27</v>
      </c>
      <c r="C30" s="51"/>
      <c r="D30" s="51"/>
      <c r="E30" s="51"/>
      <c r="F30" s="51"/>
      <c r="G30" s="51"/>
      <c r="H30" s="51"/>
      <c r="I30" s="18"/>
      <c r="J30" s="22"/>
      <c r="K30" s="8"/>
      <c r="L30" s="8"/>
      <c r="M30" s="8"/>
    </row>
    <row r="31" spans="1:13" ht="15.75" customHeight="1">
      <c r="A31" s="41">
        <v>6</v>
      </c>
      <c r="B31" s="32" t="s">
        <v>101</v>
      </c>
      <c r="C31" s="83" t="s">
        <v>102</v>
      </c>
      <c r="D31" s="82" t="s">
        <v>103</v>
      </c>
      <c r="E31" s="85">
        <v>58</v>
      </c>
      <c r="F31" s="85">
        <f>SUM(E31*52/1000)</f>
        <v>3.016</v>
      </c>
      <c r="G31" s="85">
        <v>193.97</v>
      </c>
      <c r="H31" s="86">
        <f>SUM(F31*G31/1000)</f>
        <v>0.58501351999999995</v>
      </c>
      <c r="I31" s="13">
        <f>F31/6*G31</f>
        <v>97.502253333333343</v>
      </c>
      <c r="J31" s="22"/>
      <c r="K31" s="8"/>
      <c r="L31" s="8"/>
      <c r="M31" s="8"/>
    </row>
    <row r="32" spans="1:13" ht="31.5" customHeight="1">
      <c r="A32" s="41">
        <v>7</v>
      </c>
      <c r="B32" s="32" t="s">
        <v>104</v>
      </c>
      <c r="C32" s="83" t="s">
        <v>102</v>
      </c>
      <c r="D32" s="82" t="s">
        <v>105</v>
      </c>
      <c r="E32" s="85">
        <v>48.3</v>
      </c>
      <c r="F32" s="85">
        <f>SUM(E32*78/1000)</f>
        <v>3.7673999999999994</v>
      </c>
      <c r="G32" s="85">
        <v>321.82</v>
      </c>
      <c r="H32" s="86">
        <f>SUM(F32*G32/1000)</f>
        <v>1.2124246679999999</v>
      </c>
      <c r="I32" s="13">
        <f>F32/6*G32</f>
        <v>202.07077799999996</v>
      </c>
      <c r="J32" s="22"/>
      <c r="K32" s="8"/>
      <c r="L32" s="8"/>
      <c r="M32" s="8"/>
    </row>
    <row r="33" spans="1:14" ht="15.75" hidden="1" customHeight="1">
      <c r="A33" s="41">
        <v>16</v>
      </c>
      <c r="B33" s="32" t="s">
        <v>26</v>
      </c>
      <c r="C33" s="83" t="s">
        <v>102</v>
      </c>
      <c r="D33" s="82" t="s">
        <v>53</v>
      </c>
      <c r="E33" s="85">
        <v>58</v>
      </c>
      <c r="F33" s="85">
        <f>SUM(E33/1000)</f>
        <v>5.8000000000000003E-2</v>
      </c>
      <c r="G33" s="85">
        <v>3758.28</v>
      </c>
      <c r="H33" s="86">
        <f>SUM(F33*G33/1000)</f>
        <v>0.21798024000000002</v>
      </c>
      <c r="I33" s="13">
        <f>F33*G33</f>
        <v>217.98024000000001</v>
      </c>
      <c r="J33" s="22"/>
      <c r="K33" s="8"/>
      <c r="L33" s="8"/>
      <c r="M33" s="8"/>
    </row>
    <row r="34" spans="1:14" ht="15.75" customHeight="1">
      <c r="A34" s="41">
        <v>8</v>
      </c>
      <c r="B34" s="32" t="s">
        <v>106</v>
      </c>
      <c r="C34" s="83" t="s">
        <v>39</v>
      </c>
      <c r="D34" s="82" t="s">
        <v>62</v>
      </c>
      <c r="E34" s="85">
        <v>1</v>
      </c>
      <c r="F34" s="85">
        <f>E34*155/100</f>
        <v>1.55</v>
      </c>
      <c r="G34" s="85">
        <v>1620.15</v>
      </c>
      <c r="H34" s="86">
        <f>SUM(F34*G34/1000)</f>
        <v>2.5112325000000002</v>
      </c>
      <c r="I34" s="13">
        <f>F34/6*G34</f>
        <v>418.53875000000005</v>
      </c>
      <c r="J34" s="22"/>
      <c r="K34" s="8"/>
    </row>
    <row r="35" spans="1:14" ht="15.75" customHeight="1">
      <c r="A35" s="41">
        <v>9</v>
      </c>
      <c r="B35" s="32" t="s">
        <v>107</v>
      </c>
      <c r="C35" s="83" t="s">
        <v>29</v>
      </c>
      <c r="D35" s="82" t="s">
        <v>62</v>
      </c>
      <c r="E35" s="90">
        <f>1/3</f>
        <v>0.33333333333333331</v>
      </c>
      <c r="F35" s="85">
        <f>155/3</f>
        <v>51.666666666666664</v>
      </c>
      <c r="G35" s="85">
        <v>70.540000000000006</v>
      </c>
      <c r="H35" s="86">
        <f>SUM(G35*155/3/1000)</f>
        <v>3.644566666666667</v>
      </c>
      <c r="I35" s="13">
        <f>F35/6*G35</f>
        <v>607.42777777777781</v>
      </c>
      <c r="J35" s="23"/>
    </row>
    <row r="36" spans="1:14" ht="15.75" hidden="1" customHeight="1">
      <c r="A36" s="41">
        <v>4</v>
      </c>
      <c r="B36" s="82" t="s">
        <v>64</v>
      </c>
      <c r="C36" s="83" t="s">
        <v>31</v>
      </c>
      <c r="D36" s="82" t="s">
        <v>66</v>
      </c>
      <c r="E36" s="84"/>
      <c r="F36" s="85">
        <v>1</v>
      </c>
      <c r="G36" s="85">
        <v>238.07</v>
      </c>
      <c r="H36" s="86">
        <f>SUM(F36*G36/1000)</f>
        <v>0.23807</v>
      </c>
      <c r="I36" s="13">
        <v>0</v>
      </c>
      <c r="J36" s="23"/>
    </row>
    <row r="37" spans="1:14" ht="15.75" hidden="1" customHeight="1">
      <c r="A37" s="29">
        <v>8</v>
      </c>
      <c r="B37" s="82" t="s">
        <v>65</v>
      </c>
      <c r="C37" s="83" t="s">
        <v>30</v>
      </c>
      <c r="D37" s="82" t="s">
        <v>66</v>
      </c>
      <c r="E37" s="84"/>
      <c r="F37" s="85">
        <v>1</v>
      </c>
      <c r="G37" s="85">
        <v>1413.96</v>
      </c>
      <c r="H37" s="86">
        <f>SUM(F37*G37/1000)</f>
        <v>1.4139600000000001</v>
      </c>
      <c r="I37" s="13">
        <v>0</v>
      </c>
      <c r="J37" s="23"/>
    </row>
    <row r="38" spans="1:14" ht="15.75" hidden="1" customHeight="1">
      <c r="A38" s="41"/>
      <c r="B38" s="49" t="s">
        <v>5</v>
      </c>
      <c r="C38" s="49"/>
      <c r="D38" s="49"/>
      <c r="E38" s="13"/>
      <c r="F38" s="13"/>
      <c r="G38" s="14"/>
      <c r="H38" s="14"/>
      <c r="I38" s="18"/>
      <c r="J38" s="23"/>
    </row>
    <row r="39" spans="1:14" ht="15.75" hidden="1" customHeight="1">
      <c r="A39" s="33">
        <v>6</v>
      </c>
      <c r="B39" s="82" t="s">
        <v>25</v>
      </c>
      <c r="C39" s="83" t="s">
        <v>30</v>
      </c>
      <c r="D39" s="82"/>
      <c r="E39" s="84"/>
      <c r="F39" s="85">
        <v>2</v>
      </c>
      <c r="G39" s="85">
        <v>1900.37</v>
      </c>
      <c r="H39" s="86">
        <f t="shared" ref="H39:H44" si="1">SUM(F39*G39/1000)</f>
        <v>3.8007399999999998</v>
      </c>
      <c r="I39" s="13">
        <f t="shared" ref="I39:I44" si="2">F39/6*G39</f>
        <v>633.45666666666659</v>
      </c>
      <c r="J39" s="23"/>
    </row>
    <row r="40" spans="1:14" ht="15.75" hidden="1" customHeight="1">
      <c r="A40" s="33">
        <v>7</v>
      </c>
      <c r="B40" s="82" t="s">
        <v>67</v>
      </c>
      <c r="C40" s="83" t="s">
        <v>28</v>
      </c>
      <c r="D40" s="82" t="s">
        <v>108</v>
      </c>
      <c r="E40" s="85">
        <v>48.3</v>
      </c>
      <c r="F40" s="85">
        <f>SUM(E40*30/1000)</f>
        <v>1.4490000000000001</v>
      </c>
      <c r="G40" s="85">
        <v>2616.4899999999998</v>
      </c>
      <c r="H40" s="86">
        <f t="shared" si="1"/>
        <v>3.7912940100000001</v>
      </c>
      <c r="I40" s="13">
        <f t="shared" si="2"/>
        <v>631.88233500000001</v>
      </c>
      <c r="J40" s="23"/>
    </row>
    <row r="41" spans="1:14" ht="15.75" hidden="1" customHeight="1">
      <c r="A41" s="33">
        <v>8</v>
      </c>
      <c r="B41" s="82" t="s">
        <v>68</v>
      </c>
      <c r="C41" s="83" t="s">
        <v>28</v>
      </c>
      <c r="D41" s="82" t="s">
        <v>109</v>
      </c>
      <c r="E41" s="85">
        <v>48.3</v>
      </c>
      <c r="F41" s="85">
        <f>SUM(E41*155/1000)</f>
        <v>7.4865000000000004</v>
      </c>
      <c r="G41" s="85">
        <v>436.45</v>
      </c>
      <c r="H41" s="86">
        <f t="shared" si="1"/>
        <v>3.2674829250000004</v>
      </c>
      <c r="I41" s="13">
        <f t="shared" si="2"/>
        <v>544.5804875</v>
      </c>
      <c r="J41" s="23"/>
    </row>
    <row r="42" spans="1:14" ht="47.25" hidden="1" customHeight="1">
      <c r="A42" s="33">
        <v>9</v>
      </c>
      <c r="B42" s="82" t="s">
        <v>80</v>
      </c>
      <c r="C42" s="83" t="s">
        <v>102</v>
      </c>
      <c r="D42" s="82" t="s">
        <v>110</v>
      </c>
      <c r="E42" s="85">
        <f>E40</f>
        <v>48.3</v>
      </c>
      <c r="F42" s="85">
        <f>SUM(E42*35/1000)</f>
        <v>1.6904999999999999</v>
      </c>
      <c r="G42" s="85">
        <v>7221.21</v>
      </c>
      <c r="H42" s="86">
        <f t="shared" si="1"/>
        <v>12.207455505</v>
      </c>
      <c r="I42" s="13">
        <f t="shared" si="2"/>
        <v>2034.5759175000001</v>
      </c>
      <c r="J42" s="23"/>
      <c r="L42" s="19"/>
      <c r="M42" s="20"/>
      <c r="N42" s="21"/>
    </row>
    <row r="43" spans="1:14" ht="15.75" hidden="1" customHeight="1">
      <c r="A43" s="33">
        <v>10</v>
      </c>
      <c r="B43" s="82" t="s">
        <v>111</v>
      </c>
      <c r="C43" s="83" t="s">
        <v>102</v>
      </c>
      <c r="D43" s="82" t="s">
        <v>112</v>
      </c>
      <c r="E43" s="85">
        <f>E40</f>
        <v>48.3</v>
      </c>
      <c r="F43" s="85">
        <f>SUM(E43*20/1000)</f>
        <v>0.96599999999999997</v>
      </c>
      <c r="G43" s="85">
        <v>533.45000000000005</v>
      </c>
      <c r="H43" s="86">
        <f t="shared" si="1"/>
        <v>0.51531270000000007</v>
      </c>
      <c r="I43" s="13">
        <f t="shared" si="2"/>
        <v>85.885450000000006</v>
      </c>
      <c r="J43" s="23"/>
      <c r="L43" s="19"/>
      <c r="M43" s="20"/>
      <c r="N43" s="21"/>
    </row>
    <row r="44" spans="1:14" ht="15.75" hidden="1" customHeight="1">
      <c r="A44" s="33">
        <v>11</v>
      </c>
      <c r="B44" s="82" t="s">
        <v>69</v>
      </c>
      <c r="C44" s="83" t="s">
        <v>31</v>
      </c>
      <c r="D44" s="82"/>
      <c r="E44" s="84"/>
      <c r="F44" s="85">
        <v>0.5</v>
      </c>
      <c r="G44" s="85">
        <v>992.97</v>
      </c>
      <c r="H44" s="86">
        <f t="shared" si="1"/>
        <v>0.49648500000000001</v>
      </c>
      <c r="I44" s="13">
        <f t="shared" si="2"/>
        <v>82.747500000000002</v>
      </c>
      <c r="J44" s="23"/>
      <c r="L44" s="19"/>
      <c r="M44" s="20"/>
      <c r="N44" s="21"/>
    </row>
    <row r="45" spans="1:14" ht="15.75" customHeight="1">
      <c r="A45" s="144" t="s">
        <v>137</v>
      </c>
      <c r="B45" s="145"/>
      <c r="C45" s="145"/>
      <c r="D45" s="145"/>
      <c r="E45" s="145"/>
      <c r="F45" s="145"/>
      <c r="G45" s="145"/>
      <c r="H45" s="145"/>
      <c r="I45" s="146"/>
      <c r="J45" s="23"/>
      <c r="L45" s="19"/>
      <c r="M45" s="20"/>
      <c r="N45" s="21"/>
    </row>
    <row r="46" spans="1:14" ht="15.75" hidden="1" customHeight="1">
      <c r="A46" s="41">
        <v>19</v>
      </c>
      <c r="B46" s="82" t="s">
        <v>113</v>
      </c>
      <c r="C46" s="83" t="s">
        <v>102</v>
      </c>
      <c r="D46" s="82" t="s">
        <v>41</v>
      </c>
      <c r="E46" s="84">
        <v>1044.7</v>
      </c>
      <c r="F46" s="85">
        <f>SUM(E46*2/1000)</f>
        <v>2.0893999999999999</v>
      </c>
      <c r="G46" s="13">
        <v>1283.46</v>
      </c>
      <c r="H46" s="86">
        <f t="shared" ref="H46:H56" si="3">SUM(F46*G46/1000)</f>
        <v>2.6816613240000002</v>
      </c>
      <c r="I46" s="13">
        <f t="shared" ref="I46:I49" si="4">F46/2*G46</f>
        <v>1340.8306620000001</v>
      </c>
      <c r="J46" s="23"/>
      <c r="L46" s="19"/>
      <c r="M46" s="20"/>
      <c r="N46" s="21"/>
    </row>
    <row r="47" spans="1:14" ht="15.75" hidden="1" customHeight="1">
      <c r="A47" s="41">
        <v>20</v>
      </c>
      <c r="B47" s="82" t="s">
        <v>34</v>
      </c>
      <c r="C47" s="83" t="s">
        <v>102</v>
      </c>
      <c r="D47" s="82" t="s">
        <v>41</v>
      </c>
      <c r="E47" s="84">
        <v>19.8</v>
      </c>
      <c r="F47" s="85">
        <f>SUM(E47*2/1000)</f>
        <v>3.9600000000000003E-2</v>
      </c>
      <c r="G47" s="13">
        <v>4192.6400000000003</v>
      </c>
      <c r="H47" s="86">
        <f t="shared" si="3"/>
        <v>0.16602854400000003</v>
      </c>
      <c r="I47" s="13">
        <f t="shared" si="4"/>
        <v>83.01427200000002</v>
      </c>
      <c r="J47" s="23"/>
      <c r="L47" s="19"/>
      <c r="M47" s="20"/>
      <c r="N47" s="21"/>
    </row>
    <row r="48" spans="1:14" ht="15.75" hidden="1" customHeight="1">
      <c r="A48" s="41">
        <v>21</v>
      </c>
      <c r="B48" s="82" t="s">
        <v>35</v>
      </c>
      <c r="C48" s="83" t="s">
        <v>102</v>
      </c>
      <c r="D48" s="82" t="s">
        <v>41</v>
      </c>
      <c r="E48" s="84">
        <v>660.84</v>
      </c>
      <c r="F48" s="85">
        <f>SUM(E48*2/1000)</f>
        <v>1.32168</v>
      </c>
      <c r="G48" s="13">
        <v>1711.28</v>
      </c>
      <c r="H48" s="86">
        <f t="shared" si="3"/>
        <v>2.2617645503999997</v>
      </c>
      <c r="I48" s="13">
        <f t="shared" si="4"/>
        <v>1130.8822751999999</v>
      </c>
      <c r="J48" s="23"/>
      <c r="L48" s="19"/>
      <c r="M48" s="20"/>
      <c r="N48" s="21"/>
    </row>
    <row r="49" spans="1:14" ht="15.75" hidden="1" customHeight="1">
      <c r="A49" s="41">
        <v>22</v>
      </c>
      <c r="B49" s="82" t="s">
        <v>36</v>
      </c>
      <c r="C49" s="83" t="s">
        <v>102</v>
      </c>
      <c r="D49" s="82" t="s">
        <v>41</v>
      </c>
      <c r="E49" s="84">
        <v>1156.21</v>
      </c>
      <c r="F49" s="85">
        <f>SUM(E49*2/1000)</f>
        <v>2.3124199999999999</v>
      </c>
      <c r="G49" s="13">
        <v>1179.73</v>
      </c>
      <c r="H49" s="86">
        <f t="shared" si="3"/>
        <v>2.7280312466000001</v>
      </c>
      <c r="I49" s="13">
        <f t="shared" si="4"/>
        <v>1364.0156233</v>
      </c>
      <c r="J49" s="23"/>
      <c r="L49" s="19"/>
      <c r="M49" s="20"/>
      <c r="N49" s="21"/>
    </row>
    <row r="50" spans="1:14" ht="15.75" hidden="1" customHeight="1">
      <c r="A50" s="41">
        <v>23</v>
      </c>
      <c r="B50" s="82" t="s">
        <v>32</v>
      </c>
      <c r="C50" s="83" t="s">
        <v>33</v>
      </c>
      <c r="D50" s="82" t="s">
        <v>144</v>
      </c>
      <c r="E50" s="84">
        <v>17.2</v>
      </c>
      <c r="F50" s="85">
        <f>SUM(E50*2/100)</f>
        <v>0.34399999999999997</v>
      </c>
      <c r="G50" s="13">
        <v>90.61</v>
      </c>
      <c r="H50" s="86">
        <f t="shared" si="3"/>
        <v>3.1169839999999997E-2</v>
      </c>
      <c r="I50" s="13">
        <f>F50/2*G50</f>
        <v>15.584919999999999</v>
      </c>
      <c r="J50" s="23"/>
      <c r="L50" s="19"/>
      <c r="M50" s="20"/>
      <c r="N50" s="21"/>
    </row>
    <row r="51" spans="1:14" ht="15.75" hidden="1" customHeight="1">
      <c r="A51" s="41">
        <v>24</v>
      </c>
      <c r="B51" s="82" t="s">
        <v>55</v>
      </c>
      <c r="C51" s="83" t="s">
        <v>102</v>
      </c>
      <c r="D51" s="82" t="s">
        <v>146</v>
      </c>
      <c r="E51" s="84">
        <v>1839.1</v>
      </c>
      <c r="F51" s="85">
        <f>SUM(E51*5/1000)</f>
        <v>9.1954999999999991</v>
      </c>
      <c r="G51" s="13">
        <v>1711.28</v>
      </c>
      <c r="H51" s="86">
        <f t="shared" si="3"/>
        <v>15.736075239999998</v>
      </c>
      <c r="I51" s="13">
        <f>F51/5*G51</f>
        <v>3147.2150479999996</v>
      </c>
      <c r="J51" s="23"/>
      <c r="L51" s="19"/>
      <c r="M51" s="20"/>
      <c r="N51" s="21"/>
    </row>
    <row r="52" spans="1:14" ht="31.5" hidden="1" customHeight="1">
      <c r="A52" s="41">
        <v>25</v>
      </c>
      <c r="B52" s="82" t="s">
        <v>114</v>
      </c>
      <c r="C52" s="83" t="s">
        <v>102</v>
      </c>
      <c r="D52" s="82" t="s">
        <v>41</v>
      </c>
      <c r="E52" s="84">
        <f>E51</f>
        <v>1839.1</v>
      </c>
      <c r="F52" s="85">
        <f>SUM(E52*2/1000)</f>
        <v>3.6781999999999999</v>
      </c>
      <c r="G52" s="13">
        <v>1510.06</v>
      </c>
      <c r="H52" s="86">
        <f t="shared" si="3"/>
        <v>5.5543026919999994</v>
      </c>
      <c r="I52" s="13">
        <f>F52/2*G52</f>
        <v>2777.1513459999996</v>
      </c>
      <c r="J52" s="23"/>
      <c r="L52" s="19"/>
      <c r="M52" s="20"/>
      <c r="N52" s="21"/>
    </row>
    <row r="53" spans="1:14" ht="31.5" hidden="1" customHeight="1">
      <c r="A53" s="41">
        <v>26</v>
      </c>
      <c r="B53" s="82" t="s">
        <v>115</v>
      </c>
      <c r="C53" s="83" t="s">
        <v>37</v>
      </c>
      <c r="D53" s="82" t="s">
        <v>41</v>
      </c>
      <c r="E53" s="84">
        <v>9</v>
      </c>
      <c r="F53" s="85">
        <f>SUM(E53*2/100)</f>
        <v>0.18</v>
      </c>
      <c r="G53" s="13">
        <v>3850.4</v>
      </c>
      <c r="H53" s="86">
        <f t="shared" si="3"/>
        <v>0.69307200000000002</v>
      </c>
      <c r="I53" s="13">
        <f t="shared" ref="I53:I54" si="5">F53/2*G53</f>
        <v>346.536</v>
      </c>
      <c r="J53" s="23"/>
      <c r="L53" s="19"/>
      <c r="M53" s="20"/>
      <c r="N53" s="21"/>
    </row>
    <row r="54" spans="1:14" ht="15.75" hidden="1" customHeight="1">
      <c r="A54" s="41">
        <v>27</v>
      </c>
      <c r="B54" s="82" t="s">
        <v>38</v>
      </c>
      <c r="C54" s="83" t="s">
        <v>39</v>
      </c>
      <c r="D54" s="82" t="s">
        <v>41</v>
      </c>
      <c r="E54" s="84">
        <v>1</v>
      </c>
      <c r="F54" s="85">
        <v>0.02</v>
      </c>
      <c r="G54" s="13">
        <v>7033.13</v>
      </c>
      <c r="H54" s="86">
        <f t="shared" si="3"/>
        <v>0.1406626</v>
      </c>
      <c r="I54" s="13">
        <f t="shared" si="5"/>
        <v>70.331299999999999</v>
      </c>
      <c r="J54" s="23"/>
      <c r="L54" s="19"/>
      <c r="M54" s="20"/>
      <c r="N54" s="21"/>
    </row>
    <row r="55" spans="1:14" ht="15.75" customHeight="1">
      <c r="A55" s="41">
        <v>10</v>
      </c>
      <c r="B55" s="82" t="s">
        <v>145</v>
      </c>
      <c r="C55" s="83" t="s">
        <v>29</v>
      </c>
      <c r="D55" s="82" t="s">
        <v>70</v>
      </c>
      <c r="E55" s="84">
        <v>36</v>
      </c>
      <c r="F55" s="85">
        <f>E55*3</f>
        <v>108</v>
      </c>
      <c r="G55" s="13">
        <v>175.6</v>
      </c>
      <c r="H55" s="86">
        <f t="shared" si="3"/>
        <v>18.9648</v>
      </c>
      <c r="I55" s="13">
        <f>E55*G55</f>
        <v>6321.5999999999995</v>
      </c>
      <c r="J55" s="23"/>
      <c r="L55" s="19"/>
      <c r="M55" s="20"/>
      <c r="N55" s="21"/>
    </row>
    <row r="56" spans="1:14" ht="15.75" customHeight="1">
      <c r="A56" s="41">
        <v>11</v>
      </c>
      <c r="B56" s="82" t="s">
        <v>40</v>
      </c>
      <c r="C56" s="83" t="s">
        <v>29</v>
      </c>
      <c r="D56" s="82" t="s">
        <v>70</v>
      </c>
      <c r="E56" s="84">
        <v>36</v>
      </c>
      <c r="F56" s="85">
        <f>E56*3</f>
        <v>108</v>
      </c>
      <c r="G56" s="13">
        <v>81.73</v>
      </c>
      <c r="H56" s="86">
        <f t="shared" si="3"/>
        <v>8.8268400000000007</v>
      </c>
      <c r="I56" s="13">
        <f>E56*G56</f>
        <v>2942.28</v>
      </c>
      <c r="J56" s="23"/>
      <c r="L56" s="19"/>
      <c r="M56" s="20"/>
      <c r="N56" s="21"/>
    </row>
    <row r="57" spans="1:14" ht="15.75" customHeight="1">
      <c r="A57" s="144" t="s">
        <v>138</v>
      </c>
      <c r="B57" s="145"/>
      <c r="C57" s="145"/>
      <c r="D57" s="145"/>
      <c r="E57" s="145"/>
      <c r="F57" s="145"/>
      <c r="G57" s="145"/>
      <c r="H57" s="145"/>
      <c r="I57" s="146"/>
      <c r="J57" s="23"/>
      <c r="L57" s="19"/>
      <c r="M57" s="20"/>
      <c r="N57" s="21"/>
    </row>
    <row r="58" spans="1:14" ht="15.75" hidden="1" customHeight="1">
      <c r="A58" s="81"/>
      <c r="B58" s="48" t="s">
        <v>42</v>
      </c>
      <c r="C58" s="16"/>
      <c r="D58" s="15"/>
      <c r="E58" s="15"/>
      <c r="F58" s="15"/>
      <c r="G58" s="29"/>
      <c r="H58" s="29"/>
      <c r="I58" s="18"/>
      <c r="J58" s="23"/>
      <c r="L58" s="19"/>
      <c r="M58" s="20"/>
      <c r="N58" s="21"/>
    </row>
    <row r="59" spans="1:14" ht="31.5" hidden="1" customHeight="1">
      <c r="A59" s="41">
        <v>12</v>
      </c>
      <c r="B59" s="82" t="s">
        <v>117</v>
      </c>
      <c r="C59" s="83" t="s">
        <v>147</v>
      </c>
      <c r="D59" s="82" t="s">
        <v>71</v>
      </c>
      <c r="E59" s="84">
        <v>12.5</v>
      </c>
      <c r="F59" s="85">
        <f>E59*6/100</f>
        <v>0.75</v>
      </c>
      <c r="G59" s="91">
        <v>2306.62</v>
      </c>
      <c r="H59" s="86">
        <f>F59*G59/1000</f>
        <v>1.729965</v>
      </c>
      <c r="I59" s="13">
        <f>F59/6*G59</f>
        <v>288.32749999999999</v>
      </c>
      <c r="J59" s="23"/>
      <c r="L59" s="19"/>
      <c r="M59" s="20"/>
      <c r="N59" s="21"/>
    </row>
    <row r="60" spans="1:14" ht="15.75" hidden="1" customHeight="1">
      <c r="A60" s="41">
        <v>13</v>
      </c>
      <c r="B60" s="92" t="s">
        <v>84</v>
      </c>
      <c r="C60" s="93" t="s">
        <v>118</v>
      </c>
      <c r="D60" s="37" t="s">
        <v>66</v>
      </c>
      <c r="E60" s="94"/>
      <c r="F60" s="95">
        <v>2</v>
      </c>
      <c r="G60" s="96">
        <v>1501</v>
      </c>
      <c r="H60" s="86">
        <f>F60*G60/1000</f>
        <v>3.0019999999999998</v>
      </c>
      <c r="I60" s="13">
        <f>G60*0.5</f>
        <v>750.5</v>
      </c>
      <c r="J60" s="23"/>
      <c r="L60" s="19"/>
      <c r="M60" s="20"/>
      <c r="N60" s="21"/>
    </row>
    <row r="61" spans="1:14" ht="15.75" hidden="1" customHeight="1">
      <c r="A61" s="41"/>
      <c r="B61" s="75" t="s">
        <v>43</v>
      </c>
      <c r="C61" s="75"/>
      <c r="D61" s="75"/>
      <c r="E61" s="75"/>
      <c r="F61" s="76"/>
      <c r="G61" s="63"/>
      <c r="H61" s="63"/>
      <c r="I61" s="35"/>
      <c r="J61" s="23"/>
      <c r="L61" s="19"/>
      <c r="M61" s="20"/>
      <c r="N61" s="21"/>
    </row>
    <row r="62" spans="1:14" ht="15.75" hidden="1" customHeight="1">
      <c r="A62" s="41">
        <v>27</v>
      </c>
      <c r="B62" s="92" t="s">
        <v>44</v>
      </c>
      <c r="C62" s="93" t="s">
        <v>52</v>
      </c>
      <c r="D62" s="92" t="s">
        <v>53</v>
      </c>
      <c r="E62" s="94">
        <v>164</v>
      </c>
      <c r="F62" s="95">
        <f>E62/100</f>
        <v>1.64</v>
      </c>
      <c r="G62" s="96">
        <v>987.51</v>
      </c>
      <c r="H62" s="97">
        <f>G62*F62/1000</f>
        <v>1.6195164</v>
      </c>
      <c r="I62" s="13">
        <v>0</v>
      </c>
      <c r="J62" s="23"/>
      <c r="L62" s="19"/>
      <c r="M62" s="20"/>
      <c r="N62" s="21"/>
    </row>
    <row r="63" spans="1:14" ht="15.75" customHeight="1">
      <c r="A63" s="41"/>
      <c r="B63" s="75" t="s">
        <v>45</v>
      </c>
      <c r="C63" s="16"/>
      <c r="D63" s="37"/>
      <c r="E63" s="15"/>
      <c r="F63" s="77"/>
      <c r="G63" s="64"/>
      <c r="H63" s="63"/>
      <c r="I63" s="18"/>
      <c r="J63" s="23"/>
      <c r="L63" s="19"/>
    </row>
    <row r="64" spans="1:14" ht="15.75" hidden="1" customHeight="1">
      <c r="A64" s="41">
        <v>17</v>
      </c>
      <c r="B64" s="98" t="s">
        <v>46</v>
      </c>
      <c r="C64" s="16" t="s">
        <v>116</v>
      </c>
      <c r="D64" s="98" t="s">
        <v>66</v>
      </c>
      <c r="E64" s="18">
        <v>1</v>
      </c>
      <c r="F64" s="85">
        <f>E64</f>
        <v>1</v>
      </c>
      <c r="G64" s="13">
        <v>276.74</v>
      </c>
      <c r="H64" s="99">
        <f t="shared" ref="H64:H72" si="6">SUM(F64*G64/1000)</f>
        <v>0.27673999999999999</v>
      </c>
      <c r="I64" s="13">
        <v>0</v>
      </c>
    </row>
    <row r="65" spans="1:22" ht="15.75" hidden="1" customHeight="1">
      <c r="A65" s="29">
        <v>29</v>
      </c>
      <c r="B65" s="98" t="s">
        <v>47</v>
      </c>
      <c r="C65" s="16" t="s">
        <v>116</v>
      </c>
      <c r="D65" s="98" t="s">
        <v>66</v>
      </c>
      <c r="E65" s="18">
        <v>3</v>
      </c>
      <c r="F65" s="85">
        <v>3</v>
      </c>
      <c r="G65" s="13">
        <v>94.89</v>
      </c>
      <c r="H65" s="99">
        <f t="shared" si="6"/>
        <v>0.28467000000000003</v>
      </c>
      <c r="I65" s="13">
        <v>0</v>
      </c>
    </row>
    <row r="66" spans="1:22" ht="15.75" hidden="1" customHeight="1">
      <c r="A66" s="29">
        <v>28</v>
      </c>
      <c r="B66" s="98" t="s">
        <v>48</v>
      </c>
      <c r="C66" s="16" t="s">
        <v>119</v>
      </c>
      <c r="D66" s="98" t="s">
        <v>53</v>
      </c>
      <c r="E66" s="84">
        <v>7265</v>
      </c>
      <c r="F66" s="13">
        <f>SUM(E66/100)</f>
        <v>72.650000000000006</v>
      </c>
      <c r="G66" s="13">
        <v>263.99</v>
      </c>
      <c r="H66" s="99">
        <f t="shared" si="6"/>
        <v>19.178873500000002</v>
      </c>
      <c r="I66" s="13">
        <f>F66*G66</f>
        <v>19178.873500000002</v>
      </c>
    </row>
    <row r="67" spans="1:22" ht="15.75" hidden="1" customHeight="1">
      <c r="A67" s="29">
        <v>29</v>
      </c>
      <c r="B67" s="98" t="s">
        <v>49</v>
      </c>
      <c r="C67" s="16" t="s">
        <v>120</v>
      </c>
      <c r="D67" s="98" t="s">
        <v>53</v>
      </c>
      <c r="E67" s="84">
        <f>E66</f>
        <v>7265</v>
      </c>
      <c r="F67" s="13">
        <f>SUM(E67/1000)</f>
        <v>7.2649999999999997</v>
      </c>
      <c r="G67" s="13">
        <v>205.57</v>
      </c>
      <c r="H67" s="99">
        <f t="shared" si="6"/>
        <v>1.4934660500000001</v>
      </c>
      <c r="I67" s="13">
        <f t="shared" ref="I67:I70" si="7">F67*G67</f>
        <v>1493.46605</v>
      </c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9"/>
    </row>
    <row r="68" spans="1:22" ht="15.75" hidden="1" customHeight="1">
      <c r="A68" s="29">
        <v>30</v>
      </c>
      <c r="B68" s="98" t="s">
        <v>50</v>
      </c>
      <c r="C68" s="16" t="s">
        <v>76</v>
      </c>
      <c r="D68" s="98" t="s">
        <v>53</v>
      </c>
      <c r="E68" s="84">
        <v>1090</v>
      </c>
      <c r="F68" s="13">
        <f>SUM(E68/100)</f>
        <v>10.9</v>
      </c>
      <c r="G68" s="13">
        <v>2581.5300000000002</v>
      </c>
      <c r="H68" s="99">
        <f t="shared" si="6"/>
        <v>28.138677000000005</v>
      </c>
      <c r="I68" s="13">
        <f t="shared" si="7"/>
        <v>28138.677000000003</v>
      </c>
      <c r="J68" s="25"/>
      <c r="K68" s="25"/>
      <c r="L68" s="3"/>
      <c r="M68" s="3"/>
      <c r="N68" s="3"/>
      <c r="O68" s="3"/>
      <c r="P68" s="3"/>
      <c r="Q68" s="3"/>
      <c r="R68" s="3"/>
      <c r="S68" s="3"/>
      <c r="T68" s="3"/>
      <c r="U68" s="3"/>
    </row>
    <row r="69" spans="1:22" ht="15.75" hidden="1" customHeight="1">
      <c r="A69" s="29">
        <v>31</v>
      </c>
      <c r="B69" s="100" t="s">
        <v>121</v>
      </c>
      <c r="C69" s="16" t="s">
        <v>31</v>
      </c>
      <c r="D69" s="98"/>
      <c r="E69" s="84">
        <v>7.6</v>
      </c>
      <c r="F69" s="13">
        <f>SUM(E69)</f>
        <v>7.6</v>
      </c>
      <c r="G69" s="13">
        <v>47.45</v>
      </c>
      <c r="H69" s="99">
        <f t="shared" si="6"/>
        <v>0.36062</v>
      </c>
      <c r="I69" s="13">
        <f t="shared" si="7"/>
        <v>360.62</v>
      </c>
      <c r="J69" s="3"/>
      <c r="K69" s="3"/>
      <c r="L69" s="3"/>
      <c r="M69" s="3"/>
      <c r="N69" s="3"/>
      <c r="O69" s="3"/>
      <c r="P69" s="3"/>
      <c r="Q69" s="3"/>
      <c r="S69" s="3"/>
      <c r="T69" s="3"/>
      <c r="U69" s="3"/>
    </row>
    <row r="70" spans="1:22" ht="15.75" hidden="1" customHeight="1">
      <c r="A70" s="29">
        <v>32</v>
      </c>
      <c r="B70" s="100" t="s">
        <v>148</v>
      </c>
      <c r="C70" s="16" t="s">
        <v>31</v>
      </c>
      <c r="D70" s="98"/>
      <c r="E70" s="84">
        <f>E69</f>
        <v>7.6</v>
      </c>
      <c r="F70" s="13">
        <f>SUM(E70)</f>
        <v>7.6</v>
      </c>
      <c r="G70" s="13">
        <v>44.27</v>
      </c>
      <c r="H70" s="99">
        <f t="shared" si="6"/>
        <v>0.33645199999999997</v>
      </c>
      <c r="I70" s="13">
        <f t="shared" si="7"/>
        <v>336.452</v>
      </c>
      <c r="J70" s="5"/>
      <c r="K70" s="5"/>
      <c r="L70" s="5"/>
      <c r="M70" s="5"/>
      <c r="N70" s="5"/>
      <c r="O70" s="5"/>
      <c r="P70" s="5"/>
      <c r="Q70" s="5"/>
      <c r="R70" s="136"/>
      <c r="S70" s="136"/>
      <c r="T70" s="136"/>
      <c r="U70" s="136"/>
    </row>
    <row r="71" spans="1:22" ht="15.75" hidden="1" customHeight="1">
      <c r="A71" s="29">
        <v>13</v>
      </c>
      <c r="B71" s="98" t="s">
        <v>56</v>
      </c>
      <c r="C71" s="16" t="s">
        <v>57</v>
      </c>
      <c r="D71" s="98" t="s">
        <v>53</v>
      </c>
      <c r="E71" s="18">
        <v>2</v>
      </c>
      <c r="F71" s="85">
        <f>SUM(E71)</f>
        <v>2</v>
      </c>
      <c r="G71" s="13">
        <v>62.07</v>
      </c>
      <c r="H71" s="99">
        <f t="shared" si="6"/>
        <v>0.12414</v>
      </c>
      <c r="I71" s="13">
        <v>0</v>
      </c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</row>
    <row r="72" spans="1:22" ht="15.75" customHeight="1">
      <c r="A72" s="29">
        <v>12</v>
      </c>
      <c r="B72" s="98" t="s">
        <v>85</v>
      </c>
      <c r="C72" s="41" t="s">
        <v>131</v>
      </c>
      <c r="D72" s="37" t="s">
        <v>66</v>
      </c>
      <c r="E72" s="17">
        <v>1839.1</v>
      </c>
      <c r="F72" s="101">
        <f>SUM(E72*12)</f>
        <v>22069.199999999997</v>
      </c>
      <c r="G72" s="13">
        <v>2.16</v>
      </c>
      <c r="H72" s="99">
        <f t="shared" si="6"/>
        <v>47.669471999999992</v>
      </c>
      <c r="I72" s="13">
        <f>F72/12*G72</f>
        <v>3972.4559999999997</v>
      </c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</row>
    <row r="73" spans="1:22" ht="15.75" hidden="1" customHeight="1">
      <c r="A73" s="29"/>
      <c r="B73" s="49" t="s">
        <v>72</v>
      </c>
      <c r="C73" s="49"/>
      <c r="D73" s="49"/>
      <c r="E73" s="18"/>
      <c r="F73" s="18"/>
      <c r="G73" s="29"/>
      <c r="H73" s="29"/>
      <c r="I73" s="18"/>
    </row>
    <row r="74" spans="1:22" ht="15.75" hidden="1" customHeight="1">
      <c r="A74" s="29"/>
      <c r="B74" s="98" t="s">
        <v>123</v>
      </c>
      <c r="C74" s="16" t="s">
        <v>124</v>
      </c>
      <c r="D74" s="98" t="s">
        <v>66</v>
      </c>
      <c r="E74" s="18">
        <v>1</v>
      </c>
      <c r="F74" s="13">
        <f>E74</f>
        <v>1</v>
      </c>
      <c r="G74" s="13">
        <v>976.4</v>
      </c>
      <c r="H74" s="99">
        <f t="shared" ref="H74:H78" si="8">SUM(F74*G74/1000)</f>
        <v>0.97639999999999993</v>
      </c>
      <c r="I74" s="13">
        <v>0</v>
      </c>
    </row>
    <row r="75" spans="1:22" ht="15.75" hidden="1" customHeight="1">
      <c r="A75" s="29"/>
      <c r="B75" s="98" t="s">
        <v>125</v>
      </c>
      <c r="C75" s="16" t="s">
        <v>126</v>
      </c>
      <c r="D75" s="98"/>
      <c r="E75" s="18">
        <v>1</v>
      </c>
      <c r="F75" s="13">
        <v>1</v>
      </c>
      <c r="G75" s="13">
        <v>650</v>
      </c>
      <c r="H75" s="99">
        <f t="shared" si="8"/>
        <v>0.65</v>
      </c>
      <c r="I75" s="13">
        <v>0</v>
      </c>
    </row>
    <row r="76" spans="1:22" ht="15.75" hidden="1" customHeight="1">
      <c r="A76" s="29"/>
      <c r="B76" s="98" t="s">
        <v>73</v>
      </c>
      <c r="C76" s="16" t="s">
        <v>149</v>
      </c>
      <c r="D76" s="98" t="s">
        <v>66</v>
      </c>
      <c r="E76" s="18">
        <v>3</v>
      </c>
      <c r="F76" s="13">
        <f>E76/10</f>
        <v>0.3</v>
      </c>
      <c r="G76" s="13">
        <v>624.16999999999996</v>
      </c>
      <c r="H76" s="99">
        <f t="shared" si="8"/>
        <v>0.18725099999999997</v>
      </c>
      <c r="I76" s="13">
        <v>0</v>
      </c>
    </row>
    <row r="77" spans="1:22" ht="15.75" hidden="1" customHeight="1">
      <c r="A77" s="29"/>
      <c r="B77" s="98" t="s">
        <v>74</v>
      </c>
      <c r="C77" s="16" t="s">
        <v>29</v>
      </c>
      <c r="D77" s="98" t="s">
        <v>66</v>
      </c>
      <c r="E77" s="18">
        <v>1</v>
      </c>
      <c r="F77" s="13">
        <v>1</v>
      </c>
      <c r="G77" s="13">
        <v>1061.4100000000001</v>
      </c>
      <c r="H77" s="99">
        <f t="shared" si="8"/>
        <v>1.0614100000000002</v>
      </c>
      <c r="I77" s="13">
        <v>0</v>
      </c>
    </row>
    <row r="78" spans="1:22" ht="15.75" hidden="1" customHeight="1">
      <c r="A78" s="29">
        <v>17</v>
      </c>
      <c r="B78" s="98" t="s">
        <v>86</v>
      </c>
      <c r="C78" s="16" t="s">
        <v>29</v>
      </c>
      <c r="D78" s="98" t="s">
        <v>66</v>
      </c>
      <c r="E78" s="18">
        <v>1</v>
      </c>
      <c r="F78" s="85">
        <f>SUM(E78)</f>
        <v>1</v>
      </c>
      <c r="G78" s="13">
        <v>446.12</v>
      </c>
      <c r="H78" s="99">
        <f t="shared" si="8"/>
        <v>0.44612000000000002</v>
      </c>
      <c r="I78" s="13">
        <f>G78</f>
        <v>446.12</v>
      </c>
    </row>
    <row r="79" spans="1:22" ht="15.75" hidden="1" customHeight="1">
      <c r="A79" s="29"/>
      <c r="B79" s="50" t="s">
        <v>75</v>
      </c>
      <c r="C79" s="38"/>
      <c r="D79" s="29"/>
      <c r="E79" s="18"/>
      <c r="F79" s="18"/>
      <c r="G79" s="36"/>
      <c r="H79" s="36"/>
      <c r="I79" s="18"/>
    </row>
    <row r="80" spans="1:22" ht="15.75" hidden="1" customHeight="1">
      <c r="A80" s="29">
        <v>39</v>
      </c>
      <c r="B80" s="39" t="s">
        <v>127</v>
      </c>
      <c r="C80" s="16" t="s">
        <v>76</v>
      </c>
      <c r="D80" s="98"/>
      <c r="E80" s="18"/>
      <c r="F80" s="13">
        <v>1.3</v>
      </c>
      <c r="G80" s="13">
        <v>3433.68</v>
      </c>
      <c r="H80" s="99">
        <f t="shared" ref="H80" si="9">SUM(F80*G80/1000)</f>
        <v>4.4637839999999995</v>
      </c>
      <c r="I80" s="13">
        <v>0</v>
      </c>
    </row>
    <row r="81" spans="1:9" ht="15.75" hidden="1" customHeight="1">
      <c r="A81" s="81"/>
      <c r="B81" s="75" t="s">
        <v>122</v>
      </c>
      <c r="C81" s="75"/>
      <c r="D81" s="75"/>
      <c r="E81" s="75"/>
      <c r="F81" s="75"/>
      <c r="G81" s="75"/>
      <c r="H81" s="75"/>
      <c r="I81" s="18"/>
    </row>
    <row r="82" spans="1:9" ht="15.75" hidden="1" customHeight="1">
      <c r="A82" s="29">
        <v>15</v>
      </c>
      <c r="B82" s="82" t="s">
        <v>89</v>
      </c>
      <c r="C82" s="16"/>
      <c r="D82" s="98"/>
      <c r="E82" s="102"/>
      <c r="F82" s="13">
        <v>1</v>
      </c>
      <c r="G82" s="13">
        <v>13707.8</v>
      </c>
      <c r="H82" s="99">
        <f>G82*F82/1000</f>
        <v>13.707799999999999</v>
      </c>
      <c r="I82" s="13">
        <f>G82</f>
        <v>13707.8</v>
      </c>
    </row>
    <row r="83" spans="1:9" ht="15.75" customHeight="1">
      <c r="A83" s="129" t="s">
        <v>139</v>
      </c>
      <c r="B83" s="130"/>
      <c r="C83" s="130"/>
      <c r="D83" s="130"/>
      <c r="E83" s="130"/>
      <c r="F83" s="130"/>
      <c r="G83" s="130"/>
      <c r="H83" s="130"/>
      <c r="I83" s="131"/>
    </row>
    <row r="84" spans="1:9" ht="15.75" customHeight="1">
      <c r="A84" s="29">
        <v>13</v>
      </c>
      <c r="B84" s="82" t="s">
        <v>128</v>
      </c>
      <c r="C84" s="16" t="s">
        <v>54</v>
      </c>
      <c r="D84" s="104" t="s">
        <v>150</v>
      </c>
      <c r="E84" s="13">
        <v>1839.1</v>
      </c>
      <c r="F84" s="13">
        <f>SUM(E84*12)</f>
        <v>22069.199999999997</v>
      </c>
      <c r="G84" s="13">
        <v>2.95</v>
      </c>
      <c r="H84" s="99">
        <f>SUM(F84*G84/1000)</f>
        <v>65.104139999999987</v>
      </c>
      <c r="I84" s="13">
        <f>F84/12*G84</f>
        <v>5425.3449999999993</v>
      </c>
    </row>
    <row r="85" spans="1:9" ht="31.5" customHeight="1">
      <c r="A85" s="29">
        <v>14</v>
      </c>
      <c r="B85" s="98" t="s">
        <v>77</v>
      </c>
      <c r="C85" s="16"/>
      <c r="D85" s="104" t="s">
        <v>150</v>
      </c>
      <c r="E85" s="84">
        <v>1839.1</v>
      </c>
      <c r="F85" s="13">
        <f>E85*12</f>
        <v>22069.199999999997</v>
      </c>
      <c r="G85" s="13">
        <v>3.05</v>
      </c>
      <c r="H85" s="99">
        <f>F85*G85/1000</f>
        <v>67.311059999999983</v>
      </c>
      <c r="I85" s="13">
        <f>F85/12*G85</f>
        <v>5609.2549999999983</v>
      </c>
    </row>
    <row r="86" spans="1:9" ht="31.5" customHeight="1">
      <c r="A86" s="29">
        <v>15</v>
      </c>
      <c r="B86" s="98" t="s">
        <v>132</v>
      </c>
      <c r="C86" s="16" t="s">
        <v>133</v>
      </c>
      <c r="D86" s="104" t="s">
        <v>150</v>
      </c>
      <c r="E86" s="102"/>
      <c r="F86" s="13"/>
      <c r="G86" s="13"/>
      <c r="H86" s="99">
        <v>59.113</v>
      </c>
      <c r="I86" s="13">
        <v>4926.08</v>
      </c>
    </row>
    <row r="87" spans="1:9" ht="15.75" customHeight="1">
      <c r="A87" s="81"/>
      <c r="B87" s="40" t="s">
        <v>79</v>
      </c>
      <c r="C87" s="41"/>
      <c r="D87" s="15"/>
      <c r="E87" s="15"/>
      <c r="F87" s="15"/>
      <c r="G87" s="18"/>
      <c r="H87" s="18"/>
      <c r="I87" s="31">
        <f>SUM(I16+I17+I18+I27+I28+I31+I32+I34+I35+I55+I56+I72+I84+I85+I86)</f>
        <v>45134.309499111107</v>
      </c>
    </row>
    <row r="88" spans="1:9" ht="15.75" customHeight="1">
      <c r="A88" s="132" t="s">
        <v>59</v>
      </c>
      <c r="B88" s="133"/>
      <c r="C88" s="133"/>
      <c r="D88" s="133"/>
      <c r="E88" s="133"/>
      <c r="F88" s="133"/>
      <c r="G88" s="133"/>
      <c r="H88" s="133"/>
      <c r="I88" s="134"/>
    </row>
    <row r="89" spans="1:9" ht="18.75" customHeight="1">
      <c r="A89" s="107">
        <v>16</v>
      </c>
      <c r="B89" s="37" t="s">
        <v>166</v>
      </c>
      <c r="C89" s="38" t="s">
        <v>167</v>
      </c>
      <c r="D89" s="52"/>
      <c r="E89" s="13"/>
      <c r="F89" s="13">
        <v>2</v>
      </c>
      <c r="G89" s="36">
        <v>1.2</v>
      </c>
      <c r="H89" s="99">
        <f t="shared" ref="H89" si="10">G89*F89/1000</f>
        <v>2.3999999999999998E-3</v>
      </c>
      <c r="I89" s="108">
        <f>G89*12</f>
        <v>14.399999999999999</v>
      </c>
    </row>
    <row r="90" spans="1:9" ht="18" customHeight="1">
      <c r="A90" s="107">
        <v>17</v>
      </c>
      <c r="B90" s="127" t="s">
        <v>188</v>
      </c>
      <c r="C90" s="41" t="s">
        <v>88</v>
      </c>
      <c r="D90" s="52"/>
      <c r="E90" s="13"/>
      <c r="F90" s="13"/>
      <c r="G90" s="36">
        <v>3413.41</v>
      </c>
      <c r="H90" s="99"/>
      <c r="I90" s="108">
        <f>G90*0.06</f>
        <v>204.80459999999999</v>
      </c>
    </row>
    <row r="91" spans="1:9" ht="31.5" customHeight="1">
      <c r="A91" s="107">
        <v>18</v>
      </c>
      <c r="B91" s="128" t="s">
        <v>189</v>
      </c>
      <c r="C91" s="66" t="s">
        <v>190</v>
      </c>
      <c r="D91" s="52"/>
      <c r="E91" s="13"/>
      <c r="F91" s="13"/>
      <c r="G91" s="36">
        <v>56.34</v>
      </c>
      <c r="H91" s="99"/>
      <c r="I91" s="108">
        <f>G91*1</f>
        <v>56.34</v>
      </c>
    </row>
    <row r="92" spans="1:9" ht="15.75" customHeight="1">
      <c r="A92" s="29"/>
      <c r="B92" s="46" t="s">
        <v>51</v>
      </c>
      <c r="C92" s="42"/>
      <c r="D92" s="54"/>
      <c r="E92" s="42">
        <v>1</v>
      </c>
      <c r="F92" s="42"/>
      <c r="G92" s="42"/>
      <c r="H92" s="42"/>
      <c r="I92" s="31">
        <f>SUM(I89:I91)</f>
        <v>275.5446</v>
      </c>
    </row>
    <row r="93" spans="1:9" ht="15.75" customHeight="1">
      <c r="A93" s="29"/>
      <c r="B93" s="52" t="s">
        <v>78</v>
      </c>
      <c r="C93" s="15"/>
      <c r="D93" s="15"/>
      <c r="E93" s="43"/>
      <c r="F93" s="43"/>
      <c r="G93" s="44"/>
      <c r="H93" s="44"/>
      <c r="I93" s="17">
        <v>0</v>
      </c>
    </row>
    <row r="94" spans="1:9" ht="15.75" customHeight="1">
      <c r="A94" s="55"/>
      <c r="B94" s="47" t="s">
        <v>140</v>
      </c>
      <c r="C94" s="34"/>
      <c r="D94" s="34"/>
      <c r="E94" s="34"/>
      <c r="F94" s="34"/>
      <c r="G94" s="34"/>
      <c r="H94" s="34"/>
      <c r="I94" s="45">
        <f>I87+I92</f>
        <v>45409.854099111108</v>
      </c>
    </row>
    <row r="95" spans="1:9" ht="15.75">
      <c r="A95" s="135" t="s">
        <v>191</v>
      </c>
      <c r="B95" s="135"/>
      <c r="C95" s="135"/>
      <c r="D95" s="135"/>
      <c r="E95" s="135"/>
      <c r="F95" s="135"/>
      <c r="G95" s="135"/>
      <c r="H95" s="135"/>
      <c r="I95" s="135"/>
    </row>
    <row r="96" spans="1:9" ht="15.75">
      <c r="A96" s="61"/>
      <c r="B96" s="151" t="s">
        <v>192</v>
      </c>
      <c r="C96" s="151"/>
      <c r="D96" s="151"/>
      <c r="E96" s="151"/>
      <c r="F96" s="151"/>
      <c r="G96" s="151"/>
      <c r="H96" s="80"/>
      <c r="I96" s="3"/>
    </row>
    <row r="97" spans="1:9">
      <c r="A97" s="71"/>
      <c r="B97" s="147" t="s">
        <v>6</v>
      </c>
      <c r="C97" s="147"/>
      <c r="D97" s="147"/>
      <c r="E97" s="147"/>
      <c r="F97" s="147"/>
      <c r="G97" s="147"/>
      <c r="H97" s="24"/>
      <c r="I97" s="5"/>
    </row>
    <row r="98" spans="1:9">
      <c r="A98" s="10"/>
      <c r="B98" s="10"/>
      <c r="C98" s="10"/>
      <c r="D98" s="10"/>
      <c r="E98" s="10"/>
      <c r="F98" s="10"/>
      <c r="G98" s="10"/>
      <c r="H98" s="10"/>
      <c r="I98" s="10"/>
    </row>
    <row r="99" spans="1:9" ht="15.75">
      <c r="A99" s="155" t="s">
        <v>7</v>
      </c>
      <c r="B99" s="155"/>
      <c r="C99" s="155"/>
      <c r="D99" s="155"/>
      <c r="E99" s="155"/>
      <c r="F99" s="155"/>
      <c r="G99" s="155"/>
      <c r="H99" s="155"/>
      <c r="I99" s="155"/>
    </row>
    <row r="100" spans="1:9" ht="15.75">
      <c r="A100" s="155" t="s">
        <v>8</v>
      </c>
      <c r="B100" s="155"/>
      <c r="C100" s="155"/>
      <c r="D100" s="155"/>
      <c r="E100" s="155"/>
      <c r="F100" s="155"/>
      <c r="G100" s="155"/>
      <c r="H100" s="155"/>
      <c r="I100" s="155"/>
    </row>
    <row r="101" spans="1:9" ht="15.75">
      <c r="A101" s="152" t="s">
        <v>60</v>
      </c>
      <c r="B101" s="152"/>
      <c r="C101" s="152"/>
      <c r="D101" s="152"/>
      <c r="E101" s="152"/>
      <c r="F101" s="152"/>
      <c r="G101" s="152"/>
      <c r="H101" s="152"/>
      <c r="I101" s="152"/>
    </row>
    <row r="102" spans="1:9" ht="15.75">
      <c r="A102" s="11"/>
    </row>
    <row r="103" spans="1:9" ht="15.75">
      <c r="A103" s="153" t="s">
        <v>9</v>
      </c>
      <c r="B103" s="153"/>
      <c r="C103" s="153"/>
      <c r="D103" s="153"/>
      <c r="E103" s="153"/>
      <c r="F103" s="153"/>
      <c r="G103" s="153"/>
      <c r="H103" s="153"/>
      <c r="I103" s="153"/>
    </row>
    <row r="104" spans="1:9" ht="15.75">
      <c r="A104" s="4"/>
    </row>
    <row r="105" spans="1:9" ht="15.75">
      <c r="B105" s="70" t="s">
        <v>10</v>
      </c>
      <c r="C105" s="154" t="s">
        <v>87</v>
      </c>
      <c r="D105" s="154"/>
      <c r="E105" s="154"/>
      <c r="F105" s="78"/>
      <c r="I105" s="73"/>
    </row>
    <row r="106" spans="1:9">
      <c r="A106" s="71"/>
      <c r="C106" s="147" t="s">
        <v>11</v>
      </c>
      <c r="D106" s="147"/>
      <c r="E106" s="147"/>
      <c r="F106" s="24"/>
      <c r="I106" s="72" t="s">
        <v>12</v>
      </c>
    </row>
    <row r="107" spans="1:9" ht="15.75">
      <c r="A107" s="25"/>
      <c r="C107" s="12"/>
      <c r="D107" s="12"/>
      <c r="G107" s="12"/>
      <c r="H107" s="12"/>
    </row>
    <row r="108" spans="1:9" ht="15.75">
      <c r="B108" s="70" t="s">
        <v>13</v>
      </c>
      <c r="C108" s="149"/>
      <c r="D108" s="149"/>
      <c r="E108" s="149"/>
      <c r="F108" s="79"/>
      <c r="I108" s="73"/>
    </row>
    <row r="109" spans="1:9">
      <c r="A109" s="71"/>
      <c r="C109" s="136" t="s">
        <v>11</v>
      </c>
      <c r="D109" s="136"/>
      <c r="E109" s="136"/>
      <c r="F109" s="71"/>
      <c r="I109" s="72" t="s">
        <v>12</v>
      </c>
    </row>
    <row r="110" spans="1:9" ht="15.75">
      <c r="A110" s="4" t="s">
        <v>14</v>
      </c>
    </row>
    <row r="111" spans="1:9">
      <c r="A111" s="150" t="s">
        <v>15</v>
      </c>
      <c r="B111" s="150"/>
      <c r="C111" s="150"/>
      <c r="D111" s="150"/>
      <c r="E111" s="150"/>
      <c r="F111" s="150"/>
      <c r="G111" s="150"/>
      <c r="H111" s="150"/>
      <c r="I111" s="150"/>
    </row>
    <row r="112" spans="1:9" ht="45" customHeight="1">
      <c r="A112" s="148" t="s">
        <v>16</v>
      </c>
      <c r="B112" s="148"/>
      <c r="C112" s="148"/>
      <c r="D112" s="148"/>
      <c r="E112" s="148"/>
      <c r="F112" s="148"/>
      <c r="G112" s="148"/>
      <c r="H112" s="148"/>
      <c r="I112" s="148"/>
    </row>
    <row r="113" spans="1:9" ht="30" customHeight="1">
      <c r="A113" s="148" t="s">
        <v>17</v>
      </c>
      <c r="B113" s="148"/>
      <c r="C113" s="148"/>
      <c r="D113" s="148"/>
      <c r="E113" s="148"/>
      <c r="F113" s="148"/>
      <c r="G113" s="148"/>
      <c r="H113" s="148"/>
      <c r="I113" s="148"/>
    </row>
    <row r="114" spans="1:9" ht="30" customHeight="1">
      <c r="A114" s="148" t="s">
        <v>21</v>
      </c>
      <c r="B114" s="148"/>
      <c r="C114" s="148"/>
      <c r="D114" s="148"/>
      <c r="E114" s="148"/>
      <c r="F114" s="148"/>
      <c r="G114" s="148"/>
      <c r="H114" s="148"/>
      <c r="I114" s="148"/>
    </row>
    <row r="115" spans="1:9" ht="15.75">
      <c r="A115" s="148" t="s">
        <v>20</v>
      </c>
      <c r="B115" s="148"/>
      <c r="C115" s="148"/>
      <c r="D115" s="148"/>
      <c r="E115" s="148"/>
      <c r="F115" s="148"/>
      <c r="G115" s="148"/>
      <c r="H115" s="148"/>
      <c r="I115" s="148"/>
    </row>
  </sheetData>
  <autoFilter ref="I12:I65"/>
  <mergeCells count="29">
    <mergeCell ref="A14:I14"/>
    <mergeCell ref="A15:I15"/>
    <mergeCell ref="A29:I29"/>
    <mergeCell ref="A45:I45"/>
    <mergeCell ref="A57:I57"/>
    <mergeCell ref="A3:I3"/>
    <mergeCell ref="A4:I4"/>
    <mergeCell ref="A5:I5"/>
    <mergeCell ref="A8:I8"/>
    <mergeCell ref="A10:I10"/>
    <mergeCell ref="R70:U70"/>
    <mergeCell ref="C109:E109"/>
    <mergeCell ref="A88:I88"/>
    <mergeCell ref="A95:I95"/>
    <mergeCell ref="B96:G96"/>
    <mergeCell ref="B97:G97"/>
    <mergeCell ref="A99:I99"/>
    <mergeCell ref="A100:I100"/>
    <mergeCell ref="A101:I101"/>
    <mergeCell ref="A103:I103"/>
    <mergeCell ref="C105:E105"/>
    <mergeCell ref="C106:E106"/>
    <mergeCell ref="C108:E108"/>
    <mergeCell ref="A83:I83"/>
    <mergeCell ref="A111:I111"/>
    <mergeCell ref="A112:I112"/>
    <mergeCell ref="A113:I113"/>
    <mergeCell ref="A114:I114"/>
    <mergeCell ref="A115:I115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>
  <dimension ref="A1:V113"/>
  <sheetViews>
    <sheetView topLeftCell="A34" workbookViewId="0">
      <selection activeCell="B89" sqref="B89:I89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7" t="s">
        <v>196</v>
      </c>
      <c r="I1" s="26"/>
      <c r="J1" s="1"/>
      <c r="K1" s="1"/>
      <c r="L1" s="1"/>
      <c r="M1" s="1"/>
    </row>
    <row r="2" spans="1:13" ht="15.75" customHeight="1">
      <c r="A2" s="28" t="s">
        <v>61</v>
      </c>
      <c r="J2" s="2"/>
      <c r="K2" s="2"/>
      <c r="L2" s="2"/>
      <c r="M2" s="2"/>
    </row>
    <row r="3" spans="1:13" ht="15.75" customHeight="1">
      <c r="A3" s="137" t="s">
        <v>159</v>
      </c>
      <c r="B3" s="137"/>
      <c r="C3" s="137"/>
      <c r="D3" s="137"/>
      <c r="E3" s="137"/>
      <c r="F3" s="137"/>
      <c r="G3" s="137"/>
      <c r="H3" s="137"/>
      <c r="I3" s="137"/>
      <c r="J3" s="3"/>
      <c r="K3" s="3"/>
      <c r="L3" s="3"/>
    </row>
    <row r="4" spans="1:13" ht="31.5" customHeight="1">
      <c r="A4" s="138" t="s">
        <v>129</v>
      </c>
      <c r="B4" s="138"/>
      <c r="C4" s="138"/>
      <c r="D4" s="138"/>
      <c r="E4" s="138"/>
      <c r="F4" s="138"/>
      <c r="G4" s="138"/>
      <c r="H4" s="138"/>
      <c r="I4" s="138"/>
    </row>
    <row r="5" spans="1:13" ht="15.75" customHeight="1">
      <c r="A5" s="137" t="s">
        <v>193</v>
      </c>
      <c r="B5" s="141"/>
      <c r="C5" s="141"/>
      <c r="D5" s="141"/>
      <c r="E5" s="141"/>
      <c r="F5" s="141"/>
      <c r="G5" s="141"/>
      <c r="H5" s="141"/>
      <c r="I5" s="141"/>
      <c r="J5" s="2"/>
      <c r="K5" s="2"/>
      <c r="L5" s="2"/>
      <c r="M5" s="2"/>
    </row>
    <row r="6" spans="1:13" ht="15.75" customHeight="1">
      <c r="A6" s="2"/>
      <c r="B6" s="74"/>
      <c r="C6" s="74"/>
      <c r="D6" s="74"/>
      <c r="E6" s="74"/>
      <c r="F6" s="74"/>
      <c r="G6" s="74"/>
      <c r="H6" s="74"/>
      <c r="I6" s="30">
        <v>43312</v>
      </c>
      <c r="J6" s="2"/>
      <c r="K6" s="2"/>
      <c r="L6" s="2"/>
      <c r="M6" s="2"/>
    </row>
    <row r="7" spans="1:13" ht="15.75" customHeight="1">
      <c r="B7" s="70"/>
      <c r="C7" s="70"/>
      <c r="D7" s="70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139" t="s">
        <v>197</v>
      </c>
      <c r="B8" s="139"/>
      <c r="C8" s="139"/>
      <c r="D8" s="139"/>
      <c r="E8" s="139"/>
      <c r="F8" s="139"/>
      <c r="G8" s="139"/>
      <c r="H8" s="139"/>
      <c r="I8" s="139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140" t="s">
        <v>135</v>
      </c>
      <c r="B10" s="140"/>
      <c r="C10" s="140"/>
      <c r="D10" s="140"/>
      <c r="E10" s="140"/>
      <c r="F10" s="140"/>
      <c r="G10" s="140"/>
      <c r="H10" s="140"/>
      <c r="I10" s="140"/>
      <c r="J10" s="2"/>
      <c r="K10" s="2"/>
      <c r="L10" s="2"/>
      <c r="M10" s="2"/>
    </row>
    <row r="11" spans="1:13" ht="15.75">
      <c r="A11" s="4"/>
    </row>
    <row r="12" spans="1:13" ht="47.2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142" t="s">
        <v>58</v>
      </c>
      <c r="B14" s="142"/>
      <c r="C14" s="142"/>
      <c r="D14" s="142"/>
      <c r="E14" s="142"/>
      <c r="F14" s="142"/>
      <c r="G14" s="142"/>
      <c r="H14" s="142"/>
      <c r="I14" s="142"/>
      <c r="J14" s="8"/>
      <c r="K14" s="8"/>
      <c r="L14" s="8"/>
      <c r="M14" s="8"/>
    </row>
    <row r="15" spans="1:13" ht="15.75" customHeight="1">
      <c r="A15" s="143" t="s">
        <v>4</v>
      </c>
      <c r="B15" s="143"/>
      <c r="C15" s="143"/>
      <c r="D15" s="143"/>
      <c r="E15" s="143"/>
      <c r="F15" s="143"/>
      <c r="G15" s="143"/>
      <c r="H15" s="143"/>
      <c r="I15" s="143"/>
      <c r="J15" s="8"/>
      <c r="K15" s="8"/>
      <c r="L15" s="8"/>
      <c r="M15" s="8"/>
    </row>
    <row r="16" spans="1:13" ht="15.75" customHeight="1">
      <c r="A16" s="29">
        <v>1</v>
      </c>
      <c r="B16" s="82" t="s">
        <v>83</v>
      </c>
      <c r="C16" s="83" t="s">
        <v>92</v>
      </c>
      <c r="D16" s="82" t="s">
        <v>141</v>
      </c>
      <c r="E16" s="84">
        <v>54.2</v>
      </c>
      <c r="F16" s="85">
        <f>SUM(E16*156/100)</f>
        <v>84.552000000000007</v>
      </c>
      <c r="G16" s="85">
        <v>218.21</v>
      </c>
      <c r="H16" s="86">
        <f t="shared" ref="H16:H26" si="0">SUM(F16*G16/1000)</f>
        <v>18.450091920000002</v>
      </c>
      <c r="I16" s="13">
        <f>F16/12*G16</f>
        <v>1537.5076600000002</v>
      </c>
      <c r="J16" s="8"/>
      <c r="K16" s="8"/>
      <c r="L16" s="8"/>
      <c r="M16" s="8"/>
    </row>
    <row r="17" spans="1:13" ht="15.75" customHeight="1">
      <c r="A17" s="29">
        <v>2</v>
      </c>
      <c r="B17" s="82" t="s">
        <v>90</v>
      </c>
      <c r="C17" s="83" t="s">
        <v>92</v>
      </c>
      <c r="D17" s="82" t="s">
        <v>142</v>
      </c>
      <c r="E17" s="84">
        <v>108.5</v>
      </c>
      <c r="F17" s="85">
        <f>SUM(E17*104/100)</f>
        <v>112.84</v>
      </c>
      <c r="G17" s="85">
        <v>218.21</v>
      </c>
      <c r="H17" s="86">
        <f t="shared" si="0"/>
        <v>24.622816400000005</v>
      </c>
      <c r="I17" s="13">
        <f>F17/12*G17</f>
        <v>2051.9013666666669</v>
      </c>
      <c r="J17" s="22"/>
      <c r="K17" s="8"/>
      <c r="L17" s="8"/>
      <c r="M17" s="8"/>
    </row>
    <row r="18" spans="1:13" ht="15.75" customHeight="1">
      <c r="A18" s="29">
        <v>3</v>
      </c>
      <c r="B18" s="82" t="s">
        <v>91</v>
      </c>
      <c r="C18" s="83" t="s">
        <v>92</v>
      </c>
      <c r="D18" s="82" t="s">
        <v>143</v>
      </c>
      <c r="E18" s="84">
        <f>SUM(E16+E17)</f>
        <v>162.69999999999999</v>
      </c>
      <c r="F18" s="85">
        <f>SUM(E18*24/100)</f>
        <v>39.047999999999995</v>
      </c>
      <c r="G18" s="85">
        <v>627.77</v>
      </c>
      <c r="H18" s="86">
        <f t="shared" si="0"/>
        <v>24.513162959999995</v>
      </c>
      <c r="I18" s="13">
        <f>F18/12*G18</f>
        <v>2042.7635799999996</v>
      </c>
      <c r="J18" s="22"/>
      <c r="K18" s="8"/>
      <c r="L18" s="8"/>
      <c r="M18" s="8"/>
    </row>
    <row r="19" spans="1:13" ht="15.75" hidden="1" customHeight="1">
      <c r="A19" s="29">
        <v>4</v>
      </c>
      <c r="B19" s="82" t="s">
        <v>93</v>
      </c>
      <c r="C19" s="83" t="s">
        <v>88</v>
      </c>
      <c r="D19" s="82" t="s">
        <v>94</v>
      </c>
      <c r="E19" s="84">
        <v>15.3</v>
      </c>
      <c r="F19" s="85">
        <f>SUM(E19/10)</f>
        <v>1.53</v>
      </c>
      <c r="G19" s="85">
        <v>211.74</v>
      </c>
      <c r="H19" s="86">
        <f t="shared" si="0"/>
        <v>0.32396219999999998</v>
      </c>
      <c r="I19" s="13">
        <f>F19/2*G19</f>
        <v>161.9811</v>
      </c>
      <c r="J19" s="22"/>
      <c r="K19" s="8"/>
      <c r="L19" s="8"/>
      <c r="M19" s="8"/>
    </row>
    <row r="20" spans="1:13" ht="15.75" hidden="1" customHeight="1">
      <c r="A20" s="29">
        <v>5</v>
      </c>
      <c r="B20" s="82" t="s">
        <v>96</v>
      </c>
      <c r="C20" s="83" t="s">
        <v>92</v>
      </c>
      <c r="D20" s="82" t="s">
        <v>41</v>
      </c>
      <c r="E20" s="84">
        <v>19.62</v>
      </c>
      <c r="F20" s="85">
        <f>SUM(E20*2/100)</f>
        <v>0.39240000000000003</v>
      </c>
      <c r="G20" s="85">
        <v>271.12</v>
      </c>
      <c r="H20" s="86">
        <f t="shared" si="0"/>
        <v>0.106387488</v>
      </c>
      <c r="I20" s="13">
        <f>F20/2*G20</f>
        <v>53.193744000000002</v>
      </c>
      <c r="J20" s="22"/>
      <c r="K20" s="8"/>
      <c r="L20" s="8"/>
      <c r="M20" s="8"/>
    </row>
    <row r="21" spans="1:13" ht="15.75" hidden="1" customHeight="1">
      <c r="A21" s="29">
        <v>6</v>
      </c>
      <c r="B21" s="82" t="s">
        <v>97</v>
      </c>
      <c r="C21" s="83" t="s">
        <v>92</v>
      </c>
      <c r="D21" s="82" t="s">
        <v>41</v>
      </c>
      <c r="E21" s="84">
        <v>8.68</v>
      </c>
      <c r="F21" s="85">
        <f>SUM(E21*2/100)</f>
        <v>0.1736</v>
      </c>
      <c r="G21" s="85">
        <v>268.92</v>
      </c>
      <c r="H21" s="86">
        <f t="shared" si="0"/>
        <v>4.6684512000000004E-2</v>
      </c>
      <c r="I21" s="13">
        <f>F21/2*G21</f>
        <v>23.342256000000003</v>
      </c>
      <c r="J21" s="22"/>
      <c r="K21" s="8"/>
      <c r="L21" s="8"/>
      <c r="M21" s="8"/>
    </row>
    <row r="22" spans="1:13" ht="15.75" hidden="1" customHeight="1">
      <c r="A22" s="29">
        <v>7</v>
      </c>
      <c r="B22" s="82" t="s">
        <v>98</v>
      </c>
      <c r="C22" s="83" t="s">
        <v>52</v>
      </c>
      <c r="D22" s="82" t="s">
        <v>94</v>
      </c>
      <c r="E22" s="84">
        <v>215</v>
      </c>
      <c r="F22" s="85">
        <f>SUM(E22/100)</f>
        <v>2.15</v>
      </c>
      <c r="G22" s="85">
        <v>335.05</v>
      </c>
      <c r="H22" s="86">
        <f t="shared" si="0"/>
        <v>0.72035749999999998</v>
      </c>
      <c r="I22" s="13">
        <f>F22*G22</f>
        <v>720.35749999999996</v>
      </c>
      <c r="J22" s="22"/>
      <c r="K22" s="8"/>
      <c r="L22" s="8"/>
      <c r="M22" s="8"/>
    </row>
    <row r="23" spans="1:13" ht="15.75" hidden="1" customHeight="1">
      <c r="A23" s="29">
        <v>8</v>
      </c>
      <c r="B23" s="82" t="s">
        <v>99</v>
      </c>
      <c r="C23" s="83" t="s">
        <v>52</v>
      </c>
      <c r="D23" s="82" t="s">
        <v>94</v>
      </c>
      <c r="E23" s="87">
        <v>17.64</v>
      </c>
      <c r="F23" s="85">
        <f>SUM(E23/100)</f>
        <v>0.1764</v>
      </c>
      <c r="G23" s="85">
        <v>55.1</v>
      </c>
      <c r="H23" s="86">
        <f t="shared" si="0"/>
        <v>9.7196399999999999E-3</v>
      </c>
      <c r="I23" s="13">
        <f>F23*G23</f>
        <v>9.7196400000000001</v>
      </c>
      <c r="J23" s="22"/>
      <c r="K23" s="8"/>
      <c r="L23" s="8"/>
      <c r="M23" s="8"/>
    </row>
    <row r="24" spans="1:13" ht="15.75" hidden="1" customHeight="1">
      <c r="A24" s="29">
        <v>9</v>
      </c>
      <c r="B24" s="82" t="s">
        <v>95</v>
      </c>
      <c r="C24" s="83" t="s">
        <v>52</v>
      </c>
      <c r="D24" s="82" t="s">
        <v>94</v>
      </c>
      <c r="E24" s="18">
        <v>4.5</v>
      </c>
      <c r="F24" s="88">
        <v>0.05</v>
      </c>
      <c r="G24" s="85">
        <v>484.94</v>
      </c>
      <c r="H24" s="86">
        <f>F24*G24/1000</f>
        <v>2.4247000000000001E-2</v>
      </c>
      <c r="I24" s="13">
        <f>F24*G24</f>
        <v>24.247</v>
      </c>
      <c r="J24" s="22"/>
      <c r="K24" s="8"/>
      <c r="L24" s="8"/>
      <c r="M24" s="8"/>
    </row>
    <row r="25" spans="1:13" ht="15.75" hidden="1" customHeight="1">
      <c r="A25" s="29">
        <v>10</v>
      </c>
      <c r="B25" s="82" t="s">
        <v>130</v>
      </c>
      <c r="C25" s="83" t="s">
        <v>52</v>
      </c>
      <c r="D25" s="82" t="s">
        <v>94</v>
      </c>
      <c r="E25" s="87">
        <v>9.4499999999999993</v>
      </c>
      <c r="F25" s="85">
        <v>0.09</v>
      </c>
      <c r="G25" s="85">
        <v>268.92</v>
      </c>
      <c r="H25" s="86">
        <f>F25*G25/1000</f>
        <v>2.42028E-2</v>
      </c>
      <c r="I25" s="13">
        <f>F25*G25</f>
        <v>24.2028</v>
      </c>
      <c r="J25" s="22"/>
      <c r="K25" s="8"/>
      <c r="L25" s="8"/>
      <c r="M25" s="8"/>
    </row>
    <row r="26" spans="1:13" ht="15.75" hidden="1" customHeight="1">
      <c r="A26" s="29">
        <v>11</v>
      </c>
      <c r="B26" s="82" t="s">
        <v>100</v>
      </c>
      <c r="C26" s="83" t="s">
        <v>52</v>
      </c>
      <c r="D26" s="82" t="s">
        <v>94</v>
      </c>
      <c r="E26" s="84">
        <v>14.4</v>
      </c>
      <c r="F26" s="85">
        <f>SUM(E26/100)</f>
        <v>0.14400000000000002</v>
      </c>
      <c r="G26" s="85">
        <v>648.04999999999995</v>
      </c>
      <c r="H26" s="86">
        <f t="shared" si="0"/>
        <v>9.3319200000000005E-2</v>
      </c>
      <c r="I26" s="13">
        <f>F26*G26</f>
        <v>93.319200000000009</v>
      </c>
      <c r="J26" s="22"/>
      <c r="K26" s="8"/>
      <c r="L26" s="8"/>
      <c r="M26" s="8"/>
    </row>
    <row r="27" spans="1:13" ht="15.75" customHeight="1">
      <c r="A27" s="29">
        <v>4</v>
      </c>
      <c r="B27" s="82" t="s">
        <v>63</v>
      </c>
      <c r="C27" s="83" t="s">
        <v>31</v>
      </c>
      <c r="D27" s="82"/>
      <c r="E27" s="84">
        <v>0.1</v>
      </c>
      <c r="F27" s="85">
        <f>SUM(E27*365)</f>
        <v>36.5</v>
      </c>
      <c r="G27" s="85">
        <v>182.96</v>
      </c>
      <c r="H27" s="86">
        <f>SUM(F27*G27/1000)</f>
        <v>6.6780400000000002</v>
      </c>
      <c r="I27" s="13">
        <f>F27/12*G27</f>
        <v>556.50333333333333</v>
      </c>
      <c r="J27" s="22"/>
      <c r="K27" s="8"/>
      <c r="L27" s="8"/>
      <c r="M27" s="8"/>
    </row>
    <row r="28" spans="1:13" ht="15.75" customHeight="1">
      <c r="A28" s="29">
        <v>5</v>
      </c>
      <c r="B28" s="89" t="s">
        <v>23</v>
      </c>
      <c r="C28" s="83" t="s">
        <v>24</v>
      </c>
      <c r="D28" s="82"/>
      <c r="E28" s="84">
        <v>1839.1</v>
      </c>
      <c r="F28" s="85">
        <f>SUM(E28*12)</f>
        <v>22069.199999999997</v>
      </c>
      <c r="G28" s="85">
        <v>4.58</v>
      </c>
      <c r="H28" s="86">
        <f>SUM(F28*G28/1000)</f>
        <v>101.07693599999999</v>
      </c>
      <c r="I28" s="13">
        <f>F28/12*G28</f>
        <v>8423.0779999999995</v>
      </c>
      <c r="J28" s="22"/>
      <c r="K28" s="8"/>
      <c r="L28" s="8"/>
      <c r="M28" s="8"/>
    </row>
    <row r="29" spans="1:13" ht="15.75" customHeight="1">
      <c r="A29" s="143" t="s">
        <v>81</v>
      </c>
      <c r="B29" s="143"/>
      <c r="C29" s="143"/>
      <c r="D29" s="143"/>
      <c r="E29" s="143"/>
      <c r="F29" s="143"/>
      <c r="G29" s="143"/>
      <c r="H29" s="143"/>
      <c r="I29" s="143"/>
      <c r="J29" s="22"/>
      <c r="K29" s="8"/>
      <c r="L29" s="8"/>
      <c r="M29" s="8"/>
    </row>
    <row r="30" spans="1:13" ht="15.75" customHeight="1">
      <c r="A30" s="41"/>
      <c r="B30" s="51" t="s">
        <v>27</v>
      </c>
      <c r="C30" s="51"/>
      <c r="D30" s="51"/>
      <c r="E30" s="51"/>
      <c r="F30" s="51"/>
      <c r="G30" s="51"/>
      <c r="H30" s="51"/>
      <c r="I30" s="18"/>
      <c r="J30" s="22"/>
      <c r="K30" s="8"/>
      <c r="L30" s="8"/>
      <c r="M30" s="8"/>
    </row>
    <row r="31" spans="1:13" ht="15.75" customHeight="1">
      <c r="A31" s="41">
        <v>6</v>
      </c>
      <c r="B31" s="32" t="s">
        <v>101</v>
      </c>
      <c r="C31" s="83" t="s">
        <v>102</v>
      </c>
      <c r="D31" s="82" t="s">
        <v>103</v>
      </c>
      <c r="E31" s="85">
        <v>58</v>
      </c>
      <c r="F31" s="85">
        <f>SUM(E31*52/1000)</f>
        <v>3.016</v>
      </c>
      <c r="G31" s="85">
        <v>193.97</v>
      </c>
      <c r="H31" s="86">
        <f>SUM(F31*G31/1000)</f>
        <v>0.58501351999999995</v>
      </c>
      <c r="I31" s="13">
        <f>F31/6*G31</f>
        <v>97.502253333333343</v>
      </c>
      <c r="J31" s="22"/>
      <c r="K31" s="8"/>
      <c r="L31" s="8"/>
      <c r="M31" s="8"/>
    </row>
    <row r="32" spans="1:13" ht="31.5" customHeight="1">
      <c r="A32" s="41">
        <v>7</v>
      </c>
      <c r="B32" s="32" t="s">
        <v>104</v>
      </c>
      <c r="C32" s="83" t="s">
        <v>102</v>
      </c>
      <c r="D32" s="82" t="s">
        <v>105</v>
      </c>
      <c r="E32" s="85">
        <v>48.3</v>
      </c>
      <c r="F32" s="85">
        <f>SUM(E32*78/1000)</f>
        <v>3.7673999999999994</v>
      </c>
      <c r="G32" s="85">
        <v>321.82</v>
      </c>
      <c r="H32" s="86">
        <f>SUM(F32*G32/1000)</f>
        <v>1.2124246679999999</v>
      </c>
      <c r="I32" s="13">
        <f>F32/6*G32</f>
        <v>202.07077799999996</v>
      </c>
      <c r="J32" s="22"/>
      <c r="K32" s="8"/>
      <c r="L32" s="8"/>
      <c r="M32" s="8"/>
    </row>
    <row r="33" spans="1:14" ht="15.75" hidden="1" customHeight="1">
      <c r="A33" s="41">
        <v>16</v>
      </c>
      <c r="B33" s="32" t="s">
        <v>26</v>
      </c>
      <c r="C33" s="83" t="s">
        <v>102</v>
      </c>
      <c r="D33" s="82" t="s">
        <v>53</v>
      </c>
      <c r="E33" s="85">
        <v>58</v>
      </c>
      <c r="F33" s="85">
        <f>SUM(E33/1000)</f>
        <v>5.8000000000000003E-2</v>
      </c>
      <c r="G33" s="85">
        <v>3758.28</v>
      </c>
      <c r="H33" s="86">
        <f>SUM(F33*G33/1000)</f>
        <v>0.21798024000000002</v>
      </c>
      <c r="I33" s="13">
        <f>F33*G33</f>
        <v>217.98024000000001</v>
      </c>
      <c r="J33" s="22"/>
      <c r="K33" s="8"/>
      <c r="L33" s="8"/>
      <c r="M33" s="8"/>
    </row>
    <row r="34" spans="1:14" ht="15.75" customHeight="1">
      <c r="A34" s="41">
        <v>8</v>
      </c>
      <c r="B34" s="32" t="s">
        <v>106</v>
      </c>
      <c r="C34" s="83" t="s">
        <v>39</v>
      </c>
      <c r="D34" s="82" t="s">
        <v>62</v>
      </c>
      <c r="E34" s="85">
        <v>1</v>
      </c>
      <c r="F34" s="85">
        <f>E34*155/100</f>
        <v>1.55</v>
      </c>
      <c r="G34" s="85">
        <v>1620.15</v>
      </c>
      <c r="H34" s="86">
        <f>SUM(F34*G34/1000)</f>
        <v>2.5112325000000002</v>
      </c>
      <c r="I34" s="13">
        <f>F34/6*G34</f>
        <v>418.53875000000005</v>
      </c>
      <c r="J34" s="22"/>
      <c r="K34" s="8"/>
    </row>
    <row r="35" spans="1:14" ht="15.75" customHeight="1">
      <c r="A35" s="41">
        <v>9</v>
      </c>
      <c r="B35" s="32" t="s">
        <v>107</v>
      </c>
      <c r="C35" s="83" t="s">
        <v>29</v>
      </c>
      <c r="D35" s="82" t="s">
        <v>62</v>
      </c>
      <c r="E35" s="90">
        <f>1/3</f>
        <v>0.33333333333333331</v>
      </c>
      <c r="F35" s="85">
        <f>155/3</f>
        <v>51.666666666666664</v>
      </c>
      <c r="G35" s="85">
        <v>70.540000000000006</v>
      </c>
      <c r="H35" s="86">
        <f>SUM(G35*155/3/1000)</f>
        <v>3.644566666666667</v>
      </c>
      <c r="I35" s="13">
        <f>F35/6*G35</f>
        <v>607.42777777777781</v>
      </c>
      <c r="J35" s="23"/>
    </row>
    <row r="36" spans="1:14" ht="15.75" hidden="1" customHeight="1">
      <c r="A36" s="41">
        <v>4</v>
      </c>
      <c r="B36" s="82" t="s">
        <v>64</v>
      </c>
      <c r="C36" s="83" t="s">
        <v>31</v>
      </c>
      <c r="D36" s="82" t="s">
        <v>66</v>
      </c>
      <c r="E36" s="84"/>
      <c r="F36" s="85">
        <v>1</v>
      </c>
      <c r="G36" s="85">
        <v>238.07</v>
      </c>
      <c r="H36" s="86">
        <f>SUM(F36*G36/1000)</f>
        <v>0.23807</v>
      </c>
      <c r="I36" s="13">
        <v>0</v>
      </c>
      <c r="J36" s="23"/>
    </row>
    <row r="37" spans="1:14" ht="15.75" hidden="1" customHeight="1">
      <c r="A37" s="29">
        <v>8</v>
      </c>
      <c r="B37" s="82" t="s">
        <v>65</v>
      </c>
      <c r="C37" s="83" t="s">
        <v>30</v>
      </c>
      <c r="D37" s="82" t="s">
        <v>66</v>
      </c>
      <c r="E37" s="84"/>
      <c r="F37" s="85">
        <v>1</v>
      </c>
      <c r="G37" s="85">
        <v>1413.96</v>
      </c>
      <c r="H37" s="86">
        <f>SUM(F37*G37/1000)</f>
        <v>1.4139600000000001</v>
      </c>
      <c r="I37" s="13">
        <v>0</v>
      </c>
      <c r="J37" s="23"/>
    </row>
    <row r="38" spans="1:14" ht="15.75" hidden="1" customHeight="1">
      <c r="A38" s="41"/>
      <c r="B38" s="49" t="s">
        <v>5</v>
      </c>
      <c r="C38" s="49"/>
      <c r="D38" s="49"/>
      <c r="E38" s="13"/>
      <c r="F38" s="13"/>
      <c r="G38" s="14"/>
      <c r="H38" s="14"/>
      <c r="I38" s="18"/>
      <c r="J38" s="23"/>
    </row>
    <row r="39" spans="1:14" ht="15.75" hidden="1" customHeight="1">
      <c r="A39" s="33">
        <v>6</v>
      </c>
      <c r="B39" s="82" t="s">
        <v>25</v>
      </c>
      <c r="C39" s="83" t="s">
        <v>30</v>
      </c>
      <c r="D39" s="82"/>
      <c r="E39" s="84"/>
      <c r="F39" s="85">
        <v>2</v>
      </c>
      <c r="G39" s="85">
        <v>1900.37</v>
      </c>
      <c r="H39" s="86">
        <f t="shared" ref="H39:H44" si="1">SUM(F39*G39/1000)</f>
        <v>3.8007399999999998</v>
      </c>
      <c r="I39" s="13">
        <f t="shared" ref="I39:I44" si="2">F39/6*G39</f>
        <v>633.45666666666659</v>
      </c>
      <c r="J39" s="23"/>
    </row>
    <row r="40" spans="1:14" ht="15.75" hidden="1" customHeight="1">
      <c r="A40" s="33">
        <v>7</v>
      </c>
      <c r="B40" s="82" t="s">
        <v>67</v>
      </c>
      <c r="C40" s="83" t="s">
        <v>28</v>
      </c>
      <c r="D40" s="82" t="s">
        <v>108</v>
      </c>
      <c r="E40" s="85">
        <v>48.3</v>
      </c>
      <c r="F40" s="85">
        <f>SUM(E40*30/1000)</f>
        <v>1.4490000000000001</v>
      </c>
      <c r="G40" s="85">
        <v>2616.4899999999998</v>
      </c>
      <c r="H40" s="86">
        <f t="shared" si="1"/>
        <v>3.7912940100000001</v>
      </c>
      <c r="I40" s="13">
        <f t="shared" si="2"/>
        <v>631.88233500000001</v>
      </c>
      <c r="J40" s="23"/>
    </row>
    <row r="41" spans="1:14" ht="15.75" hidden="1" customHeight="1">
      <c r="A41" s="33">
        <v>8</v>
      </c>
      <c r="B41" s="82" t="s">
        <v>68</v>
      </c>
      <c r="C41" s="83" t="s">
        <v>28</v>
      </c>
      <c r="D41" s="82" t="s">
        <v>109</v>
      </c>
      <c r="E41" s="85">
        <v>48.3</v>
      </c>
      <c r="F41" s="85">
        <f>SUM(E41*155/1000)</f>
        <v>7.4865000000000004</v>
      </c>
      <c r="G41" s="85">
        <v>436.45</v>
      </c>
      <c r="H41" s="86">
        <f t="shared" si="1"/>
        <v>3.2674829250000004</v>
      </c>
      <c r="I41" s="13">
        <f t="shared" si="2"/>
        <v>544.5804875</v>
      </c>
      <c r="J41" s="23"/>
    </row>
    <row r="42" spans="1:14" ht="47.25" hidden="1" customHeight="1">
      <c r="A42" s="33">
        <v>9</v>
      </c>
      <c r="B42" s="82" t="s">
        <v>80</v>
      </c>
      <c r="C42" s="83" t="s">
        <v>102</v>
      </c>
      <c r="D42" s="82" t="s">
        <v>110</v>
      </c>
      <c r="E42" s="85">
        <f>E40</f>
        <v>48.3</v>
      </c>
      <c r="F42" s="85">
        <f>SUM(E42*35/1000)</f>
        <v>1.6904999999999999</v>
      </c>
      <c r="G42" s="85">
        <v>7221.21</v>
      </c>
      <c r="H42" s="86">
        <f t="shared" si="1"/>
        <v>12.207455505</v>
      </c>
      <c r="I42" s="13">
        <f t="shared" si="2"/>
        <v>2034.5759175000001</v>
      </c>
      <c r="J42" s="23"/>
      <c r="L42" s="19"/>
      <c r="M42" s="20"/>
      <c r="N42" s="21"/>
    </row>
    <row r="43" spans="1:14" ht="15.75" hidden="1" customHeight="1">
      <c r="A43" s="33">
        <v>10</v>
      </c>
      <c r="B43" s="82" t="s">
        <v>111</v>
      </c>
      <c r="C43" s="83" t="s">
        <v>102</v>
      </c>
      <c r="D43" s="82" t="s">
        <v>112</v>
      </c>
      <c r="E43" s="85">
        <f>E40</f>
        <v>48.3</v>
      </c>
      <c r="F43" s="85">
        <f>SUM(E43*20/1000)</f>
        <v>0.96599999999999997</v>
      </c>
      <c r="G43" s="85">
        <v>533.45000000000005</v>
      </c>
      <c r="H43" s="86">
        <f t="shared" si="1"/>
        <v>0.51531270000000007</v>
      </c>
      <c r="I43" s="13">
        <f t="shared" si="2"/>
        <v>85.885450000000006</v>
      </c>
      <c r="J43" s="23"/>
      <c r="L43" s="19"/>
      <c r="M43" s="20"/>
      <c r="N43" s="21"/>
    </row>
    <row r="44" spans="1:14" ht="15.75" hidden="1" customHeight="1">
      <c r="A44" s="33">
        <v>11</v>
      </c>
      <c r="B44" s="82" t="s">
        <v>69</v>
      </c>
      <c r="C44" s="83" t="s">
        <v>31</v>
      </c>
      <c r="D44" s="82"/>
      <c r="E44" s="84"/>
      <c r="F44" s="85">
        <v>0.5</v>
      </c>
      <c r="G44" s="85">
        <v>992.97</v>
      </c>
      <c r="H44" s="86">
        <f t="shared" si="1"/>
        <v>0.49648500000000001</v>
      </c>
      <c r="I44" s="13">
        <f t="shared" si="2"/>
        <v>82.747500000000002</v>
      </c>
      <c r="J44" s="23"/>
      <c r="L44" s="19"/>
      <c r="M44" s="20"/>
      <c r="N44" s="21"/>
    </row>
    <row r="45" spans="1:14" ht="15.75" hidden="1" customHeight="1">
      <c r="A45" s="144" t="s">
        <v>137</v>
      </c>
      <c r="B45" s="145"/>
      <c r="C45" s="145"/>
      <c r="D45" s="145"/>
      <c r="E45" s="145"/>
      <c r="F45" s="145"/>
      <c r="G45" s="145"/>
      <c r="H45" s="145"/>
      <c r="I45" s="146"/>
      <c r="J45" s="23"/>
      <c r="L45" s="19"/>
      <c r="M45" s="20"/>
      <c r="N45" s="21"/>
    </row>
    <row r="46" spans="1:14" ht="15.75" hidden="1" customHeight="1">
      <c r="A46" s="41">
        <v>19</v>
      </c>
      <c r="B46" s="82" t="s">
        <v>113</v>
      </c>
      <c r="C46" s="83" t="s">
        <v>102</v>
      </c>
      <c r="D46" s="82" t="s">
        <v>41</v>
      </c>
      <c r="E46" s="84">
        <v>1044.7</v>
      </c>
      <c r="F46" s="85">
        <f>SUM(E46*2/1000)</f>
        <v>2.0893999999999999</v>
      </c>
      <c r="G46" s="13">
        <v>1283.46</v>
      </c>
      <c r="H46" s="86">
        <f t="shared" ref="H46:H56" si="3">SUM(F46*G46/1000)</f>
        <v>2.6816613240000002</v>
      </c>
      <c r="I46" s="13">
        <f t="shared" ref="I46:I49" si="4">F46/2*G46</f>
        <v>1340.8306620000001</v>
      </c>
      <c r="J46" s="23"/>
      <c r="L46" s="19"/>
      <c r="M46" s="20"/>
      <c r="N46" s="21"/>
    </row>
    <row r="47" spans="1:14" ht="15.75" hidden="1" customHeight="1">
      <c r="A47" s="41">
        <v>20</v>
      </c>
      <c r="B47" s="82" t="s">
        <v>34</v>
      </c>
      <c r="C47" s="83" t="s">
        <v>102</v>
      </c>
      <c r="D47" s="82" t="s">
        <v>41</v>
      </c>
      <c r="E47" s="84">
        <v>19.8</v>
      </c>
      <c r="F47" s="85">
        <f>SUM(E47*2/1000)</f>
        <v>3.9600000000000003E-2</v>
      </c>
      <c r="G47" s="13">
        <v>4192.6400000000003</v>
      </c>
      <c r="H47" s="86">
        <f t="shared" si="3"/>
        <v>0.16602854400000003</v>
      </c>
      <c r="I47" s="13">
        <f t="shared" si="4"/>
        <v>83.01427200000002</v>
      </c>
      <c r="J47" s="23"/>
      <c r="L47" s="19"/>
      <c r="M47" s="20"/>
      <c r="N47" s="21"/>
    </row>
    <row r="48" spans="1:14" ht="15.75" hidden="1" customHeight="1">
      <c r="A48" s="41">
        <v>21</v>
      </c>
      <c r="B48" s="82" t="s">
        <v>35</v>
      </c>
      <c r="C48" s="83" t="s">
        <v>102</v>
      </c>
      <c r="D48" s="82" t="s">
        <v>41</v>
      </c>
      <c r="E48" s="84">
        <v>660.84</v>
      </c>
      <c r="F48" s="85">
        <f>SUM(E48*2/1000)</f>
        <v>1.32168</v>
      </c>
      <c r="G48" s="13">
        <v>1711.28</v>
      </c>
      <c r="H48" s="86">
        <f t="shared" si="3"/>
        <v>2.2617645503999997</v>
      </c>
      <c r="I48" s="13">
        <f t="shared" si="4"/>
        <v>1130.8822751999999</v>
      </c>
      <c r="J48" s="23"/>
      <c r="L48" s="19"/>
      <c r="M48" s="20"/>
      <c r="N48" s="21"/>
    </row>
    <row r="49" spans="1:14" ht="15.75" hidden="1" customHeight="1">
      <c r="A49" s="41">
        <v>22</v>
      </c>
      <c r="B49" s="82" t="s">
        <v>36</v>
      </c>
      <c r="C49" s="83" t="s">
        <v>102</v>
      </c>
      <c r="D49" s="82" t="s">
        <v>41</v>
      </c>
      <c r="E49" s="84">
        <v>1156.21</v>
      </c>
      <c r="F49" s="85">
        <f>SUM(E49*2/1000)</f>
        <v>2.3124199999999999</v>
      </c>
      <c r="G49" s="13">
        <v>1179.73</v>
      </c>
      <c r="H49" s="86">
        <f t="shared" si="3"/>
        <v>2.7280312466000001</v>
      </c>
      <c r="I49" s="13">
        <f t="shared" si="4"/>
        <v>1364.0156233</v>
      </c>
      <c r="J49" s="23"/>
      <c r="L49" s="19"/>
      <c r="M49" s="20"/>
      <c r="N49" s="21"/>
    </row>
    <row r="50" spans="1:14" ht="15.75" hidden="1" customHeight="1">
      <c r="A50" s="41">
        <v>23</v>
      </c>
      <c r="B50" s="82" t="s">
        <v>32</v>
      </c>
      <c r="C50" s="83" t="s">
        <v>33</v>
      </c>
      <c r="D50" s="82" t="s">
        <v>144</v>
      </c>
      <c r="E50" s="84">
        <v>17.2</v>
      </c>
      <c r="F50" s="85">
        <f>SUM(E50*2/100)</f>
        <v>0.34399999999999997</v>
      </c>
      <c r="G50" s="13">
        <v>90.61</v>
      </c>
      <c r="H50" s="86">
        <f t="shared" si="3"/>
        <v>3.1169839999999997E-2</v>
      </c>
      <c r="I50" s="13">
        <f>F50/2*G50</f>
        <v>15.584919999999999</v>
      </c>
      <c r="J50" s="23"/>
      <c r="L50" s="19"/>
      <c r="M50" s="20"/>
      <c r="N50" s="21"/>
    </row>
    <row r="51" spans="1:14" ht="15.75" hidden="1" customHeight="1">
      <c r="A51" s="41">
        <v>24</v>
      </c>
      <c r="B51" s="82" t="s">
        <v>55</v>
      </c>
      <c r="C51" s="83" t="s">
        <v>102</v>
      </c>
      <c r="D51" s="82" t="s">
        <v>146</v>
      </c>
      <c r="E51" s="84">
        <v>1839.1</v>
      </c>
      <c r="F51" s="85">
        <f>SUM(E51*5/1000)</f>
        <v>9.1954999999999991</v>
      </c>
      <c r="G51" s="13">
        <v>1711.28</v>
      </c>
      <c r="H51" s="86">
        <f t="shared" si="3"/>
        <v>15.736075239999998</v>
      </c>
      <c r="I51" s="13">
        <f>F51/5*G51</f>
        <v>3147.2150479999996</v>
      </c>
      <c r="J51" s="23"/>
      <c r="L51" s="19"/>
      <c r="M51" s="20"/>
      <c r="N51" s="21"/>
    </row>
    <row r="52" spans="1:14" ht="31.5" hidden="1" customHeight="1">
      <c r="A52" s="41">
        <v>25</v>
      </c>
      <c r="B52" s="82" t="s">
        <v>114</v>
      </c>
      <c r="C52" s="83" t="s">
        <v>102</v>
      </c>
      <c r="D52" s="82" t="s">
        <v>41</v>
      </c>
      <c r="E52" s="84">
        <f>E51</f>
        <v>1839.1</v>
      </c>
      <c r="F52" s="85">
        <f>SUM(E52*2/1000)</f>
        <v>3.6781999999999999</v>
      </c>
      <c r="G52" s="13">
        <v>1510.06</v>
      </c>
      <c r="H52" s="86">
        <f t="shared" si="3"/>
        <v>5.5543026919999994</v>
      </c>
      <c r="I52" s="13">
        <f>F52/2*G52</f>
        <v>2777.1513459999996</v>
      </c>
      <c r="J52" s="23"/>
      <c r="L52" s="19"/>
      <c r="M52" s="20"/>
      <c r="N52" s="21"/>
    </row>
    <row r="53" spans="1:14" ht="31.5" hidden="1" customHeight="1">
      <c r="A53" s="41">
        <v>26</v>
      </c>
      <c r="B53" s="82" t="s">
        <v>115</v>
      </c>
      <c r="C53" s="83" t="s">
        <v>37</v>
      </c>
      <c r="D53" s="82" t="s">
        <v>41</v>
      </c>
      <c r="E53" s="84">
        <v>9</v>
      </c>
      <c r="F53" s="85">
        <f>SUM(E53*2/100)</f>
        <v>0.18</v>
      </c>
      <c r="G53" s="13">
        <v>3850.4</v>
      </c>
      <c r="H53" s="86">
        <f t="shared" si="3"/>
        <v>0.69307200000000002</v>
      </c>
      <c r="I53" s="13">
        <f t="shared" ref="I53:I54" si="5">F53/2*G53</f>
        <v>346.536</v>
      </c>
      <c r="J53" s="23"/>
      <c r="L53" s="19"/>
      <c r="M53" s="20"/>
      <c r="N53" s="21"/>
    </row>
    <row r="54" spans="1:14" ht="15.75" hidden="1" customHeight="1">
      <c r="A54" s="41">
        <v>27</v>
      </c>
      <c r="B54" s="82" t="s">
        <v>38</v>
      </c>
      <c r="C54" s="83" t="s">
        <v>39</v>
      </c>
      <c r="D54" s="82" t="s">
        <v>41</v>
      </c>
      <c r="E54" s="84">
        <v>1</v>
      </c>
      <c r="F54" s="85">
        <v>0.02</v>
      </c>
      <c r="G54" s="13">
        <v>7033.13</v>
      </c>
      <c r="H54" s="86">
        <f t="shared" si="3"/>
        <v>0.1406626</v>
      </c>
      <c r="I54" s="13">
        <f t="shared" si="5"/>
        <v>70.331299999999999</v>
      </c>
      <c r="J54" s="23"/>
      <c r="L54" s="19"/>
      <c r="M54" s="20"/>
      <c r="N54" s="21"/>
    </row>
    <row r="55" spans="1:14" ht="15.75" hidden="1" customHeight="1">
      <c r="A55" s="41">
        <v>10</v>
      </c>
      <c r="B55" s="82" t="s">
        <v>145</v>
      </c>
      <c r="C55" s="83" t="s">
        <v>29</v>
      </c>
      <c r="D55" s="82" t="s">
        <v>70</v>
      </c>
      <c r="E55" s="84">
        <v>36</v>
      </c>
      <c r="F55" s="85">
        <f>E55*3</f>
        <v>108</v>
      </c>
      <c r="G55" s="13">
        <v>175.6</v>
      </c>
      <c r="H55" s="86">
        <f t="shared" si="3"/>
        <v>18.9648</v>
      </c>
      <c r="I55" s="13">
        <f>E55*G55</f>
        <v>6321.5999999999995</v>
      </c>
      <c r="J55" s="23"/>
      <c r="L55" s="19"/>
      <c r="M55" s="20"/>
      <c r="N55" s="21"/>
    </row>
    <row r="56" spans="1:14" ht="15.75" hidden="1" customHeight="1">
      <c r="A56" s="41">
        <v>11</v>
      </c>
      <c r="B56" s="82" t="s">
        <v>40</v>
      </c>
      <c r="C56" s="83" t="s">
        <v>29</v>
      </c>
      <c r="D56" s="82" t="s">
        <v>70</v>
      </c>
      <c r="E56" s="84">
        <v>36</v>
      </c>
      <c r="F56" s="85">
        <f>E56*3</f>
        <v>108</v>
      </c>
      <c r="G56" s="13">
        <v>81.73</v>
      </c>
      <c r="H56" s="86">
        <f t="shared" si="3"/>
        <v>8.8268400000000007</v>
      </c>
      <c r="I56" s="13">
        <f>E56*G56</f>
        <v>2942.28</v>
      </c>
      <c r="J56" s="23"/>
      <c r="L56" s="19"/>
      <c r="M56" s="20"/>
      <c r="N56" s="21"/>
    </row>
    <row r="57" spans="1:14" ht="15.75" customHeight="1">
      <c r="A57" s="144" t="s">
        <v>154</v>
      </c>
      <c r="B57" s="145"/>
      <c r="C57" s="145"/>
      <c r="D57" s="145"/>
      <c r="E57" s="145"/>
      <c r="F57" s="145"/>
      <c r="G57" s="145"/>
      <c r="H57" s="145"/>
      <c r="I57" s="146"/>
      <c r="J57" s="23"/>
      <c r="L57" s="19"/>
      <c r="M57" s="20"/>
      <c r="N57" s="21"/>
    </row>
    <row r="58" spans="1:14" ht="15.75" hidden="1" customHeight="1">
      <c r="A58" s="81"/>
      <c r="B58" s="48" t="s">
        <v>42</v>
      </c>
      <c r="C58" s="16"/>
      <c r="D58" s="15"/>
      <c r="E58" s="15"/>
      <c r="F58" s="15"/>
      <c r="G58" s="29"/>
      <c r="H58" s="29"/>
      <c r="I58" s="18"/>
      <c r="J58" s="23"/>
      <c r="L58" s="19"/>
      <c r="M58" s="20"/>
      <c r="N58" s="21"/>
    </row>
    <row r="59" spans="1:14" ht="31.5" hidden="1" customHeight="1">
      <c r="A59" s="41">
        <v>12</v>
      </c>
      <c r="B59" s="82" t="s">
        <v>117</v>
      </c>
      <c r="C59" s="83" t="s">
        <v>147</v>
      </c>
      <c r="D59" s="82" t="s">
        <v>71</v>
      </c>
      <c r="E59" s="84">
        <v>12.5</v>
      </c>
      <c r="F59" s="85">
        <f>E59*6/100</f>
        <v>0.75</v>
      </c>
      <c r="G59" s="91">
        <v>2306.62</v>
      </c>
      <c r="H59" s="86">
        <f>F59*G59/1000</f>
        <v>1.729965</v>
      </c>
      <c r="I59" s="13">
        <f>F59/6*G59</f>
        <v>288.32749999999999</v>
      </c>
      <c r="J59" s="23"/>
      <c r="L59" s="19"/>
      <c r="M59" s="20"/>
      <c r="N59" s="21"/>
    </row>
    <row r="60" spans="1:14" ht="15.75" hidden="1" customHeight="1">
      <c r="A60" s="41">
        <v>13</v>
      </c>
      <c r="B60" s="92" t="s">
        <v>84</v>
      </c>
      <c r="C60" s="93" t="s">
        <v>118</v>
      </c>
      <c r="D60" s="37" t="s">
        <v>66</v>
      </c>
      <c r="E60" s="94"/>
      <c r="F60" s="95">
        <v>2</v>
      </c>
      <c r="G60" s="96">
        <v>1501</v>
      </c>
      <c r="H60" s="86">
        <f>F60*G60/1000</f>
        <v>3.0019999999999998</v>
      </c>
      <c r="I60" s="13">
        <f>G60*0.5</f>
        <v>750.5</v>
      </c>
      <c r="J60" s="23"/>
      <c r="L60" s="19"/>
      <c r="M60" s="20"/>
      <c r="N60" s="21"/>
    </row>
    <row r="61" spans="1:14" ht="15.75" hidden="1" customHeight="1">
      <c r="A61" s="41"/>
      <c r="B61" s="75" t="s">
        <v>43</v>
      </c>
      <c r="C61" s="75"/>
      <c r="D61" s="75"/>
      <c r="E61" s="75"/>
      <c r="F61" s="76"/>
      <c r="G61" s="63"/>
      <c r="H61" s="63"/>
      <c r="I61" s="35"/>
      <c r="J61" s="23"/>
      <c r="L61" s="19"/>
      <c r="M61" s="20"/>
      <c r="N61" s="21"/>
    </row>
    <row r="62" spans="1:14" ht="15.75" hidden="1" customHeight="1">
      <c r="A62" s="41">
        <v>27</v>
      </c>
      <c r="B62" s="92" t="s">
        <v>44</v>
      </c>
      <c r="C62" s="93" t="s">
        <v>52</v>
      </c>
      <c r="D62" s="92" t="s">
        <v>53</v>
      </c>
      <c r="E62" s="94">
        <v>164</v>
      </c>
      <c r="F62" s="95">
        <f>E62/100</f>
        <v>1.64</v>
      </c>
      <c r="G62" s="96">
        <v>987.51</v>
      </c>
      <c r="H62" s="97">
        <f>G62*F62/1000</f>
        <v>1.6195164</v>
      </c>
      <c r="I62" s="13">
        <v>0</v>
      </c>
      <c r="J62" s="23"/>
      <c r="L62" s="19"/>
      <c r="M62" s="20"/>
      <c r="N62" s="21"/>
    </row>
    <row r="63" spans="1:14" ht="15.75" customHeight="1">
      <c r="A63" s="41"/>
      <c r="B63" s="75" t="s">
        <v>45</v>
      </c>
      <c r="C63" s="16"/>
      <c r="D63" s="37"/>
      <c r="E63" s="15"/>
      <c r="F63" s="77"/>
      <c r="G63" s="64"/>
      <c r="H63" s="63"/>
      <c r="I63" s="18"/>
      <c r="J63" s="23"/>
      <c r="L63" s="19"/>
    </row>
    <row r="64" spans="1:14" ht="15.75" hidden="1" customHeight="1">
      <c r="A64" s="41">
        <v>17</v>
      </c>
      <c r="B64" s="98" t="s">
        <v>46</v>
      </c>
      <c r="C64" s="16" t="s">
        <v>116</v>
      </c>
      <c r="D64" s="98" t="s">
        <v>66</v>
      </c>
      <c r="E64" s="18">
        <v>1</v>
      </c>
      <c r="F64" s="85">
        <f>E64</f>
        <v>1</v>
      </c>
      <c r="G64" s="13">
        <v>276.74</v>
      </c>
      <c r="H64" s="99">
        <f t="shared" ref="H64:H72" si="6">SUM(F64*G64/1000)</f>
        <v>0.27673999999999999</v>
      </c>
      <c r="I64" s="13">
        <v>0</v>
      </c>
    </row>
    <row r="65" spans="1:22" ht="15.75" hidden="1" customHeight="1">
      <c r="A65" s="29">
        <v>29</v>
      </c>
      <c r="B65" s="98" t="s">
        <v>47</v>
      </c>
      <c r="C65" s="16" t="s">
        <v>116</v>
      </c>
      <c r="D65" s="98" t="s">
        <v>66</v>
      </c>
      <c r="E65" s="18">
        <v>3</v>
      </c>
      <c r="F65" s="85">
        <v>3</v>
      </c>
      <c r="G65" s="13">
        <v>94.89</v>
      </c>
      <c r="H65" s="99">
        <f t="shared" si="6"/>
        <v>0.28467000000000003</v>
      </c>
      <c r="I65" s="13">
        <v>0</v>
      </c>
    </row>
    <row r="66" spans="1:22" ht="15.75" hidden="1" customHeight="1">
      <c r="A66" s="29">
        <v>28</v>
      </c>
      <c r="B66" s="98" t="s">
        <v>48</v>
      </c>
      <c r="C66" s="16" t="s">
        <v>119</v>
      </c>
      <c r="D66" s="98" t="s">
        <v>53</v>
      </c>
      <c r="E66" s="84">
        <v>7265</v>
      </c>
      <c r="F66" s="13">
        <f>SUM(E66/100)</f>
        <v>72.650000000000006</v>
      </c>
      <c r="G66" s="13">
        <v>263.99</v>
      </c>
      <c r="H66" s="99">
        <f t="shared" si="6"/>
        <v>19.178873500000002</v>
      </c>
      <c r="I66" s="13">
        <f>F66*G66</f>
        <v>19178.873500000002</v>
      </c>
    </row>
    <row r="67" spans="1:22" ht="15.75" hidden="1" customHeight="1">
      <c r="A67" s="29">
        <v>29</v>
      </c>
      <c r="B67" s="98" t="s">
        <v>49</v>
      </c>
      <c r="C67" s="16" t="s">
        <v>120</v>
      </c>
      <c r="D67" s="98" t="s">
        <v>53</v>
      </c>
      <c r="E67" s="84">
        <f>E66</f>
        <v>7265</v>
      </c>
      <c r="F67" s="13">
        <f>SUM(E67/1000)</f>
        <v>7.2649999999999997</v>
      </c>
      <c r="G67" s="13">
        <v>205.57</v>
      </c>
      <c r="H67" s="99">
        <f t="shared" si="6"/>
        <v>1.4934660500000001</v>
      </c>
      <c r="I67" s="13">
        <f t="shared" ref="I67:I70" si="7">F67*G67</f>
        <v>1493.46605</v>
      </c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9"/>
    </row>
    <row r="68" spans="1:22" ht="15.75" hidden="1" customHeight="1">
      <c r="A68" s="29">
        <v>30</v>
      </c>
      <c r="B68" s="98" t="s">
        <v>50</v>
      </c>
      <c r="C68" s="16" t="s">
        <v>76</v>
      </c>
      <c r="D68" s="98" t="s">
        <v>53</v>
      </c>
      <c r="E68" s="84">
        <v>1090</v>
      </c>
      <c r="F68" s="13">
        <f>SUM(E68/100)</f>
        <v>10.9</v>
      </c>
      <c r="G68" s="13">
        <v>2581.5300000000002</v>
      </c>
      <c r="H68" s="99">
        <f t="shared" si="6"/>
        <v>28.138677000000005</v>
      </c>
      <c r="I68" s="13">
        <f t="shared" si="7"/>
        <v>28138.677000000003</v>
      </c>
      <c r="J68" s="25"/>
      <c r="K68" s="25"/>
      <c r="L68" s="3"/>
      <c r="M68" s="3"/>
      <c r="N68" s="3"/>
      <c r="O68" s="3"/>
      <c r="P68" s="3"/>
      <c r="Q68" s="3"/>
      <c r="R68" s="3"/>
      <c r="S68" s="3"/>
      <c r="T68" s="3"/>
      <c r="U68" s="3"/>
    </row>
    <row r="69" spans="1:22" ht="15.75" hidden="1" customHeight="1">
      <c r="A69" s="29">
        <v>31</v>
      </c>
      <c r="B69" s="100" t="s">
        <v>121</v>
      </c>
      <c r="C69" s="16" t="s">
        <v>31</v>
      </c>
      <c r="D69" s="98"/>
      <c r="E69" s="84">
        <v>7.6</v>
      </c>
      <c r="F69" s="13">
        <f>SUM(E69)</f>
        <v>7.6</v>
      </c>
      <c r="G69" s="13">
        <v>47.45</v>
      </c>
      <c r="H69" s="99">
        <f t="shared" si="6"/>
        <v>0.36062</v>
      </c>
      <c r="I69" s="13">
        <f t="shared" si="7"/>
        <v>360.62</v>
      </c>
      <c r="J69" s="3"/>
      <c r="K69" s="3"/>
      <c r="L69" s="3"/>
      <c r="M69" s="3"/>
      <c r="N69" s="3"/>
      <c r="O69" s="3"/>
      <c r="P69" s="3"/>
      <c r="Q69" s="3"/>
      <c r="S69" s="3"/>
      <c r="T69" s="3"/>
      <c r="U69" s="3"/>
    </row>
    <row r="70" spans="1:22" ht="15.75" hidden="1" customHeight="1">
      <c r="A70" s="29">
        <v>32</v>
      </c>
      <c r="B70" s="100" t="s">
        <v>148</v>
      </c>
      <c r="C70" s="16" t="s">
        <v>31</v>
      </c>
      <c r="D70" s="98"/>
      <c r="E70" s="84">
        <f>E69</f>
        <v>7.6</v>
      </c>
      <c r="F70" s="13">
        <f>SUM(E70)</f>
        <v>7.6</v>
      </c>
      <c r="G70" s="13">
        <v>44.27</v>
      </c>
      <c r="H70" s="99">
        <f t="shared" si="6"/>
        <v>0.33645199999999997</v>
      </c>
      <c r="I70" s="13">
        <f t="shared" si="7"/>
        <v>336.452</v>
      </c>
      <c r="J70" s="5"/>
      <c r="K70" s="5"/>
      <c r="L70" s="5"/>
      <c r="M70" s="5"/>
      <c r="N70" s="5"/>
      <c r="O70" s="5"/>
      <c r="P70" s="5"/>
      <c r="Q70" s="5"/>
      <c r="R70" s="136"/>
      <c r="S70" s="136"/>
      <c r="T70" s="136"/>
      <c r="U70" s="136"/>
    </row>
    <row r="71" spans="1:22" ht="15.75" hidden="1" customHeight="1">
      <c r="A71" s="29">
        <v>13</v>
      </c>
      <c r="B71" s="98" t="s">
        <v>56</v>
      </c>
      <c r="C71" s="16" t="s">
        <v>57</v>
      </c>
      <c r="D71" s="98" t="s">
        <v>53</v>
      </c>
      <c r="E71" s="18">
        <v>2</v>
      </c>
      <c r="F71" s="85">
        <f>SUM(E71)</f>
        <v>2</v>
      </c>
      <c r="G71" s="13">
        <v>62.07</v>
      </c>
      <c r="H71" s="99">
        <f t="shared" si="6"/>
        <v>0.12414</v>
      </c>
      <c r="I71" s="13">
        <v>0</v>
      </c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</row>
    <row r="72" spans="1:22" ht="15.75" customHeight="1">
      <c r="A72" s="29">
        <v>10</v>
      </c>
      <c r="B72" s="98" t="s">
        <v>85</v>
      </c>
      <c r="C72" s="41" t="s">
        <v>131</v>
      </c>
      <c r="D72" s="37" t="s">
        <v>66</v>
      </c>
      <c r="E72" s="17">
        <v>1839.1</v>
      </c>
      <c r="F72" s="101">
        <f>SUM(E72*12)</f>
        <v>22069.199999999997</v>
      </c>
      <c r="G72" s="13">
        <v>2.16</v>
      </c>
      <c r="H72" s="99">
        <f t="shared" si="6"/>
        <v>47.669471999999992</v>
      </c>
      <c r="I72" s="13">
        <f>F72/12*G72</f>
        <v>3972.4559999999997</v>
      </c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</row>
    <row r="73" spans="1:22" ht="15.75" hidden="1" customHeight="1">
      <c r="A73" s="29"/>
      <c r="B73" s="49" t="s">
        <v>72</v>
      </c>
      <c r="C73" s="49"/>
      <c r="D73" s="49"/>
      <c r="E73" s="18"/>
      <c r="F73" s="18"/>
      <c r="G73" s="29"/>
      <c r="H73" s="29"/>
      <c r="I73" s="18"/>
    </row>
    <row r="74" spans="1:22" ht="15.75" hidden="1" customHeight="1">
      <c r="A74" s="29"/>
      <c r="B74" s="98" t="s">
        <v>123</v>
      </c>
      <c r="C74" s="16" t="s">
        <v>124</v>
      </c>
      <c r="D74" s="98" t="s">
        <v>66</v>
      </c>
      <c r="E74" s="18">
        <v>1</v>
      </c>
      <c r="F74" s="13">
        <f>E74</f>
        <v>1</v>
      </c>
      <c r="G74" s="13">
        <v>976.4</v>
      </c>
      <c r="H74" s="99">
        <f t="shared" ref="H74:H78" si="8">SUM(F74*G74/1000)</f>
        <v>0.97639999999999993</v>
      </c>
      <c r="I74" s="13">
        <v>0</v>
      </c>
    </row>
    <row r="75" spans="1:22" ht="15.75" hidden="1" customHeight="1">
      <c r="A75" s="29"/>
      <c r="B75" s="98" t="s">
        <v>125</v>
      </c>
      <c r="C75" s="16" t="s">
        <v>126</v>
      </c>
      <c r="D75" s="98"/>
      <c r="E75" s="18">
        <v>1</v>
      </c>
      <c r="F75" s="13">
        <v>1</v>
      </c>
      <c r="G75" s="13">
        <v>650</v>
      </c>
      <c r="H75" s="99">
        <f t="shared" si="8"/>
        <v>0.65</v>
      </c>
      <c r="I75" s="13">
        <v>0</v>
      </c>
    </row>
    <row r="76" spans="1:22" ht="15.75" hidden="1" customHeight="1">
      <c r="A76" s="29"/>
      <c r="B76" s="98" t="s">
        <v>73</v>
      </c>
      <c r="C76" s="16" t="s">
        <v>149</v>
      </c>
      <c r="D76" s="98" t="s">
        <v>66</v>
      </c>
      <c r="E76" s="18">
        <v>3</v>
      </c>
      <c r="F76" s="13">
        <f>E76/10</f>
        <v>0.3</v>
      </c>
      <c r="G76" s="13">
        <v>624.16999999999996</v>
      </c>
      <c r="H76" s="99">
        <f t="shared" si="8"/>
        <v>0.18725099999999997</v>
      </c>
      <c r="I76" s="13">
        <v>0</v>
      </c>
    </row>
    <row r="77" spans="1:22" ht="15.75" hidden="1" customHeight="1">
      <c r="A77" s="29"/>
      <c r="B77" s="98" t="s">
        <v>74</v>
      </c>
      <c r="C77" s="16" t="s">
        <v>29</v>
      </c>
      <c r="D77" s="98" t="s">
        <v>66</v>
      </c>
      <c r="E77" s="18">
        <v>1</v>
      </c>
      <c r="F77" s="13">
        <v>1</v>
      </c>
      <c r="G77" s="13">
        <v>1061.4100000000001</v>
      </c>
      <c r="H77" s="99">
        <f t="shared" si="8"/>
        <v>1.0614100000000002</v>
      </c>
      <c r="I77" s="13">
        <v>0</v>
      </c>
    </row>
    <row r="78" spans="1:22" ht="15.75" hidden="1" customHeight="1">
      <c r="A78" s="29">
        <v>17</v>
      </c>
      <c r="B78" s="98" t="s">
        <v>86</v>
      </c>
      <c r="C78" s="16" t="s">
        <v>29</v>
      </c>
      <c r="D78" s="98" t="s">
        <v>66</v>
      </c>
      <c r="E78" s="18">
        <v>1</v>
      </c>
      <c r="F78" s="85">
        <f>SUM(E78)</f>
        <v>1</v>
      </c>
      <c r="G78" s="13">
        <v>446.12</v>
      </c>
      <c r="H78" s="99">
        <f t="shared" si="8"/>
        <v>0.44612000000000002</v>
      </c>
      <c r="I78" s="13">
        <f>G78</f>
        <v>446.12</v>
      </c>
    </row>
    <row r="79" spans="1:22" ht="15.75" hidden="1" customHeight="1">
      <c r="A79" s="29"/>
      <c r="B79" s="50" t="s">
        <v>75</v>
      </c>
      <c r="C79" s="38"/>
      <c r="D79" s="29"/>
      <c r="E79" s="18"/>
      <c r="F79" s="18"/>
      <c r="G79" s="36"/>
      <c r="H79" s="36"/>
      <c r="I79" s="18"/>
    </row>
    <row r="80" spans="1:22" ht="15.75" hidden="1" customHeight="1">
      <c r="A80" s="29">
        <v>39</v>
      </c>
      <c r="B80" s="39" t="s">
        <v>127</v>
      </c>
      <c r="C80" s="16" t="s">
        <v>76</v>
      </c>
      <c r="D80" s="98"/>
      <c r="E80" s="18"/>
      <c r="F80" s="13">
        <v>1.3</v>
      </c>
      <c r="G80" s="13">
        <v>3433.68</v>
      </c>
      <c r="H80" s="99">
        <f t="shared" ref="H80" si="9">SUM(F80*G80/1000)</f>
        <v>4.4637839999999995</v>
      </c>
      <c r="I80" s="13">
        <v>0</v>
      </c>
    </row>
    <row r="81" spans="1:9" ht="15.75" hidden="1" customHeight="1">
      <c r="A81" s="81"/>
      <c r="B81" s="75" t="s">
        <v>122</v>
      </c>
      <c r="C81" s="75"/>
      <c r="D81" s="75"/>
      <c r="E81" s="75"/>
      <c r="F81" s="75"/>
      <c r="G81" s="75"/>
      <c r="H81" s="75"/>
      <c r="I81" s="18"/>
    </row>
    <row r="82" spans="1:9" ht="15.75" hidden="1" customHeight="1">
      <c r="A82" s="29">
        <v>15</v>
      </c>
      <c r="B82" s="82" t="s">
        <v>89</v>
      </c>
      <c r="C82" s="16"/>
      <c r="D82" s="98"/>
      <c r="E82" s="102"/>
      <c r="F82" s="13">
        <v>1</v>
      </c>
      <c r="G82" s="13">
        <v>13707.8</v>
      </c>
      <c r="H82" s="99">
        <f>G82*F82/1000</f>
        <v>13.707799999999999</v>
      </c>
      <c r="I82" s="13">
        <f>G82</f>
        <v>13707.8</v>
      </c>
    </row>
    <row r="83" spans="1:9" ht="15.75" customHeight="1">
      <c r="A83" s="129" t="s">
        <v>155</v>
      </c>
      <c r="B83" s="130"/>
      <c r="C83" s="130"/>
      <c r="D83" s="130"/>
      <c r="E83" s="130"/>
      <c r="F83" s="130"/>
      <c r="G83" s="130"/>
      <c r="H83" s="130"/>
      <c r="I83" s="131"/>
    </row>
    <row r="84" spans="1:9" ht="15.75" customHeight="1">
      <c r="A84" s="29">
        <v>11</v>
      </c>
      <c r="B84" s="82" t="s">
        <v>128</v>
      </c>
      <c r="C84" s="16" t="s">
        <v>54</v>
      </c>
      <c r="D84" s="104" t="s">
        <v>150</v>
      </c>
      <c r="E84" s="13">
        <v>1839.1</v>
      </c>
      <c r="F84" s="13">
        <f>SUM(E84*12)</f>
        <v>22069.199999999997</v>
      </c>
      <c r="G84" s="13">
        <v>2.95</v>
      </c>
      <c r="H84" s="99">
        <f>SUM(F84*G84/1000)</f>
        <v>65.104139999999987</v>
      </c>
      <c r="I84" s="13">
        <f>F84/12*G84</f>
        <v>5425.3449999999993</v>
      </c>
    </row>
    <row r="85" spans="1:9" ht="31.5" customHeight="1">
      <c r="A85" s="29">
        <v>12</v>
      </c>
      <c r="B85" s="98" t="s">
        <v>77</v>
      </c>
      <c r="C85" s="16"/>
      <c r="D85" s="104" t="s">
        <v>150</v>
      </c>
      <c r="E85" s="84">
        <v>1839.1</v>
      </c>
      <c r="F85" s="13">
        <f>E85*12</f>
        <v>22069.199999999997</v>
      </c>
      <c r="G85" s="13">
        <v>3.05</v>
      </c>
      <c r="H85" s="99">
        <f>F85*G85/1000</f>
        <v>67.311059999999983</v>
      </c>
      <c r="I85" s="13">
        <f>F85/12*G85</f>
        <v>5609.2549999999983</v>
      </c>
    </row>
    <row r="86" spans="1:9" ht="31.5" customHeight="1">
      <c r="A86" s="29">
        <v>13</v>
      </c>
      <c r="B86" s="98" t="s">
        <v>132</v>
      </c>
      <c r="C86" s="16" t="s">
        <v>133</v>
      </c>
      <c r="D86" s="104" t="s">
        <v>150</v>
      </c>
      <c r="E86" s="102"/>
      <c r="F86" s="13"/>
      <c r="G86" s="13"/>
      <c r="H86" s="99">
        <v>59.113</v>
      </c>
      <c r="I86" s="13">
        <v>4926.08</v>
      </c>
    </row>
    <row r="87" spans="1:9" ht="15.75" customHeight="1">
      <c r="A87" s="81"/>
      <c r="B87" s="40" t="s">
        <v>79</v>
      </c>
      <c r="C87" s="41"/>
      <c r="D87" s="15"/>
      <c r="E87" s="15"/>
      <c r="F87" s="15"/>
      <c r="G87" s="18"/>
      <c r="H87" s="18"/>
      <c r="I87" s="31">
        <f>SUM(I16+I17+I18+I27+I28+I31+I32+I34+I35+I72+I84+I85+I86)</f>
        <v>35870.429499111109</v>
      </c>
    </row>
    <row r="88" spans="1:9" ht="15.75" customHeight="1">
      <c r="A88" s="132" t="s">
        <v>59</v>
      </c>
      <c r="B88" s="133"/>
      <c r="C88" s="133"/>
      <c r="D88" s="133"/>
      <c r="E88" s="133"/>
      <c r="F88" s="133"/>
      <c r="G88" s="133"/>
      <c r="H88" s="133"/>
      <c r="I88" s="134"/>
    </row>
    <row r="89" spans="1:9" ht="15.75" customHeight="1">
      <c r="A89" s="107">
        <v>14</v>
      </c>
      <c r="B89" s="37" t="s">
        <v>166</v>
      </c>
      <c r="C89" s="38" t="s">
        <v>167</v>
      </c>
      <c r="D89" s="52"/>
      <c r="E89" s="13"/>
      <c r="F89" s="13">
        <v>2</v>
      </c>
      <c r="G89" s="36">
        <v>1.2</v>
      </c>
      <c r="H89" s="99">
        <f t="shared" ref="H89" si="10">G89*F89/1000</f>
        <v>2.3999999999999998E-3</v>
      </c>
      <c r="I89" s="108">
        <f>G89*12</f>
        <v>14.399999999999999</v>
      </c>
    </row>
    <row r="90" spans="1:9" ht="15.75" customHeight="1">
      <c r="A90" s="29"/>
      <c r="B90" s="46" t="s">
        <v>51</v>
      </c>
      <c r="C90" s="42"/>
      <c r="D90" s="54"/>
      <c r="E90" s="42">
        <v>1</v>
      </c>
      <c r="F90" s="42"/>
      <c r="G90" s="42"/>
      <c r="H90" s="42"/>
      <c r="I90" s="31">
        <f>SUM(I89:I89)</f>
        <v>14.399999999999999</v>
      </c>
    </row>
    <row r="91" spans="1:9" ht="15.75" customHeight="1">
      <c r="A91" s="29"/>
      <c r="B91" s="52" t="s">
        <v>78</v>
      </c>
      <c r="C91" s="15"/>
      <c r="D91" s="15"/>
      <c r="E91" s="43"/>
      <c r="F91" s="43"/>
      <c r="G91" s="44"/>
      <c r="H91" s="44"/>
      <c r="I91" s="17">
        <v>0</v>
      </c>
    </row>
    <row r="92" spans="1:9" ht="15.75" customHeight="1">
      <c r="A92" s="55"/>
      <c r="B92" s="47" t="s">
        <v>140</v>
      </c>
      <c r="C92" s="34"/>
      <c r="D92" s="34"/>
      <c r="E92" s="34"/>
      <c r="F92" s="34"/>
      <c r="G92" s="34"/>
      <c r="H92" s="34"/>
      <c r="I92" s="45">
        <f>I87+I90</f>
        <v>35884.829499111111</v>
      </c>
    </row>
    <row r="93" spans="1:9" ht="15.75">
      <c r="A93" s="135" t="s">
        <v>194</v>
      </c>
      <c r="B93" s="135"/>
      <c r="C93" s="135"/>
      <c r="D93" s="135"/>
      <c r="E93" s="135"/>
      <c r="F93" s="135"/>
      <c r="G93" s="135"/>
      <c r="H93" s="135"/>
      <c r="I93" s="135"/>
    </row>
    <row r="94" spans="1:9" ht="15.75">
      <c r="A94" s="61"/>
      <c r="B94" s="151" t="s">
        <v>195</v>
      </c>
      <c r="C94" s="151"/>
      <c r="D94" s="151"/>
      <c r="E94" s="151"/>
      <c r="F94" s="151"/>
      <c r="G94" s="151"/>
      <c r="H94" s="80"/>
      <c r="I94" s="3"/>
    </row>
    <row r="95" spans="1:9">
      <c r="A95" s="71"/>
      <c r="B95" s="147" t="s">
        <v>6</v>
      </c>
      <c r="C95" s="147"/>
      <c r="D95" s="147"/>
      <c r="E95" s="147"/>
      <c r="F95" s="147"/>
      <c r="G95" s="147"/>
      <c r="H95" s="24"/>
      <c r="I95" s="5"/>
    </row>
    <row r="96" spans="1:9">
      <c r="A96" s="10"/>
      <c r="B96" s="10"/>
      <c r="C96" s="10"/>
      <c r="D96" s="10"/>
      <c r="E96" s="10"/>
      <c r="F96" s="10"/>
      <c r="G96" s="10"/>
      <c r="H96" s="10"/>
      <c r="I96" s="10"/>
    </row>
    <row r="97" spans="1:9" ht="15.75">
      <c r="A97" s="155" t="s">
        <v>7</v>
      </c>
      <c r="B97" s="155"/>
      <c r="C97" s="155"/>
      <c r="D97" s="155"/>
      <c r="E97" s="155"/>
      <c r="F97" s="155"/>
      <c r="G97" s="155"/>
      <c r="H97" s="155"/>
      <c r="I97" s="155"/>
    </row>
    <row r="98" spans="1:9" ht="15.75">
      <c r="A98" s="155" t="s">
        <v>8</v>
      </c>
      <c r="B98" s="155"/>
      <c r="C98" s="155"/>
      <c r="D98" s="155"/>
      <c r="E98" s="155"/>
      <c r="F98" s="155"/>
      <c r="G98" s="155"/>
      <c r="H98" s="155"/>
      <c r="I98" s="155"/>
    </row>
    <row r="99" spans="1:9" ht="15.75">
      <c r="A99" s="152" t="s">
        <v>60</v>
      </c>
      <c r="B99" s="152"/>
      <c r="C99" s="152"/>
      <c r="D99" s="152"/>
      <c r="E99" s="152"/>
      <c r="F99" s="152"/>
      <c r="G99" s="152"/>
      <c r="H99" s="152"/>
      <c r="I99" s="152"/>
    </row>
    <row r="100" spans="1:9" ht="15.75">
      <c r="A100" s="11"/>
    </row>
    <row r="101" spans="1:9" ht="15.75">
      <c r="A101" s="153" t="s">
        <v>9</v>
      </c>
      <c r="B101" s="153"/>
      <c r="C101" s="153"/>
      <c r="D101" s="153"/>
      <c r="E101" s="153"/>
      <c r="F101" s="153"/>
      <c r="G101" s="153"/>
      <c r="H101" s="153"/>
      <c r="I101" s="153"/>
    </row>
    <row r="102" spans="1:9" ht="15.75">
      <c r="A102" s="4"/>
    </row>
    <row r="103" spans="1:9" ht="15.75">
      <c r="B103" s="70" t="s">
        <v>10</v>
      </c>
      <c r="C103" s="154" t="s">
        <v>87</v>
      </c>
      <c r="D103" s="154"/>
      <c r="E103" s="154"/>
      <c r="F103" s="78"/>
      <c r="I103" s="73"/>
    </row>
    <row r="104" spans="1:9">
      <c r="A104" s="71"/>
      <c r="C104" s="147" t="s">
        <v>11</v>
      </c>
      <c r="D104" s="147"/>
      <c r="E104" s="147"/>
      <c r="F104" s="24"/>
      <c r="I104" s="72" t="s">
        <v>12</v>
      </c>
    </row>
    <row r="105" spans="1:9" ht="15.75">
      <c r="A105" s="25"/>
      <c r="C105" s="12"/>
      <c r="D105" s="12"/>
      <c r="G105" s="12"/>
      <c r="H105" s="12"/>
    </row>
    <row r="106" spans="1:9" ht="15.75">
      <c r="B106" s="70" t="s">
        <v>13</v>
      </c>
      <c r="C106" s="149"/>
      <c r="D106" s="149"/>
      <c r="E106" s="149"/>
      <c r="F106" s="79"/>
      <c r="I106" s="73"/>
    </row>
    <row r="107" spans="1:9">
      <c r="A107" s="71"/>
      <c r="C107" s="136" t="s">
        <v>11</v>
      </c>
      <c r="D107" s="136"/>
      <c r="E107" s="136"/>
      <c r="F107" s="71"/>
      <c r="I107" s="72" t="s">
        <v>12</v>
      </c>
    </row>
    <row r="108" spans="1:9" ht="15.75">
      <c r="A108" s="4" t="s">
        <v>14</v>
      </c>
    </row>
    <row r="109" spans="1:9">
      <c r="A109" s="150" t="s">
        <v>15</v>
      </c>
      <c r="B109" s="150"/>
      <c r="C109" s="150"/>
      <c r="D109" s="150"/>
      <c r="E109" s="150"/>
      <c r="F109" s="150"/>
      <c r="G109" s="150"/>
      <c r="H109" s="150"/>
      <c r="I109" s="150"/>
    </row>
    <row r="110" spans="1:9" ht="45" customHeight="1">
      <c r="A110" s="148" t="s">
        <v>16</v>
      </c>
      <c r="B110" s="148"/>
      <c r="C110" s="148"/>
      <c r="D110" s="148"/>
      <c r="E110" s="148"/>
      <c r="F110" s="148"/>
      <c r="G110" s="148"/>
      <c r="H110" s="148"/>
      <c r="I110" s="148"/>
    </row>
    <row r="111" spans="1:9" ht="30" customHeight="1">
      <c r="A111" s="148" t="s">
        <v>17</v>
      </c>
      <c r="B111" s="148"/>
      <c r="C111" s="148"/>
      <c r="D111" s="148"/>
      <c r="E111" s="148"/>
      <c r="F111" s="148"/>
      <c r="G111" s="148"/>
      <c r="H111" s="148"/>
      <c r="I111" s="148"/>
    </row>
    <row r="112" spans="1:9" ht="30" customHeight="1">
      <c r="A112" s="148" t="s">
        <v>21</v>
      </c>
      <c r="B112" s="148"/>
      <c r="C112" s="148"/>
      <c r="D112" s="148"/>
      <c r="E112" s="148"/>
      <c r="F112" s="148"/>
      <c r="G112" s="148"/>
      <c r="H112" s="148"/>
      <c r="I112" s="148"/>
    </row>
    <row r="113" spans="1:9" ht="15.75">
      <c r="A113" s="148" t="s">
        <v>20</v>
      </c>
      <c r="B113" s="148"/>
      <c r="C113" s="148"/>
      <c r="D113" s="148"/>
      <c r="E113" s="148"/>
      <c r="F113" s="148"/>
      <c r="G113" s="148"/>
      <c r="H113" s="148"/>
      <c r="I113" s="148"/>
    </row>
  </sheetData>
  <autoFilter ref="I12:I65"/>
  <mergeCells count="29">
    <mergeCell ref="A14:I14"/>
    <mergeCell ref="A15:I15"/>
    <mergeCell ref="A29:I29"/>
    <mergeCell ref="A45:I45"/>
    <mergeCell ref="A57:I57"/>
    <mergeCell ref="A3:I3"/>
    <mergeCell ref="A4:I4"/>
    <mergeCell ref="A5:I5"/>
    <mergeCell ref="A8:I8"/>
    <mergeCell ref="A10:I10"/>
    <mergeCell ref="R70:U70"/>
    <mergeCell ref="C107:E107"/>
    <mergeCell ref="A88:I88"/>
    <mergeCell ref="A93:I93"/>
    <mergeCell ref="B94:G94"/>
    <mergeCell ref="B95:G95"/>
    <mergeCell ref="A97:I97"/>
    <mergeCell ref="A98:I98"/>
    <mergeCell ref="A99:I99"/>
    <mergeCell ref="A101:I101"/>
    <mergeCell ref="C103:E103"/>
    <mergeCell ref="C104:E104"/>
    <mergeCell ref="C106:E106"/>
    <mergeCell ref="A83:I83"/>
    <mergeCell ref="A109:I109"/>
    <mergeCell ref="A110:I110"/>
    <mergeCell ref="A111:I111"/>
    <mergeCell ref="A112:I112"/>
    <mergeCell ref="A113:I113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>
  <dimension ref="A1:V115"/>
  <sheetViews>
    <sheetView topLeftCell="A34" workbookViewId="0">
      <selection activeCell="I97" sqref="I97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7" t="s">
        <v>196</v>
      </c>
      <c r="I1" s="26"/>
      <c r="J1" s="1"/>
      <c r="K1" s="1"/>
      <c r="L1" s="1"/>
      <c r="M1" s="1"/>
    </row>
    <row r="2" spans="1:13" ht="15.75" customHeight="1">
      <c r="A2" s="28" t="s">
        <v>61</v>
      </c>
      <c r="J2" s="2"/>
      <c r="K2" s="2"/>
      <c r="L2" s="2"/>
      <c r="M2" s="2"/>
    </row>
    <row r="3" spans="1:13" ht="15.75" customHeight="1">
      <c r="A3" s="137" t="s">
        <v>160</v>
      </c>
      <c r="B3" s="137"/>
      <c r="C3" s="137"/>
      <c r="D3" s="137"/>
      <c r="E3" s="137"/>
      <c r="F3" s="137"/>
      <c r="G3" s="137"/>
      <c r="H3" s="137"/>
      <c r="I3" s="137"/>
      <c r="J3" s="3"/>
      <c r="K3" s="3"/>
      <c r="L3" s="3"/>
    </row>
    <row r="4" spans="1:13" ht="31.5" customHeight="1">
      <c r="A4" s="138" t="s">
        <v>129</v>
      </c>
      <c r="B4" s="138"/>
      <c r="C4" s="138"/>
      <c r="D4" s="138"/>
      <c r="E4" s="138"/>
      <c r="F4" s="138"/>
      <c r="G4" s="138"/>
      <c r="H4" s="138"/>
      <c r="I4" s="138"/>
    </row>
    <row r="5" spans="1:13" ht="15.75" customHeight="1">
      <c r="A5" s="137" t="s">
        <v>204</v>
      </c>
      <c r="B5" s="141"/>
      <c r="C5" s="141"/>
      <c r="D5" s="141"/>
      <c r="E5" s="141"/>
      <c r="F5" s="141"/>
      <c r="G5" s="141"/>
      <c r="H5" s="141"/>
      <c r="I5" s="141"/>
      <c r="J5" s="2"/>
      <c r="K5" s="2"/>
      <c r="L5" s="2"/>
      <c r="M5" s="2"/>
    </row>
    <row r="6" spans="1:13" ht="15.75" customHeight="1">
      <c r="A6" s="2"/>
      <c r="B6" s="74"/>
      <c r="C6" s="74"/>
      <c r="D6" s="74"/>
      <c r="E6" s="74"/>
      <c r="F6" s="74"/>
      <c r="G6" s="74"/>
      <c r="H6" s="74"/>
      <c r="I6" s="30">
        <v>43343</v>
      </c>
      <c r="J6" s="2"/>
      <c r="K6" s="2"/>
      <c r="L6" s="2"/>
      <c r="M6" s="2"/>
    </row>
    <row r="7" spans="1:13" ht="15.75" customHeight="1">
      <c r="B7" s="70"/>
      <c r="C7" s="70"/>
      <c r="D7" s="70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139" t="s">
        <v>197</v>
      </c>
      <c r="B8" s="139"/>
      <c r="C8" s="139"/>
      <c r="D8" s="139"/>
      <c r="E8" s="139"/>
      <c r="F8" s="139"/>
      <c r="G8" s="139"/>
      <c r="H8" s="139"/>
      <c r="I8" s="139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140" t="s">
        <v>135</v>
      </c>
      <c r="B10" s="140"/>
      <c r="C10" s="140"/>
      <c r="D10" s="140"/>
      <c r="E10" s="140"/>
      <c r="F10" s="140"/>
      <c r="G10" s="140"/>
      <c r="H10" s="140"/>
      <c r="I10" s="140"/>
      <c r="J10" s="2"/>
      <c r="K10" s="2"/>
      <c r="L10" s="2"/>
      <c r="M10" s="2"/>
    </row>
    <row r="11" spans="1:13" ht="15.75">
      <c r="A11" s="4"/>
    </row>
    <row r="12" spans="1:13" ht="47.2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142" t="s">
        <v>58</v>
      </c>
      <c r="B14" s="142"/>
      <c r="C14" s="142"/>
      <c r="D14" s="142"/>
      <c r="E14" s="142"/>
      <c r="F14" s="142"/>
      <c r="G14" s="142"/>
      <c r="H14" s="142"/>
      <c r="I14" s="142"/>
      <c r="J14" s="8"/>
      <c r="K14" s="8"/>
      <c r="L14" s="8"/>
      <c r="M14" s="8"/>
    </row>
    <row r="15" spans="1:13" ht="15.75" customHeight="1">
      <c r="A15" s="143" t="s">
        <v>4</v>
      </c>
      <c r="B15" s="143"/>
      <c r="C15" s="143"/>
      <c r="D15" s="143"/>
      <c r="E15" s="143"/>
      <c r="F15" s="143"/>
      <c r="G15" s="143"/>
      <c r="H15" s="143"/>
      <c r="I15" s="143"/>
      <c r="J15" s="8"/>
      <c r="K15" s="8"/>
      <c r="L15" s="8"/>
      <c r="M15" s="8"/>
    </row>
    <row r="16" spans="1:13" ht="15.75" customHeight="1">
      <c r="A16" s="29">
        <v>1</v>
      </c>
      <c r="B16" s="82" t="s">
        <v>83</v>
      </c>
      <c r="C16" s="83" t="s">
        <v>92</v>
      </c>
      <c r="D16" s="82" t="s">
        <v>141</v>
      </c>
      <c r="E16" s="84">
        <v>54.2</v>
      </c>
      <c r="F16" s="85">
        <f>SUM(E16*156/100)</f>
        <v>84.552000000000007</v>
      </c>
      <c r="G16" s="85">
        <v>218.21</v>
      </c>
      <c r="H16" s="86">
        <f t="shared" ref="H16:H26" si="0">SUM(F16*G16/1000)</f>
        <v>18.450091920000002</v>
      </c>
      <c r="I16" s="13">
        <f>F16/12*G16</f>
        <v>1537.5076600000002</v>
      </c>
      <c r="J16" s="8"/>
      <c r="K16" s="8"/>
      <c r="L16" s="8"/>
      <c r="M16" s="8"/>
    </row>
    <row r="17" spans="1:13" ht="15.75" customHeight="1">
      <c r="A17" s="29">
        <v>2</v>
      </c>
      <c r="B17" s="82" t="s">
        <v>90</v>
      </c>
      <c r="C17" s="83" t="s">
        <v>92</v>
      </c>
      <c r="D17" s="82" t="s">
        <v>142</v>
      </c>
      <c r="E17" s="84">
        <v>108.5</v>
      </c>
      <c r="F17" s="85">
        <f>SUM(E17*104/100)</f>
        <v>112.84</v>
      </c>
      <c r="G17" s="85">
        <v>218.21</v>
      </c>
      <c r="H17" s="86">
        <f t="shared" si="0"/>
        <v>24.622816400000005</v>
      </c>
      <c r="I17" s="13">
        <f>F17/12*G17</f>
        <v>2051.9013666666669</v>
      </c>
      <c r="J17" s="22"/>
      <c r="K17" s="8"/>
      <c r="L17" s="8"/>
      <c r="M17" s="8"/>
    </row>
    <row r="18" spans="1:13" ht="15.75" customHeight="1">
      <c r="A18" s="29">
        <v>3</v>
      </c>
      <c r="B18" s="82" t="s">
        <v>91</v>
      </c>
      <c r="C18" s="83" t="s">
        <v>92</v>
      </c>
      <c r="D18" s="82" t="s">
        <v>143</v>
      </c>
      <c r="E18" s="84">
        <f>SUM(E16+E17)</f>
        <v>162.69999999999999</v>
      </c>
      <c r="F18" s="85">
        <f>SUM(E18*24/100)</f>
        <v>39.047999999999995</v>
      </c>
      <c r="G18" s="85">
        <v>627.77</v>
      </c>
      <c r="H18" s="86">
        <f t="shared" si="0"/>
        <v>24.513162959999995</v>
      </c>
      <c r="I18" s="13">
        <f>F18/12*G18</f>
        <v>2042.7635799999996</v>
      </c>
      <c r="J18" s="22"/>
      <c r="K18" s="8"/>
      <c r="L18" s="8"/>
      <c r="M18" s="8"/>
    </row>
    <row r="19" spans="1:13" ht="15.75" hidden="1" customHeight="1">
      <c r="A19" s="29">
        <v>4</v>
      </c>
      <c r="B19" s="82" t="s">
        <v>93</v>
      </c>
      <c r="C19" s="83" t="s">
        <v>88</v>
      </c>
      <c r="D19" s="82" t="s">
        <v>94</v>
      </c>
      <c r="E19" s="84">
        <v>15.3</v>
      </c>
      <c r="F19" s="85">
        <f>SUM(E19/10)</f>
        <v>1.53</v>
      </c>
      <c r="G19" s="85">
        <v>211.74</v>
      </c>
      <c r="H19" s="86">
        <f t="shared" si="0"/>
        <v>0.32396219999999998</v>
      </c>
      <c r="I19" s="13">
        <f>F19/2*G19</f>
        <v>161.9811</v>
      </c>
      <c r="J19" s="22"/>
      <c r="K19" s="8"/>
      <c r="L19" s="8"/>
      <c r="M19" s="8"/>
    </row>
    <row r="20" spans="1:13" ht="15.75" hidden="1" customHeight="1">
      <c r="A20" s="29">
        <v>5</v>
      </c>
      <c r="B20" s="82" t="s">
        <v>96</v>
      </c>
      <c r="C20" s="83" t="s">
        <v>92</v>
      </c>
      <c r="D20" s="82" t="s">
        <v>41</v>
      </c>
      <c r="E20" s="84">
        <v>19.62</v>
      </c>
      <c r="F20" s="85">
        <f>SUM(E20*2/100)</f>
        <v>0.39240000000000003</v>
      </c>
      <c r="G20" s="85">
        <v>271.12</v>
      </c>
      <c r="H20" s="86">
        <f t="shared" si="0"/>
        <v>0.106387488</v>
      </c>
      <c r="I20" s="13">
        <f>F20/2*G20</f>
        <v>53.193744000000002</v>
      </c>
      <c r="J20" s="22"/>
      <c r="K20" s="8"/>
      <c r="L20" s="8"/>
      <c r="M20" s="8"/>
    </row>
    <row r="21" spans="1:13" ht="15.75" hidden="1" customHeight="1">
      <c r="A21" s="29">
        <v>6</v>
      </c>
      <c r="B21" s="82" t="s">
        <v>97</v>
      </c>
      <c r="C21" s="83" t="s">
        <v>92</v>
      </c>
      <c r="D21" s="82" t="s">
        <v>41</v>
      </c>
      <c r="E21" s="84">
        <v>8.68</v>
      </c>
      <c r="F21" s="85">
        <f>SUM(E21*2/100)</f>
        <v>0.1736</v>
      </c>
      <c r="G21" s="85">
        <v>268.92</v>
      </c>
      <c r="H21" s="86">
        <f t="shared" si="0"/>
        <v>4.6684512000000004E-2</v>
      </c>
      <c r="I21" s="13">
        <f>F21/2*G21</f>
        <v>23.342256000000003</v>
      </c>
      <c r="J21" s="22"/>
      <c r="K21" s="8"/>
      <c r="L21" s="8"/>
      <c r="M21" s="8"/>
    </row>
    <row r="22" spans="1:13" ht="15.75" hidden="1" customHeight="1">
      <c r="A22" s="29">
        <v>7</v>
      </c>
      <c r="B22" s="82" t="s">
        <v>98</v>
      </c>
      <c r="C22" s="83" t="s">
        <v>52</v>
      </c>
      <c r="D22" s="82" t="s">
        <v>94</v>
      </c>
      <c r="E22" s="84">
        <v>215</v>
      </c>
      <c r="F22" s="85">
        <f>SUM(E22/100)</f>
        <v>2.15</v>
      </c>
      <c r="G22" s="85">
        <v>335.05</v>
      </c>
      <c r="H22" s="86">
        <f t="shared" si="0"/>
        <v>0.72035749999999998</v>
      </c>
      <c r="I22" s="13">
        <f>F22*G22</f>
        <v>720.35749999999996</v>
      </c>
      <c r="J22" s="22"/>
      <c r="K22" s="8"/>
      <c r="L22" s="8"/>
      <c r="M22" s="8"/>
    </row>
    <row r="23" spans="1:13" ht="15.75" hidden="1" customHeight="1">
      <c r="A23" s="29">
        <v>8</v>
      </c>
      <c r="B23" s="82" t="s">
        <v>99</v>
      </c>
      <c r="C23" s="83" t="s">
        <v>52</v>
      </c>
      <c r="D23" s="82" t="s">
        <v>94</v>
      </c>
      <c r="E23" s="87">
        <v>17.64</v>
      </c>
      <c r="F23" s="85">
        <f>SUM(E23/100)</f>
        <v>0.1764</v>
      </c>
      <c r="G23" s="85">
        <v>55.1</v>
      </c>
      <c r="H23" s="86">
        <f t="shared" si="0"/>
        <v>9.7196399999999999E-3</v>
      </c>
      <c r="I23" s="13">
        <f>F23*G23</f>
        <v>9.7196400000000001</v>
      </c>
      <c r="J23" s="22"/>
      <c r="K23" s="8"/>
      <c r="L23" s="8"/>
      <c r="M23" s="8"/>
    </row>
    <row r="24" spans="1:13" ht="15.75" hidden="1" customHeight="1">
      <c r="A24" s="29">
        <v>9</v>
      </c>
      <c r="B24" s="82" t="s">
        <v>95</v>
      </c>
      <c r="C24" s="83" t="s">
        <v>52</v>
      </c>
      <c r="D24" s="82" t="s">
        <v>94</v>
      </c>
      <c r="E24" s="18">
        <v>4.5</v>
      </c>
      <c r="F24" s="88">
        <v>0.05</v>
      </c>
      <c r="G24" s="85">
        <v>484.94</v>
      </c>
      <c r="H24" s="86">
        <f>F24*G24/1000</f>
        <v>2.4247000000000001E-2</v>
      </c>
      <c r="I24" s="13">
        <f>F24*G24</f>
        <v>24.247</v>
      </c>
      <c r="J24" s="22"/>
      <c r="K24" s="8"/>
      <c r="L24" s="8"/>
      <c r="M24" s="8"/>
    </row>
    <row r="25" spans="1:13" ht="15.75" hidden="1" customHeight="1">
      <c r="A25" s="29">
        <v>10</v>
      </c>
      <c r="B25" s="82" t="s">
        <v>130</v>
      </c>
      <c r="C25" s="83" t="s">
        <v>52</v>
      </c>
      <c r="D25" s="82" t="s">
        <v>94</v>
      </c>
      <c r="E25" s="87">
        <v>9.4499999999999993</v>
      </c>
      <c r="F25" s="85">
        <v>0.09</v>
      </c>
      <c r="G25" s="85">
        <v>268.92</v>
      </c>
      <c r="H25" s="86">
        <f>F25*G25/1000</f>
        <v>2.42028E-2</v>
      </c>
      <c r="I25" s="13">
        <f>F25*G25</f>
        <v>24.2028</v>
      </c>
      <c r="J25" s="22"/>
      <c r="K25" s="8"/>
      <c r="L25" s="8"/>
      <c r="M25" s="8"/>
    </row>
    <row r="26" spans="1:13" ht="15.75" hidden="1" customHeight="1">
      <c r="A26" s="29">
        <v>11</v>
      </c>
      <c r="B26" s="82" t="s">
        <v>100</v>
      </c>
      <c r="C26" s="83" t="s">
        <v>52</v>
      </c>
      <c r="D26" s="82" t="s">
        <v>94</v>
      </c>
      <c r="E26" s="84">
        <v>14.4</v>
      </c>
      <c r="F26" s="85">
        <f>SUM(E26/100)</f>
        <v>0.14400000000000002</v>
      </c>
      <c r="G26" s="85">
        <v>648.04999999999995</v>
      </c>
      <c r="H26" s="86">
        <f t="shared" si="0"/>
        <v>9.3319200000000005E-2</v>
      </c>
      <c r="I26" s="13">
        <f>F26*G26</f>
        <v>93.319200000000009</v>
      </c>
      <c r="J26" s="22"/>
      <c r="K26" s="8"/>
      <c r="L26" s="8"/>
      <c r="M26" s="8"/>
    </row>
    <row r="27" spans="1:13" ht="15.75" customHeight="1">
      <c r="A27" s="29">
        <v>4</v>
      </c>
      <c r="B27" s="82" t="s">
        <v>63</v>
      </c>
      <c r="C27" s="83" t="s">
        <v>31</v>
      </c>
      <c r="D27" s="82"/>
      <c r="E27" s="84">
        <v>0.1</v>
      </c>
      <c r="F27" s="85">
        <f>SUM(E27*365)</f>
        <v>36.5</v>
      </c>
      <c r="G27" s="85">
        <v>182.96</v>
      </c>
      <c r="H27" s="86">
        <f>SUM(F27*G27/1000)</f>
        <v>6.6780400000000002</v>
      </c>
      <c r="I27" s="13">
        <f>F27/12*G27</f>
        <v>556.50333333333333</v>
      </c>
      <c r="J27" s="22"/>
      <c r="K27" s="8"/>
      <c r="L27" s="8"/>
      <c r="M27" s="8"/>
    </row>
    <row r="28" spans="1:13" ht="15.75" customHeight="1">
      <c r="A28" s="29">
        <v>5</v>
      </c>
      <c r="B28" s="89" t="s">
        <v>23</v>
      </c>
      <c r="C28" s="83" t="s">
        <v>24</v>
      </c>
      <c r="D28" s="82"/>
      <c r="E28" s="84">
        <v>1839.1</v>
      </c>
      <c r="F28" s="85">
        <f>SUM(E28*12)</f>
        <v>22069.199999999997</v>
      </c>
      <c r="G28" s="85">
        <v>4.58</v>
      </c>
      <c r="H28" s="86">
        <f>SUM(F28*G28/1000)</f>
        <v>101.07693599999999</v>
      </c>
      <c r="I28" s="13">
        <f>F28/12*G28</f>
        <v>8423.0779999999995</v>
      </c>
      <c r="J28" s="22"/>
      <c r="K28" s="8"/>
      <c r="L28" s="8"/>
      <c r="M28" s="8"/>
    </row>
    <row r="29" spans="1:13" ht="15.75" customHeight="1">
      <c r="A29" s="143" t="s">
        <v>81</v>
      </c>
      <c r="B29" s="143"/>
      <c r="C29" s="143"/>
      <c r="D29" s="143"/>
      <c r="E29" s="143"/>
      <c r="F29" s="143"/>
      <c r="G29" s="143"/>
      <c r="H29" s="143"/>
      <c r="I29" s="143"/>
      <c r="J29" s="22"/>
      <c r="K29" s="8"/>
      <c r="L29" s="8"/>
      <c r="M29" s="8"/>
    </row>
    <row r="30" spans="1:13" ht="15.75" customHeight="1">
      <c r="A30" s="41"/>
      <c r="B30" s="51" t="s">
        <v>27</v>
      </c>
      <c r="C30" s="51"/>
      <c r="D30" s="51"/>
      <c r="E30" s="51"/>
      <c r="F30" s="51"/>
      <c r="G30" s="51"/>
      <c r="H30" s="51"/>
      <c r="I30" s="18"/>
      <c r="J30" s="22"/>
      <c r="K30" s="8"/>
      <c r="L30" s="8"/>
      <c r="M30" s="8"/>
    </row>
    <row r="31" spans="1:13" ht="15.75" customHeight="1">
      <c r="A31" s="41">
        <v>6</v>
      </c>
      <c r="B31" s="32" t="s">
        <v>101</v>
      </c>
      <c r="C31" s="83" t="s">
        <v>102</v>
      </c>
      <c r="D31" s="82" t="s">
        <v>103</v>
      </c>
      <c r="E31" s="85">
        <v>58</v>
      </c>
      <c r="F31" s="85">
        <f>SUM(E31*52/1000)</f>
        <v>3.016</v>
      </c>
      <c r="G31" s="85">
        <v>193.97</v>
      </c>
      <c r="H31" s="86">
        <f>SUM(F31*G31/1000)</f>
        <v>0.58501351999999995</v>
      </c>
      <c r="I31" s="13">
        <f>F31/6*G31</f>
        <v>97.502253333333343</v>
      </c>
      <c r="J31" s="22"/>
      <c r="K31" s="8"/>
      <c r="L31" s="8"/>
      <c r="M31" s="8"/>
    </row>
    <row r="32" spans="1:13" ht="31.5" customHeight="1">
      <c r="A32" s="41">
        <v>7</v>
      </c>
      <c r="B32" s="32" t="s">
        <v>104</v>
      </c>
      <c r="C32" s="83" t="s">
        <v>102</v>
      </c>
      <c r="D32" s="82" t="s">
        <v>105</v>
      </c>
      <c r="E32" s="85">
        <v>48.3</v>
      </c>
      <c r="F32" s="85">
        <f>SUM(E32*78/1000)</f>
        <v>3.7673999999999994</v>
      </c>
      <c r="G32" s="85">
        <v>321.82</v>
      </c>
      <c r="H32" s="86">
        <f>SUM(F32*G32/1000)</f>
        <v>1.2124246679999999</v>
      </c>
      <c r="I32" s="13">
        <f>F32/6*G32</f>
        <v>202.07077799999996</v>
      </c>
      <c r="J32" s="22"/>
      <c r="K32" s="8"/>
      <c r="L32" s="8"/>
      <c r="M32" s="8"/>
    </row>
    <row r="33" spans="1:14" ht="15.75" hidden="1" customHeight="1">
      <c r="A33" s="41">
        <v>16</v>
      </c>
      <c r="B33" s="32" t="s">
        <v>26</v>
      </c>
      <c r="C33" s="83" t="s">
        <v>102</v>
      </c>
      <c r="D33" s="82" t="s">
        <v>53</v>
      </c>
      <c r="E33" s="85">
        <v>58</v>
      </c>
      <c r="F33" s="85">
        <f>SUM(E33/1000)</f>
        <v>5.8000000000000003E-2</v>
      </c>
      <c r="G33" s="85">
        <v>3758.28</v>
      </c>
      <c r="H33" s="86">
        <f>SUM(F33*G33/1000)</f>
        <v>0.21798024000000002</v>
      </c>
      <c r="I33" s="13">
        <f>F33*G33</f>
        <v>217.98024000000001</v>
      </c>
      <c r="J33" s="22"/>
      <c r="K33" s="8"/>
      <c r="L33" s="8"/>
      <c r="M33" s="8"/>
    </row>
    <row r="34" spans="1:14" ht="15.75" customHeight="1">
      <c r="A34" s="41">
        <v>8</v>
      </c>
      <c r="B34" s="32" t="s">
        <v>106</v>
      </c>
      <c r="C34" s="83" t="s">
        <v>39</v>
      </c>
      <c r="D34" s="82" t="s">
        <v>62</v>
      </c>
      <c r="E34" s="85">
        <v>1</v>
      </c>
      <c r="F34" s="85">
        <f>E34*155/100</f>
        <v>1.55</v>
      </c>
      <c r="G34" s="85">
        <v>1620.15</v>
      </c>
      <c r="H34" s="86">
        <f>SUM(F34*G34/1000)</f>
        <v>2.5112325000000002</v>
      </c>
      <c r="I34" s="13">
        <f>F34/6*G34</f>
        <v>418.53875000000005</v>
      </c>
      <c r="J34" s="22"/>
      <c r="K34" s="8"/>
    </row>
    <row r="35" spans="1:14" ht="15.75" customHeight="1">
      <c r="A35" s="41">
        <v>9</v>
      </c>
      <c r="B35" s="32" t="s">
        <v>107</v>
      </c>
      <c r="C35" s="83" t="s">
        <v>29</v>
      </c>
      <c r="D35" s="82" t="s">
        <v>62</v>
      </c>
      <c r="E35" s="90">
        <f>1/3</f>
        <v>0.33333333333333331</v>
      </c>
      <c r="F35" s="85">
        <f>155/3</f>
        <v>51.666666666666664</v>
      </c>
      <c r="G35" s="85">
        <v>70.540000000000006</v>
      </c>
      <c r="H35" s="86">
        <f>SUM(G35*155/3/1000)</f>
        <v>3.644566666666667</v>
      </c>
      <c r="I35" s="13">
        <f>F35/6*G35</f>
        <v>607.42777777777781</v>
      </c>
      <c r="J35" s="23"/>
    </row>
    <row r="36" spans="1:14" ht="15.75" hidden="1" customHeight="1">
      <c r="A36" s="41">
        <v>4</v>
      </c>
      <c r="B36" s="82" t="s">
        <v>64</v>
      </c>
      <c r="C36" s="83" t="s">
        <v>31</v>
      </c>
      <c r="D36" s="82" t="s">
        <v>66</v>
      </c>
      <c r="E36" s="84"/>
      <c r="F36" s="85">
        <v>1</v>
      </c>
      <c r="G36" s="85">
        <v>238.07</v>
      </c>
      <c r="H36" s="86">
        <f>SUM(F36*G36/1000)</f>
        <v>0.23807</v>
      </c>
      <c r="I36" s="13">
        <v>0</v>
      </c>
      <c r="J36" s="23"/>
    </row>
    <row r="37" spans="1:14" ht="15.75" hidden="1" customHeight="1">
      <c r="A37" s="29">
        <v>8</v>
      </c>
      <c r="B37" s="82" t="s">
        <v>65</v>
      </c>
      <c r="C37" s="83" t="s">
        <v>30</v>
      </c>
      <c r="D37" s="82" t="s">
        <v>66</v>
      </c>
      <c r="E37" s="84"/>
      <c r="F37" s="85">
        <v>1</v>
      </c>
      <c r="G37" s="85">
        <v>1413.96</v>
      </c>
      <c r="H37" s="86">
        <f>SUM(F37*G37/1000)</f>
        <v>1.4139600000000001</v>
      </c>
      <c r="I37" s="13">
        <v>0</v>
      </c>
      <c r="J37" s="23"/>
    </row>
    <row r="38" spans="1:14" ht="15.75" hidden="1" customHeight="1">
      <c r="A38" s="41"/>
      <c r="B38" s="49" t="s">
        <v>5</v>
      </c>
      <c r="C38" s="49"/>
      <c r="D38" s="49"/>
      <c r="E38" s="13"/>
      <c r="F38" s="13"/>
      <c r="G38" s="14"/>
      <c r="H38" s="14"/>
      <c r="I38" s="18"/>
      <c r="J38" s="23"/>
    </row>
    <row r="39" spans="1:14" ht="15.75" hidden="1" customHeight="1">
      <c r="A39" s="33">
        <v>6</v>
      </c>
      <c r="B39" s="82" t="s">
        <v>25</v>
      </c>
      <c r="C39" s="83" t="s">
        <v>30</v>
      </c>
      <c r="D39" s="82"/>
      <c r="E39" s="84"/>
      <c r="F39" s="85">
        <v>2</v>
      </c>
      <c r="G39" s="85">
        <v>1900.37</v>
      </c>
      <c r="H39" s="86">
        <f t="shared" ref="H39:H44" si="1">SUM(F39*G39/1000)</f>
        <v>3.8007399999999998</v>
      </c>
      <c r="I39" s="13">
        <f t="shared" ref="I39:I44" si="2">F39/6*G39</f>
        <v>633.45666666666659</v>
      </c>
      <c r="J39" s="23"/>
    </row>
    <row r="40" spans="1:14" ht="15.75" hidden="1" customHeight="1">
      <c r="A40" s="33">
        <v>7</v>
      </c>
      <c r="B40" s="82" t="s">
        <v>67</v>
      </c>
      <c r="C40" s="83" t="s">
        <v>28</v>
      </c>
      <c r="D40" s="82" t="s">
        <v>108</v>
      </c>
      <c r="E40" s="85">
        <v>48.3</v>
      </c>
      <c r="F40" s="85">
        <f>SUM(E40*30/1000)</f>
        <v>1.4490000000000001</v>
      </c>
      <c r="G40" s="85">
        <v>2616.4899999999998</v>
      </c>
      <c r="H40" s="86">
        <f t="shared" si="1"/>
        <v>3.7912940100000001</v>
      </c>
      <c r="I40" s="13">
        <f t="shared" si="2"/>
        <v>631.88233500000001</v>
      </c>
      <c r="J40" s="23"/>
    </row>
    <row r="41" spans="1:14" ht="15.75" hidden="1" customHeight="1">
      <c r="A41" s="33">
        <v>8</v>
      </c>
      <c r="B41" s="82" t="s">
        <v>68</v>
      </c>
      <c r="C41" s="83" t="s">
        <v>28</v>
      </c>
      <c r="D41" s="82" t="s">
        <v>109</v>
      </c>
      <c r="E41" s="85">
        <v>48.3</v>
      </c>
      <c r="F41" s="85">
        <f>SUM(E41*155/1000)</f>
        <v>7.4865000000000004</v>
      </c>
      <c r="G41" s="85">
        <v>436.45</v>
      </c>
      <c r="H41" s="86">
        <f t="shared" si="1"/>
        <v>3.2674829250000004</v>
      </c>
      <c r="I41" s="13">
        <f t="shared" si="2"/>
        <v>544.5804875</v>
      </c>
      <c r="J41" s="23"/>
    </row>
    <row r="42" spans="1:14" ht="47.25" hidden="1" customHeight="1">
      <c r="A42" s="33">
        <v>9</v>
      </c>
      <c r="B42" s="82" t="s">
        <v>80</v>
      </c>
      <c r="C42" s="83" t="s">
        <v>102</v>
      </c>
      <c r="D42" s="82" t="s">
        <v>110</v>
      </c>
      <c r="E42" s="85">
        <f>E40</f>
        <v>48.3</v>
      </c>
      <c r="F42" s="85">
        <f>SUM(E42*35/1000)</f>
        <v>1.6904999999999999</v>
      </c>
      <c r="G42" s="85">
        <v>7221.21</v>
      </c>
      <c r="H42" s="86">
        <f t="shared" si="1"/>
        <v>12.207455505</v>
      </c>
      <c r="I42" s="13">
        <f t="shared" si="2"/>
        <v>2034.5759175000001</v>
      </c>
      <c r="J42" s="23"/>
      <c r="L42" s="19"/>
      <c r="M42" s="20"/>
      <c r="N42" s="21"/>
    </row>
    <row r="43" spans="1:14" ht="15.75" hidden="1" customHeight="1">
      <c r="A43" s="33">
        <v>10</v>
      </c>
      <c r="B43" s="82" t="s">
        <v>111</v>
      </c>
      <c r="C43" s="83" t="s">
        <v>102</v>
      </c>
      <c r="D43" s="82" t="s">
        <v>112</v>
      </c>
      <c r="E43" s="85">
        <f>E40</f>
        <v>48.3</v>
      </c>
      <c r="F43" s="85">
        <f>SUM(E43*20/1000)</f>
        <v>0.96599999999999997</v>
      </c>
      <c r="G43" s="85">
        <v>533.45000000000005</v>
      </c>
      <c r="H43" s="86">
        <f t="shared" si="1"/>
        <v>0.51531270000000007</v>
      </c>
      <c r="I43" s="13">
        <f t="shared" si="2"/>
        <v>85.885450000000006</v>
      </c>
      <c r="J43" s="23"/>
      <c r="L43" s="19"/>
      <c r="M43" s="20"/>
      <c r="N43" s="21"/>
    </row>
    <row r="44" spans="1:14" ht="15.75" hidden="1" customHeight="1">
      <c r="A44" s="33">
        <v>11</v>
      </c>
      <c r="B44" s="82" t="s">
        <v>69</v>
      </c>
      <c r="C44" s="83" t="s">
        <v>31</v>
      </c>
      <c r="D44" s="82"/>
      <c r="E44" s="84"/>
      <c r="F44" s="85">
        <v>0.5</v>
      </c>
      <c r="G44" s="85">
        <v>992.97</v>
      </c>
      <c r="H44" s="86">
        <f t="shared" si="1"/>
        <v>0.49648500000000001</v>
      </c>
      <c r="I44" s="13">
        <f t="shared" si="2"/>
        <v>82.747500000000002</v>
      </c>
      <c r="J44" s="23"/>
      <c r="L44" s="19"/>
      <c r="M44" s="20"/>
      <c r="N44" s="21"/>
    </row>
    <row r="45" spans="1:14" ht="15.75" hidden="1" customHeight="1">
      <c r="A45" s="144" t="s">
        <v>137</v>
      </c>
      <c r="B45" s="145"/>
      <c r="C45" s="145"/>
      <c r="D45" s="145"/>
      <c r="E45" s="145"/>
      <c r="F45" s="145"/>
      <c r="G45" s="145"/>
      <c r="H45" s="145"/>
      <c r="I45" s="146"/>
      <c r="J45" s="23"/>
      <c r="L45" s="19"/>
      <c r="M45" s="20"/>
      <c r="N45" s="21"/>
    </row>
    <row r="46" spans="1:14" ht="15.75" hidden="1" customHeight="1">
      <c r="A46" s="41">
        <v>19</v>
      </c>
      <c r="B46" s="82" t="s">
        <v>113</v>
      </c>
      <c r="C46" s="83" t="s">
        <v>102</v>
      </c>
      <c r="D46" s="82" t="s">
        <v>41</v>
      </c>
      <c r="E46" s="84">
        <v>1044.7</v>
      </c>
      <c r="F46" s="85">
        <f>SUM(E46*2/1000)</f>
        <v>2.0893999999999999</v>
      </c>
      <c r="G46" s="13">
        <v>1283.46</v>
      </c>
      <c r="H46" s="86">
        <f t="shared" ref="H46:H56" si="3">SUM(F46*G46/1000)</f>
        <v>2.6816613240000002</v>
      </c>
      <c r="I46" s="13">
        <f t="shared" ref="I46:I49" si="4">F46/2*G46</f>
        <v>1340.8306620000001</v>
      </c>
      <c r="J46" s="23"/>
      <c r="L46" s="19"/>
      <c r="M46" s="20"/>
      <c r="N46" s="21"/>
    </row>
    <row r="47" spans="1:14" ht="15.75" hidden="1" customHeight="1">
      <c r="A47" s="41">
        <v>20</v>
      </c>
      <c r="B47" s="82" t="s">
        <v>34</v>
      </c>
      <c r="C47" s="83" t="s">
        <v>102</v>
      </c>
      <c r="D47" s="82" t="s">
        <v>41</v>
      </c>
      <c r="E47" s="84">
        <v>19.8</v>
      </c>
      <c r="F47" s="85">
        <f>SUM(E47*2/1000)</f>
        <v>3.9600000000000003E-2</v>
      </c>
      <c r="G47" s="13">
        <v>4192.6400000000003</v>
      </c>
      <c r="H47" s="86">
        <f t="shared" si="3"/>
        <v>0.16602854400000003</v>
      </c>
      <c r="I47" s="13">
        <f t="shared" si="4"/>
        <v>83.01427200000002</v>
      </c>
      <c r="J47" s="23"/>
      <c r="L47" s="19"/>
      <c r="M47" s="20"/>
      <c r="N47" s="21"/>
    </row>
    <row r="48" spans="1:14" ht="15.75" hidden="1" customHeight="1">
      <c r="A48" s="41">
        <v>21</v>
      </c>
      <c r="B48" s="82" t="s">
        <v>35</v>
      </c>
      <c r="C48" s="83" t="s">
        <v>102</v>
      </c>
      <c r="D48" s="82" t="s">
        <v>41</v>
      </c>
      <c r="E48" s="84">
        <v>660.84</v>
      </c>
      <c r="F48" s="85">
        <f>SUM(E48*2/1000)</f>
        <v>1.32168</v>
      </c>
      <c r="G48" s="13">
        <v>1711.28</v>
      </c>
      <c r="H48" s="86">
        <f t="shared" si="3"/>
        <v>2.2617645503999997</v>
      </c>
      <c r="I48" s="13">
        <f t="shared" si="4"/>
        <v>1130.8822751999999</v>
      </c>
      <c r="J48" s="23"/>
      <c r="L48" s="19"/>
      <c r="M48" s="20"/>
      <c r="N48" s="21"/>
    </row>
    <row r="49" spans="1:14" ht="15.75" hidden="1" customHeight="1">
      <c r="A49" s="41">
        <v>22</v>
      </c>
      <c r="B49" s="82" t="s">
        <v>36</v>
      </c>
      <c r="C49" s="83" t="s">
        <v>102</v>
      </c>
      <c r="D49" s="82" t="s">
        <v>41</v>
      </c>
      <c r="E49" s="84">
        <v>1156.21</v>
      </c>
      <c r="F49" s="85">
        <f>SUM(E49*2/1000)</f>
        <v>2.3124199999999999</v>
      </c>
      <c r="G49" s="13">
        <v>1179.73</v>
      </c>
      <c r="H49" s="86">
        <f t="shared" si="3"/>
        <v>2.7280312466000001</v>
      </c>
      <c r="I49" s="13">
        <f t="shared" si="4"/>
        <v>1364.0156233</v>
      </c>
      <c r="J49" s="23"/>
      <c r="L49" s="19"/>
      <c r="M49" s="20"/>
      <c r="N49" s="21"/>
    </row>
    <row r="50" spans="1:14" ht="15.75" hidden="1" customHeight="1">
      <c r="A50" s="41">
        <v>23</v>
      </c>
      <c r="B50" s="82" t="s">
        <v>32</v>
      </c>
      <c r="C50" s="83" t="s">
        <v>33</v>
      </c>
      <c r="D50" s="82" t="s">
        <v>144</v>
      </c>
      <c r="E50" s="84">
        <v>17.2</v>
      </c>
      <c r="F50" s="85">
        <f>SUM(E50*2/100)</f>
        <v>0.34399999999999997</v>
      </c>
      <c r="G50" s="13">
        <v>90.61</v>
      </c>
      <c r="H50" s="86">
        <f t="shared" si="3"/>
        <v>3.1169839999999997E-2</v>
      </c>
      <c r="I50" s="13">
        <f>F50/2*G50</f>
        <v>15.584919999999999</v>
      </c>
      <c r="J50" s="23"/>
      <c r="L50" s="19"/>
      <c r="M50" s="20"/>
      <c r="N50" s="21"/>
    </row>
    <row r="51" spans="1:14" ht="15.75" hidden="1" customHeight="1">
      <c r="A51" s="41">
        <v>24</v>
      </c>
      <c r="B51" s="82" t="s">
        <v>55</v>
      </c>
      <c r="C51" s="83" t="s">
        <v>102</v>
      </c>
      <c r="D51" s="82" t="s">
        <v>146</v>
      </c>
      <c r="E51" s="84">
        <v>1839.1</v>
      </c>
      <c r="F51" s="85">
        <f>SUM(E51*5/1000)</f>
        <v>9.1954999999999991</v>
      </c>
      <c r="G51" s="13">
        <v>1711.28</v>
      </c>
      <c r="H51" s="86">
        <f t="shared" si="3"/>
        <v>15.736075239999998</v>
      </c>
      <c r="I51" s="13">
        <f>F51/5*G51</f>
        <v>3147.2150479999996</v>
      </c>
      <c r="J51" s="23"/>
      <c r="L51" s="19"/>
      <c r="M51" s="20"/>
      <c r="N51" s="21"/>
    </row>
    <row r="52" spans="1:14" ht="31.5" hidden="1" customHeight="1">
      <c r="A52" s="41">
        <v>25</v>
      </c>
      <c r="B52" s="82" t="s">
        <v>114</v>
      </c>
      <c r="C52" s="83" t="s">
        <v>102</v>
      </c>
      <c r="D52" s="82" t="s">
        <v>41</v>
      </c>
      <c r="E52" s="84">
        <f>E51</f>
        <v>1839.1</v>
      </c>
      <c r="F52" s="85">
        <f>SUM(E52*2/1000)</f>
        <v>3.6781999999999999</v>
      </c>
      <c r="G52" s="13">
        <v>1510.06</v>
      </c>
      <c r="H52" s="86">
        <f t="shared" si="3"/>
        <v>5.5543026919999994</v>
      </c>
      <c r="I52" s="13">
        <f>F52/2*G52</f>
        <v>2777.1513459999996</v>
      </c>
      <c r="J52" s="23"/>
      <c r="L52" s="19"/>
      <c r="M52" s="20"/>
      <c r="N52" s="21"/>
    </row>
    <row r="53" spans="1:14" ht="31.5" hidden="1" customHeight="1">
      <c r="A53" s="41">
        <v>26</v>
      </c>
      <c r="B53" s="82" t="s">
        <v>115</v>
      </c>
      <c r="C53" s="83" t="s">
        <v>37</v>
      </c>
      <c r="D53" s="82" t="s">
        <v>41</v>
      </c>
      <c r="E53" s="84">
        <v>9</v>
      </c>
      <c r="F53" s="85">
        <f>SUM(E53*2/100)</f>
        <v>0.18</v>
      </c>
      <c r="G53" s="13">
        <v>3850.4</v>
      </c>
      <c r="H53" s="86">
        <f t="shared" si="3"/>
        <v>0.69307200000000002</v>
      </c>
      <c r="I53" s="13">
        <f t="shared" ref="I53:I54" si="5">F53/2*G53</f>
        <v>346.536</v>
      </c>
      <c r="J53" s="23"/>
      <c r="L53" s="19"/>
      <c r="M53" s="20"/>
      <c r="N53" s="21"/>
    </row>
    <row r="54" spans="1:14" ht="15.75" hidden="1" customHeight="1">
      <c r="A54" s="41">
        <v>27</v>
      </c>
      <c r="B54" s="82" t="s">
        <v>38</v>
      </c>
      <c r="C54" s="83" t="s">
        <v>39</v>
      </c>
      <c r="D54" s="82" t="s">
        <v>41</v>
      </c>
      <c r="E54" s="84">
        <v>1</v>
      </c>
      <c r="F54" s="85">
        <v>0.02</v>
      </c>
      <c r="G54" s="13">
        <v>7033.13</v>
      </c>
      <c r="H54" s="86">
        <f t="shared" si="3"/>
        <v>0.1406626</v>
      </c>
      <c r="I54" s="13">
        <f t="shared" si="5"/>
        <v>70.331299999999999</v>
      </c>
      <c r="J54" s="23"/>
      <c r="L54" s="19"/>
      <c r="M54" s="20"/>
      <c r="N54" s="21"/>
    </row>
    <row r="55" spans="1:14" ht="15.75" hidden="1" customHeight="1">
      <c r="A55" s="41">
        <v>10</v>
      </c>
      <c r="B55" s="82" t="s">
        <v>145</v>
      </c>
      <c r="C55" s="83" t="s">
        <v>29</v>
      </c>
      <c r="D55" s="82" t="s">
        <v>70</v>
      </c>
      <c r="E55" s="84">
        <v>36</v>
      </c>
      <c r="F55" s="85">
        <f>E55*3</f>
        <v>108</v>
      </c>
      <c r="G55" s="13">
        <v>175.6</v>
      </c>
      <c r="H55" s="86">
        <f t="shared" si="3"/>
        <v>18.9648</v>
      </c>
      <c r="I55" s="13">
        <f>E55*G55</f>
        <v>6321.5999999999995</v>
      </c>
      <c r="J55" s="23"/>
      <c r="L55" s="19"/>
      <c r="M55" s="20"/>
      <c r="N55" s="21"/>
    </row>
    <row r="56" spans="1:14" ht="15.75" hidden="1" customHeight="1">
      <c r="A56" s="41">
        <v>11</v>
      </c>
      <c r="B56" s="82" t="s">
        <v>40</v>
      </c>
      <c r="C56" s="83" t="s">
        <v>29</v>
      </c>
      <c r="D56" s="82" t="s">
        <v>70</v>
      </c>
      <c r="E56" s="84">
        <v>36</v>
      </c>
      <c r="F56" s="85">
        <f>E56*3</f>
        <v>108</v>
      </c>
      <c r="G56" s="13">
        <v>81.73</v>
      </c>
      <c r="H56" s="86">
        <f t="shared" si="3"/>
        <v>8.8268400000000007</v>
      </c>
      <c r="I56" s="13">
        <f>E56*G56</f>
        <v>2942.28</v>
      </c>
      <c r="J56" s="23"/>
      <c r="L56" s="19"/>
      <c r="M56" s="20"/>
      <c r="N56" s="21"/>
    </row>
    <row r="57" spans="1:14" ht="15.75" customHeight="1">
      <c r="A57" s="144" t="s">
        <v>154</v>
      </c>
      <c r="B57" s="145"/>
      <c r="C57" s="145"/>
      <c r="D57" s="145"/>
      <c r="E57" s="145"/>
      <c r="F57" s="145"/>
      <c r="G57" s="145"/>
      <c r="H57" s="145"/>
      <c r="I57" s="146"/>
      <c r="J57" s="23"/>
      <c r="L57" s="19"/>
      <c r="M57" s="20"/>
      <c r="N57" s="21"/>
    </row>
    <row r="58" spans="1:14" ht="15.75" hidden="1" customHeight="1">
      <c r="A58" s="81"/>
      <c r="B58" s="48" t="s">
        <v>42</v>
      </c>
      <c r="C58" s="16"/>
      <c r="D58" s="15"/>
      <c r="E58" s="15"/>
      <c r="F58" s="15"/>
      <c r="G58" s="29"/>
      <c r="H58" s="29"/>
      <c r="I58" s="18"/>
      <c r="J58" s="23"/>
      <c r="L58" s="19"/>
      <c r="M58" s="20"/>
      <c r="N58" s="21"/>
    </row>
    <row r="59" spans="1:14" ht="31.5" hidden="1" customHeight="1">
      <c r="A59" s="41">
        <v>12</v>
      </c>
      <c r="B59" s="82" t="s">
        <v>117</v>
      </c>
      <c r="C59" s="83" t="s">
        <v>147</v>
      </c>
      <c r="D59" s="82" t="s">
        <v>71</v>
      </c>
      <c r="E59" s="84">
        <v>12.5</v>
      </c>
      <c r="F59" s="85">
        <f>E59*6/100</f>
        <v>0.75</v>
      </c>
      <c r="G59" s="91">
        <v>2306.62</v>
      </c>
      <c r="H59" s="86">
        <f>F59*G59/1000</f>
        <v>1.729965</v>
      </c>
      <c r="I59" s="13">
        <f>F59/6*G59</f>
        <v>288.32749999999999</v>
      </c>
      <c r="J59" s="23"/>
      <c r="L59" s="19"/>
      <c r="M59" s="20"/>
      <c r="N59" s="21"/>
    </row>
    <row r="60" spans="1:14" ht="15.75" hidden="1" customHeight="1">
      <c r="A60" s="41">
        <v>13</v>
      </c>
      <c r="B60" s="92" t="s">
        <v>84</v>
      </c>
      <c r="C60" s="93" t="s">
        <v>118</v>
      </c>
      <c r="D60" s="37" t="s">
        <v>66</v>
      </c>
      <c r="E60" s="94"/>
      <c r="F60" s="95">
        <v>2</v>
      </c>
      <c r="G60" s="96">
        <v>1501</v>
      </c>
      <c r="H60" s="86">
        <f>F60*G60/1000</f>
        <v>3.0019999999999998</v>
      </c>
      <c r="I60" s="13">
        <f>G60*0.5</f>
        <v>750.5</v>
      </c>
      <c r="J60" s="23"/>
      <c r="L60" s="19"/>
      <c r="M60" s="20"/>
      <c r="N60" s="21"/>
    </row>
    <row r="61" spans="1:14" ht="15.75" hidden="1" customHeight="1">
      <c r="A61" s="41"/>
      <c r="B61" s="75" t="s">
        <v>43</v>
      </c>
      <c r="C61" s="75"/>
      <c r="D61" s="75"/>
      <c r="E61" s="75"/>
      <c r="F61" s="76"/>
      <c r="G61" s="63"/>
      <c r="H61" s="63"/>
      <c r="I61" s="35"/>
      <c r="J61" s="23"/>
      <c r="L61" s="19"/>
      <c r="M61" s="20"/>
      <c r="N61" s="21"/>
    </row>
    <row r="62" spans="1:14" ht="15.75" hidden="1" customHeight="1">
      <c r="A62" s="41">
        <v>27</v>
      </c>
      <c r="B62" s="92" t="s">
        <v>44</v>
      </c>
      <c r="C62" s="93" t="s">
        <v>52</v>
      </c>
      <c r="D62" s="92" t="s">
        <v>53</v>
      </c>
      <c r="E62" s="94">
        <v>164</v>
      </c>
      <c r="F62" s="95">
        <f>E62/100</f>
        <v>1.64</v>
      </c>
      <c r="G62" s="96">
        <v>987.51</v>
      </c>
      <c r="H62" s="97">
        <f>G62*F62/1000</f>
        <v>1.6195164</v>
      </c>
      <c r="I62" s="13">
        <v>0</v>
      </c>
      <c r="J62" s="23"/>
      <c r="L62" s="19"/>
      <c r="M62" s="20"/>
      <c r="N62" s="21"/>
    </row>
    <row r="63" spans="1:14" ht="15.75" customHeight="1">
      <c r="A63" s="41"/>
      <c r="B63" s="75" t="s">
        <v>45</v>
      </c>
      <c r="C63" s="16"/>
      <c r="D63" s="37"/>
      <c r="E63" s="15"/>
      <c r="F63" s="77"/>
      <c r="G63" s="64"/>
      <c r="H63" s="63"/>
      <c r="I63" s="18"/>
      <c r="J63" s="23"/>
      <c r="L63" s="19"/>
    </row>
    <row r="64" spans="1:14" ht="15.75" hidden="1" customHeight="1">
      <c r="A64" s="41">
        <v>17</v>
      </c>
      <c r="B64" s="98" t="s">
        <v>46</v>
      </c>
      <c r="C64" s="16" t="s">
        <v>116</v>
      </c>
      <c r="D64" s="98" t="s">
        <v>66</v>
      </c>
      <c r="E64" s="18">
        <v>1</v>
      </c>
      <c r="F64" s="85">
        <f>E64</f>
        <v>1</v>
      </c>
      <c r="G64" s="13">
        <v>276.74</v>
      </c>
      <c r="H64" s="99">
        <f t="shared" ref="H64:H72" si="6">SUM(F64*G64/1000)</f>
        <v>0.27673999999999999</v>
      </c>
      <c r="I64" s="13">
        <v>0</v>
      </c>
    </row>
    <row r="65" spans="1:22" ht="15.75" hidden="1" customHeight="1">
      <c r="A65" s="29">
        <v>29</v>
      </c>
      <c r="B65" s="98" t="s">
        <v>47</v>
      </c>
      <c r="C65" s="16" t="s">
        <v>116</v>
      </c>
      <c r="D65" s="98" t="s">
        <v>66</v>
      </c>
      <c r="E65" s="18">
        <v>3</v>
      </c>
      <c r="F65" s="85">
        <v>3</v>
      </c>
      <c r="G65" s="13">
        <v>94.89</v>
      </c>
      <c r="H65" s="99">
        <f t="shared" si="6"/>
        <v>0.28467000000000003</v>
      </c>
      <c r="I65" s="13">
        <v>0</v>
      </c>
    </row>
    <row r="66" spans="1:22" ht="15.75" hidden="1" customHeight="1">
      <c r="A66" s="29">
        <v>28</v>
      </c>
      <c r="B66" s="98" t="s">
        <v>48</v>
      </c>
      <c r="C66" s="16" t="s">
        <v>119</v>
      </c>
      <c r="D66" s="98" t="s">
        <v>53</v>
      </c>
      <c r="E66" s="84">
        <v>7265</v>
      </c>
      <c r="F66" s="13">
        <f>SUM(E66/100)</f>
        <v>72.650000000000006</v>
      </c>
      <c r="G66" s="13">
        <v>263.99</v>
      </c>
      <c r="H66" s="99">
        <f t="shared" si="6"/>
        <v>19.178873500000002</v>
      </c>
      <c r="I66" s="13">
        <f>F66*G66</f>
        <v>19178.873500000002</v>
      </c>
    </row>
    <row r="67" spans="1:22" ht="15.75" hidden="1" customHeight="1">
      <c r="A67" s="29">
        <v>29</v>
      </c>
      <c r="B67" s="98" t="s">
        <v>49</v>
      </c>
      <c r="C67" s="16" t="s">
        <v>120</v>
      </c>
      <c r="D67" s="98" t="s">
        <v>53</v>
      </c>
      <c r="E67" s="84">
        <f>E66</f>
        <v>7265</v>
      </c>
      <c r="F67" s="13">
        <f>SUM(E67/1000)</f>
        <v>7.2649999999999997</v>
      </c>
      <c r="G67" s="13">
        <v>205.57</v>
      </c>
      <c r="H67" s="99">
        <f t="shared" si="6"/>
        <v>1.4934660500000001</v>
      </c>
      <c r="I67" s="13">
        <f t="shared" ref="I67:I70" si="7">F67*G67</f>
        <v>1493.46605</v>
      </c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9"/>
    </row>
    <row r="68" spans="1:22" ht="15.75" hidden="1" customHeight="1">
      <c r="A68" s="29">
        <v>30</v>
      </c>
      <c r="B68" s="98" t="s">
        <v>50</v>
      </c>
      <c r="C68" s="16" t="s">
        <v>76</v>
      </c>
      <c r="D68" s="98" t="s">
        <v>53</v>
      </c>
      <c r="E68" s="84">
        <v>1090</v>
      </c>
      <c r="F68" s="13">
        <f>SUM(E68/100)</f>
        <v>10.9</v>
      </c>
      <c r="G68" s="13">
        <v>2581.5300000000002</v>
      </c>
      <c r="H68" s="99">
        <f t="shared" si="6"/>
        <v>28.138677000000005</v>
      </c>
      <c r="I68" s="13">
        <f t="shared" si="7"/>
        <v>28138.677000000003</v>
      </c>
      <c r="J68" s="25"/>
      <c r="K68" s="25"/>
      <c r="L68" s="3"/>
      <c r="M68" s="3"/>
      <c r="N68" s="3"/>
      <c r="O68" s="3"/>
      <c r="P68" s="3"/>
      <c r="Q68" s="3"/>
      <c r="R68" s="3"/>
      <c r="S68" s="3"/>
      <c r="T68" s="3"/>
      <c r="U68" s="3"/>
    </row>
    <row r="69" spans="1:22" ht="15.75" hidden="1" customHeight="1">
      <c r="A69" s="29">
        <v>31</v>
      </c>
      <c r="B69" s="100" t="s">
        <v>121</v>
      </c>
      <c r="C69" s="16" t="s">
        <v>31</v>
      </c>
      <c r="D69" s="98"/>
      <c r="E69" s="84">
        <v>7.6</v>
      </c>
      <c r="F69" s="13">
        <f>SUM(E69)</f>
        <v>7.6</v>
      </c>
      <c r="G69" s="13">
        <v>47.45</v>
      </c>
      <c r="H69" s="99">
        <f t="shared" si="6"/>
        <v>0.36062</v>
      </c>
      <c r="I69" s="13">
        <f t="shared" si="7"/>
        <v>360.62</v>
      </c>
      <c r="J69" s="3"/>
      <c r="K69" s="3"/>
      <c r="L69" s="3"/>
      <c r="M69" s="3"/>
      <c r="N69" s="3"/>
      <c r="O69" s="3"/>
      <c r="P69" s="3"/>
      <c r="Q69" s="3"/>
      <c r="S69" s="3"/>
      <c r="T69" s="3"/>
      <c r="U69" s="3"/>
    </row>
    <row r="70" spans="1:22" ht="15.75" hidden="1" customHeight="1">
      <c r="A70" s="29">
        <v>32</v>
      </c>
      <c r="B70" s="100" t="s">
        <v>148</v>
      </c>
      <c r="C70" s="16" t="s">
        <v>31</v>
      </c>
      <c r="D70" s="98"/>
      <c r="E70" s="84">
        <f>E69</f>
        <v>7.6</v>
      </c>
      <c r="F70" s="13">
        <f>SUM(E70)</f>
        <v>7.6</v>
      </c>
      <c r="G70" s="13">
        <v>44.27</v>
      </c>
      <c r="H70" s="99">
        <f t="shared" si="6"/>
        <v>0.33645199999999997</v>
      </c>
      <c r="I70" s="13">
        <f t="shared" si="7"/>
        <v>336.452</v>
      </c>
      <c r="J70" s="5"/>
      <c r="K70" s="5"/>
      <c r="L70" s="5"/>
      <c r="M70" s="5"/>
      <c r="N70" s="5"/>
      <c r="O70" s="5"/>
      <c r="P70" s="5"/>
      <c r="Q70" s="5"/>
      <c r="R70" s="136"/>
      <c r="S70" s="136"/>
      <c r="T70" s="136"/>
      <c r="U70" s="136"/>
    </row>
    <row r="71" spans="1:22" ht="15.75" hidden="1" customHeight="1">
      <c r="A71" s="29">
        <v>13</v>
      </c>
      <c r="B71" s="98" t="s">
        <v>56</v>
      </c>
      <c r="C71" s="16" t="s">
        <v>57</v>
      </c>
      <c r="D71" s="98" t="s">
        <v>53</v>
      </c>
      <c r="E71" s="18">
        <v>2</v>
      </c>
      <c r="F71" s="85">
        <f>SUM(E71)</f>
        <v>2</v>
      </c>
      <c r="G71" s="13">
        <v>62.07</v>
      </c>
      <c r="H71" s="99">
        <f t="shared" si="6"/>
        <v>0.12414</v>
      </c>
      <c r="I71" s="13">
        <v>0</v>
      </c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</row>
    <row r="72" spans="1:22" ht="15.75" customHeight="1">
      <c r="A72" s="29">
        <v>10</v>
      </c>
      <c r="B72" s="98" t="s">
        <v>85</v>
      </c>
      <c r="C72" s="41" t="s">
        <v>131</v>
      </c>
      <c r="D72" s="37" t="s">
        <v>66</v>
      </c>
      <c r="E72" s="17">
        <v>1839.1</v>
      </c>
      <c r="F72" s="101">
        <f>SUM(E72*12)</f>
        <v>22069.199999999997</v>
      </c>
      <c r="G72" s="13">
        <v>2.16</v>
      </c>
      <c r="H72" s="99">
        <f t="shared" si="6"/>
        <v>47.669471999999992</v>
      </c>
      <c r="I72" s="13">
        <f>F72/12*G72</f>
        <v>3972.4559999999997</v>
      </c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</row>
    <row r="73" spans="1:22" ht="15.75" hidden="1" customHeight="1">
      <c r="A73" s="29"/>
      <c r="B73" s="49" t="s">
        <v>72</v>
      </c>
      <c r="C73" s="49"/>
      <c r="D73" s="49"/>
      <c r="E73" s="18"/>
      <c r="F73" s="18"/>
      <c r="G73" s="29"/>
      <c r="H73" s="29"/>
      <c r="I73" s="18"/>
    </row>
    <row r="74" spans="1:22" ht="15.75" hidden="1" customHeight="1">
      <c r="A74" s="29"/>
      <c r="B74" s="98" t="s">
        <v>123</v>
      </c>
      <c r="C74" s="16" t="s">
        <v>124</v>
      </c>
      <c r="D74" s="98" t="s">
        <v>66</v>
      </c>
      <c r="E74" s="18">
        <v>1</v>
      </c>
      <c r="F74" s="13">
        <f>E74</f>
        <v>1</v>
      </c>
      <c r="G74" s="13">
        <v>976.4</v>
      </c>
      <c r="H74" s="99">
        <f t="shared" ref="H74:H78" si="8">SUM(F74*G74/1000)</f>
        <v>0.97639999999999993</v>
      </c>
      <c r="I74" s="13">
        <v>0</v>
      </c>
    </row>
    <row r="75" spans="1:22" ht="15.75" hidden="1" customHeight="1">
      <c r="A75" s="29"/>
      <c r="B75" s="98" t="s">
        <v>125</v>
      </c>
      <c r="C75" s="16" t="s">
        <v>126</v>
      </c>
      <c r="D75" s="98"/>
      <c r="E75" s="18">
        <v>1</v>
      </c>
      <c r="F75" s="13">
        <v>1</v>
      </c>
      <c r="G75" s="13">
        <v>650</v>
      </c>
      <c r="H75" s="99">
        <f t="shared" si="8"/>
        <v>0.65</v>
      </c>
      <c r="I75" s="13">
        <v>0</v>
      </c>
    </row>
    <row r="76" spans="1:22" ht="15.75" hidden="1" customHeight="1">
      <c r="A76" s="29"/>
      <c r="B76" s="98" t="s">
        <v>73</v>
      </c>
      <c r="C76" s="16" t="s">
        <v>149</v>
      </c>
      <c r="D76" s="98" t="s">
        <v>66</v>
      </c>
      <c r="E76" s="18">
        <v>3</v>
      </c>
      <c r="F76" s="13">
        <f>E76/10</f>
        <v>0.3</v>
      </c>
      <c r="G76" s="13">
        <v>624.16999999999996</v>
      </c>
      <c r="H76" s="99">
        <f t="shared" si="8"/>
        <v>0.18725099999999997</v>
      </c>
      <c r="I76" s="13">
        <v>0</v>
      </c>
    </row>
    <row r="77" spans="1:22" ht="15.75" hidden="1" customHeight="1">
      <c r="A77" s="29"/>
      <c r="B77" s="98" t="s">
        <v>74</v>
      </c>
      <c r="C77" s="16" t="s">
        <v>29</v>
      </c>
      <c r="D77" s="98" t="s">
        <v>66</v>
      </c>
      <c r="E77" s="18">
        <v>1</v>
      </c>
      <c r="F77" s="13">
        <v>1</v>
      </c>
      <c r="G77" s="13">
        <v>1061.4100000000001</v>
      </c>
      <c r="H77" s="99">
        <f t="shared" si="8"/>
        <v>1.0614100000000002</v>
      </c>
      <c r="I77" s="13">
        <v>0</v>
      </c>
    </row>
    <row r="78" spans="1:22" ht="15.75" hidden="1" customHeight="1">
      <c r="A78" s="29">
        <v>17</v>
      </c>
      <c r="B78" s="98" t="s">
        <v>86</v>
      </c>
      <c r="C78" s="16" t="s">
        <v>29</v>
      </c>
      <c r="D78" s="98" t="s">
        <v>66</v>
      </c>
      <c r="E78" s="18">
        <v>1</v>
      </c>
      <c r="F78" s="85">
        <f>SUM(E78)</f>
        <v>1</v>
      </c>
      <c r="G78" s="13">
        <v>446.12</v>
      </c>
      <c r="H78" s="99">
        <f t="shared" si="8"/>
        <v>0.44612000000000002</v>
      </c>
      <c r="I78" s="13">
        <f>G78</f>
        <v>446.12</v>
      </c>
    </row>
    <row r="79" spans="1:22" ht="15.75" hidden="1" customHeight="1">
      <c r="A79" s="29"/>
      <c r="B79" s="50" t="s">
        <v>75</v>
      </c>
      <c r="C79" s="38"/>
      <c r="D79" s="29"/>
      <c r="E79" s="18"/>
      <c r="F79" s="18"/>
      <c r="G79" s="36"/>
      <c r="H79" s="36"/>
      <c r="I79" s="18"/>
    </row>
    <row r="80" spans="1:22" ht="15.75" hidden="1" customHeight="1">
      <c r="A80" s="29">
        <v>39</v>
      </c>
      <c r="B80" s="39" t="s">
        <v>127</v>
      </c>
      <c r="C80" s="16" t="s">
        <v>76</v>
      </c>
      <c r="D80" s="98"/>
      <c r="E80" s="18"/>
      <c r="F80" s="13">
        <v>1.3</v>
      </c>
      <c r="G80" s="13">
        <v>3433.68</v>
      </c>
      <c r="H80" s="99">
        <f t="shared" ref="H80" si="9">SUM(F80*G80/1000)</f>
        <v>4.4637839999999995</v>
      </c>
      <c r="I80" s="13">
        <v>0</v>
      </c>
    </row>
    <row r="81" spans="1:9" ht="15.75" hidden="1" customHeight="1">
      <c r="A81" s="81"/>
      <c r="B81" s="75" t="s">
        <v>122</v>
      </c>
      <c r="C81" s="75"/>
      <c r="D81" s="75"/>
      <c r="E81" s="75"/>
      <c r="F81" s="75"/>
      <c r="G81" s="75"/>
      <c r="H81" s="75"/>
      <c r="I81" s="18"/>
    </row>
    <row r="82" spans="1:9" ht="15.75" hidden="1" customHeight="1">
      <c r="A82" s="29">
        <v>15</v>
      </c>
      <c r="B82" s="82" t="s">
        <v>89</v>
      </c>
      <c r="C82" s="16"/>
      <c r="D82" s="98"/>
      <c r="E82" s="102"/>
      <c r="F82" s="13">
        <v>1</v>
      </c>
      <c r="G82" s="13">
        <v>13707.8</v>
      </c>
      <c r="H82" s="99">
        <f>G82*F82/1000</f>
        <v>13.707799999999999</v>
      </c>
      <c r="I82" s="13">
        <f>G82</f>
        <v>13707.8</v>
      </c>
    </row>
    <row r="83" spans="1:9" ht="15.75" customHeight="1">
      <c r="A83" s="129" t="s">
        <v>155</v>
      </c>
      <c r="B83" s="130"/>
      <c r="C83" s="130"/>
      <c r="D83" s="130"/>
      <c r="E83" s="130"/>
      <c r="F83" s="130"/>
      <c r="G83" s="130"/>
      <c r="H83" s="130"/>
      <c r="I83" s="131"/>
    </row>
    <row r="84" spans="1:9" ht="15.75" customHeight="1">
      <c r="A84" s="29">
        <v>11</v>
      </c>
      <c r="B84" s="82" t="s">
        <v>128</v>
      </c>
      <c r="C84" s="16" t="s">
        <v>54</v>
      </c>
      <c r="D84" s="104" t="s">
        <v>150</v>
      </c>
      <c r="E84" s="13">
        <v>1839.1</v>
      </c>
      <c r="F84" s="13">
        <f>SUM(E84*12)</f>
        <v>22069.199999999997</v>
      </c>
      <c r="G84" s="13">
        <v>2.95</v>
      </c>
      <c r="H84" s="99">
        <f>SUM(F84*G84/1000)</f>
        <v>65.104139999999987</v>
      </c>
      <c r="I84" s="13">
        <f>F84/12*G84</f>
        <v>5425.3449999999993</v>
      </c>
    </row>
    <row r="85" spans="1:9" ht="31.5" customHeight="1">
      <c r="A85" s="29">
        <v>12</v>
      </c>
      <c r="B85" s="98" t="s">
        <v>77</v>
      </c>
      <c r="C85" s="16"/>
      <c r="D85" s="104" t="s">
        <v>150</v>
      </c>
      <c r="E85" s="84">
        <v>1839.1</v>
      </c>
      <c r="F85" s="13">
        <f>E85*12</f>
        <v>22069.199999999997</v>
      </c>
      <c r="G85" s="13">
        <v>3.05</v>
      </c>
      <c r="H85" s="99">
        <f>F85*G85/1000</f>
        <v>67.311059999999983</v>
      </c>
      <c r="I85" s="13">
        <f>F85/12*G85</f>
        <v>5609.2549999999983</v>
      </c>
    </row>
    <row r="86" spans="1:9" ht="31.5" customHeight="1">
      <c r="A86" s="29">
        <v>13</v>
      </c>
      <c r="B86" s="98" t="s">
        <v>132</v>
      </c>
      <c r="C86" s="16" t="s">
        <v>133</v>
      </c>
      <c r="D86" s="104" t="s">
        <v>150</v>
      </c>
      <c r="E86" s="102"/>
      <c r="F86" s="13"/>
      <c r="G86" s="13"/>
      <c r="H86" s="99">
        <v>59.113</v>
      </c>
      <c r="I86" s="13">
        <v>4926.08</v>
      </c>
    </row>
    <row r="87" spans="1:9" ht="15.75" customHeight="1">
      <c r="A87" s="81"/>
      <c r="B87" s="40" t="s">
        <v>79</v>
      </c>
      <c r="C87" s="41"/>
      <c r="D87" s="15"/>
      <c r="E87" s="15"/>
      <c r="F87" s="15"/>
      <c r="G87" s="18"/>
      <c r="H87" s="18"/>
      <c r="I87" s="31">
        <f>I86+I85+I84+I72+I35+I34+I32+I31+I28+I27+I18+I17+I16</f>
        <v>35870.429499111109</v>
      </c>
    </row>
    <row r="88" spans="1:9" ht="15.75" customHeight="1">
      <c r="A88" s="132" t="s">
        <v>59</v>
      </c>
      <c r="B88" s="133"/>
      <c r="C88" s="133"/>
      <c r="D88" s="133"/>
      <c r="E88" s="133"/>
      <c r="F88" s="133"/>
      <c r="G88" s="133"/>
      <c r="H88" s="133"/>
      <c r="I88" s="134"/>
    </row>
    <row r="89" spans="1:9" ht="17.25" customHeight="1">
      <c r="A89" s="107">
        <v>14</v>
      </c>
      <c r="B89" s="37" t="s">
        <v>166</v>
      </c>
      <c r="C89" s="38" t="s">
        <v>167</v>
      </c>
      <c r="D89" s="52"/>
      <c r="E89" s="13"/>
      <c r="F89" s="13">
        <v>2</v>
      </c>
      <c r="G89" s="36">
        <v>1.2</v>
      </c>
      <c r="H89" s="99">
        <f t="shared" ref="H89" si="10">G89*F89/1000</f>
        <v>2.3999999999999998E-3</v>
      </c>
      <c r="I89" s="108">
        <f>G89*12</f>
        <v>14.399999999999999</v>
      </c>
    </row>
    <row r="90" spans="1:9" ht="15" customHeight="1">
      <c r="A90" s="107">
        <v>15</v>
      </c>
      <c r="B90" s="105" t="s">
        <v>174</v>
      </c>
      <c r="C90" s="106" t="s">
        <v>116</v>
      </c>
      <c r="D90" s="65"/>
      <c r="E90" s="36"/>
      <c r="F90" s="36"/>
      <c r="G90" s="36">
        <v>197.48</v>
      </c>
      <c r="H90" s="103"/>
      <c r="I90" s="108">
        <f>G90*1</f>
        <v>197.48</v>
      </c>
    </row>
    <row r="91" spans="1:9" ht="15" customHeight="1">
      <c r="A91" s="107">
        <v>16</v>
      </c>
      <c r="B91" s="128" t="s">
        <v>214</v>
      </c>
      <c r="C91" s="66" t="s">
        <v>152</v>
      </c>
      <c r="D91" s="65"/>
      <c r="E91" s="36"/>
      <c r="F91" s="36"/>
      <c r="G91" s="36">
        <v>165.12</v>
      </c>
      <c r="H91" s="103"/>
      <c r="I91" s="108">
        <f>G91*1</f>
        <v>165.12</v>
      </c>
    </row>
    <row r="92" spans="1:9" ht="15.75" customHeight="1">
      <c r="A92" s="29"/>
      <c r="B92" s="46" t="s">
        <v>51</v>
      </c>
      <c r="C92" s="42"/>
      <c r="D92" s="54"/>
      <c r="E92" s="42">
        <v>1</v>
      </c>
      <c r="F92" s="42"/>
      <c r="G92" s="42"/>
      <c r="H92" s="42"/>
      <c r="I92" s="31">
        <f>SUM(I89:I91)</f>
        <v>377</v>
      </c>
    </row>
    <row r="93" spans="1:9" ht="15.75" customHeight="1">
      <c r="A93" s="29"/>
      <c r="B93" s="52" t="s">
        <v>78</v>
      </c>
      <c r="C93" s="15"/>
      <c r="D93" s="15"/>
      <c r="E93" s="43"/>
      <c r="F93" s="43"/>
      <c r="G93" s="44"/>
      <c r="H93" s="44"/>
      <c r="I93" s="17">
        <v>0</v>
      </c>
    </row>
    <row r="94" spans="1:9" ht="15.75" customHeight="1">
      <c r="A94" s="55"/>
      <c r="B94" s="47" t="s">
        <v>140</v>
      </c>
      <c r="C94" s="34"/>
      <c r="D94" s="34"/>
      <c r="E94" s="34"/>
      <c r="F94" s="34"/>
      <c r="G94" s="34"/>
      <c r="H94" s="34"/>
      <c r="I94" s="45">
        <f>I87+I92</f>
        <v>36247.429499111109</v>
      </c>
    </row>
    <row r="95" spans="1:9" ht="15.75">
      <c r="A95" s="135" t="s">
        <v>215</v>
      </c>
      <c r="B95" s="135"/>
      <c r="C95" s="135"/>
      <c r="D95" s="135"/>
      <c r="E95" s="135"/>
      <c r="F95" s="135"/>
      <c r="G95" s="135"/>
      <c r="H95" s="135"/>
      <c r="I95" s="135"/>
    </row>
    <row r="96" spans="1:9" ht="15.75">
      <c r="A96" s="61"/>
      <c r="B96" s="151" t="s">
        <v>216</v>
      </c>
      <c r="C96" s="151"/>
      <c r="D96" s="151"/>
      <c r="E96" s="151"/>
      <c r="F96" s="151"/>
      <c r="G96" s="151"/>
      <c r="H96" s="80"/>
      <c r="I96" s="3"/>
    </row>
    <row r="97" spans="1:9">
      <c r="A97" s="71"/>
      <c r="B97" s="147" t="s">
        <v>6</v>
      </c>
      <c r="C97" s="147"/>
      <c r="D97" s="147"/>
      <c r="E97" s="147"/>
      <c r="F97" s="147"/>
      <c r="G97" s="147"/>
      <c r="H97" s="24"/>
      <c r="I97" s="5"/>
    </row>
    <row r="98" spans="1:9">
      <c r="A98" s="10"/>
      <c r="B98" s="10"/>
      <c r="C98" s="10"/>
      <c r="D98" s="10"/>
      <c r="E98" s="10"/>
      <c r="F98" s="10"/>
      <c r="G98" s="10"/>
      <c r="H98" s="10"/>
      <c r="I98" s="10"/>
    </row>
    <row r="99" spans="1:9" ht="15.75">
      <c r="A99" s="155" t="s">
        <v>7</v>
      </c>
      <c r="B99" s="155"/>
      <c r="C99" s="155"/>
      <c r="D99" s="155"/>
      <c r="E99" s="155"/>
      <c r="F99" s="155"/>
      <c r="G99" s="155"/>
      <c r="H99" s="155"/>
      <c r="I99" s="155"/>
    </row>
    <row r="100" spans="1:9" ht="15.75">
      <c r="A100" s="155" t="s">
        <v>8</v>
      </c>
      <c r="B100" s="155"/>
      <c r="C100" s="155"/>
      <c r="D100" s="155"/>
      <c r="E100" s="155"/>
      <c r="F100" s="155"/>
      <c r="G100" s="155"/>
      <c r="H100" s="155"/>
      <c r="I100" s="155"/>
    </row>
    <row r="101" spans="1:9" ht="15.75">
      <c r="A101" s="152" t="s">
        <v>60</v>
      </c>
      <c r="B101" s="152"/>
      <c r="C101" s="152"/>
      <c r="D101" s="152"/>
      <c r="E101" s="152"/>
      <c r="F101" s="152"/>
      <c r="G101" s="152"/>
      <c r="H101" s="152"/>
      <c r="I101" s="152"/>
    </row>
    <row r="102" spans="1:9" ht="15.75">
      <c r="A102" s="11"/>
    </row>
    <row r="103" spans="1:9" ht="15.75">
      <c r="A103" s="153" t="s">
        <v>9</v>
      </c>
      <c r="B103" s="153"/>
      <c r="C103" s="153"/>
      <c r="D103" s="153"/>
      <c r="E103" s="153"/>
      <c r="F103" s="153"/>
      <c r="G103" s="153"/>
      <c r="H103" s="153"/>
      <c r="I103" s="153"/>
    </row>
    <row r="104" spans="1:9" ht="15.75">
      <c r="A104" s="4"/>
    </row>
    <row r="105" spans="1:9" ht="15.75">
      <c r="B105" s="70" t="s">
        <v>10</v>
      </c>
      <c r="C105" s="154" t="s">
        <v>87</v>
      </c>
      <c r="D105" s="154"/>
      <c r="E105" s="154"/>
      <c r="F105" s="78"/>
      <c r="I105" s="73"/>
    </row>
    <row r="106" spans="1:9">
      <c r="A106" s="71"/>
      <c r="C106" s="147" t="s">
        <v>11</v>
      </c>
      <c r="D106" s="147"/>
      <c r="E106" s="147"/>
      <c r="F106" s="24"/>
      <c r="I106" s="72" t="s">
        <v>12</v>
      </c>
    </row>
    <row r="107" spans="1:9" ht="15.75">
      <c r="A107" s="25"/>
      <c r="C107" s="12"/>
      <c r="D107" s="12"/>
      <c r="G107" s="12"/>
      <c r="H107" s="12"/>
    </row>
    <row r="108" spans="1:9" ht="15.75">
      <c r="B108" s="70" t="s">
        <v>13</v>
      </c>
      <c r="C108" s="149"/>
      <c r="D108" s="149"/>
      <c r="E108" s="149"/>
      <c r="F108" s="79"/>
      <c r="I108" s="73"/>
    </row>
    <row r="109" spans="1:9">
      <c r="A109" s="71"/>
      <c r="C109" s="136" t="s">
        <v>11</v>
      </c>
      <c r="D109" s="136"/>
      <c r="E109" s="136"/>
      <c r="F109" s="71"/>
      <c r="I109" s="72" t="s">
        <v>12</v>
      </c>
    </row>
    <row r="110" spans="1:9" ht="15.75">
      <c r="A110" s="4" t="s">
        <v>14</v>
      </c>
    </row>
    <row r="111" spans="1:9">
      <c r="A111" s="150" t="s">
        <v>15</v>
      </c>
      <c r="B111" s="150"/>
      <c r="C111" s="150"/>
      <c r="D111" s="150"/>
      <c r="E111" s="150"/>
      <c r="F111" s="150"/>
      <c r="G111" s="150"/>
      <c r="H111" s="150"/>
      <c r="I111" s="150"/>
    </row>
    <row r="112" spans="1:9" ht="45" customHeight="1">
      <c r="A112" s="148" t="s">
        <v>16</v>
      </c>
      <c r="B112" s="148"/>
      <c r="C112" s="148"/>
      <c r="D112" s="148"/>
      <c r="E112" s="148"/>
      <c r="F112" s="148"/>
      <c r="G112" s="148"/>
      <c r="H112" s="148"/>
      <c r="I112" s="148"/>
    </row>
    <row r="113" spans="1:9" ht="30" customHeight="1">
      <c r="A113" s="148" t="s">
        <v>17</v>
      </c>
      <c r="B113" s="148"/>
      <c r="C113" s="148"/>
      <c r="D113" s="148"/>
      <c r="E113" s="148"/>
      <c r="F113" s="148"/>
      <c r="G113" s="148"/>
      <c r="H113" s="148"/>
      <c r="I113" s="148"/>
    </row>
    <row r="114" spans="1:9" ht="30" customHeight="1">
      <c r="A114" s="148" t="s">
        <v>21</v>
      </c>
      <c r="B114" s="148"/>
      <c r="C114" s="148"/>
      <c r="D114" s="148"/>
      <c r="E114" s="148"/>
      <c r="F114" s="148"/>
      <c r="G114" s="148"/>
      <c r="H114" s="148"/>
      <c r="I114" s="148"/>
    </row>
    <row r="115" spans="1:9" ht="15.75">
      <c r="A115" s="148" t="s">
        <v>20</v>
      </c>
      <c r="B115" s="148"/>
      <c r="C115" s="148"/>
      <c r="D115" s="148"/>
      <c r="E115" s="148"/>
      <c r="F115" s="148"/>
      <c r="G115" s="148"/>
      <c r="H115" s="148"/>
      <c r="I115" s="148"/>
    </row>
  </sheetData>
  <autoFilter ref="I12:I65"/>
  <mergeCells count="29">
    <mergeCell ref="A14:I14"/>
    <mergeCell ref="A15:I15"/>
    <mergeCell ref="A29:I29"/>
    <mergeCell ref="A45:I45"/>
    <mergeCell ref="A57:I57"/>
    <mergeCell ref="A3:I3"/>
    <mergeCell ref="A4:I4"/>
    <mergeCell ref="A5:I5"/>
    <mergeCell ref="A8:I8"/>
    <mergeCell ref="A10:I10"/>
    <mergeCell ref="R70:U70"/>
    <mergeCell ref="C109:E109"/>
    <mergeCell ref="A88:I88"/>
    <mergeCell ref="A95:I95"/>
    <mergeCell ref="B96:G96"/>
    <mergeCell ref="B97:G97"/>
    <mergeCell ref="A99:I99"/>
    <mergeCell ref="A100:I100"/>
    <mergeCell ref="A101:I101"/>
    <mergeCell ref="A103:I103"/>
    <mergeCell ref="C105:E105"/>
    <mergeCell ref="C106:E106"/>
    <mergeCell ref="C108:E108"/>
    <mergeCell ref="A83:I83"/>
    <mergeCell ref="A111:I111"/>
    <mergeCell ref="A112:I112"/>
    <mergeCell ref="A113:I113"/>
    <mergeCell ref="A114:I114"/>
    <mergeCell ref="A115:I115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>
  <dimension ref="A1:V116"/>
  <sheetViews>
    <sheetView topLeftCell="A48" workbookViewId="0">
      <selection activeCell="B89" sqref="B89:I89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7" t="s">
        <v>196</v>
      </c>
      <c r="I1" s="26"/>
      <c r="J1" s="1"/>
      <c r="K1" s="1"/>
      <c r="L1" s="1"/>
      <c r="M1" s="1"/>
    </row>
    <row r="2" spans="1:13" ht="15.75" customHeight="1">
      <c r="A2" s="28" t="s">
        <v>61</v>
      </c>
      <c r="J2" s="2"/>
      <c r="K2" s="2"/>
      <c r="L2" s="2"/>
      <c r="M2" s="2"/>
    </row>
    <row r="3" spans="1:13" ht="15.75" customHeight="1">
      <c r="A3" s="137" t="s">
        <v>161</v>
      </c>
      <c r="B3" s="137"/>
      <c r="C3" s="137"/>
      <c r="D3" s="137"/>
      <c r="E3" s="137"/>
      <c r="F3" s="137"/>
      <c r="G3" s="137"/>
      <c r="H3" s="137"/>
      <c r="I3" s="137"/>
      <c r="J3" s="3"/>
      <c r="K3" s="3"/>
      <c r="L3" s="3"/>
    </row>
    <row r="4" spans="1:13" ht="31.5" customHeight="1">
      <c r="A4" s="138" t="s">
        <v>129</v>
      </c>
      <c r="B4" s="138"/>
      <c r="C4" s="138"/>
      <c r="D4" s="138"/>
      <c r="E4" s="138"/>
      <c r="F4" s="138"/>
      <c r="G4" s="138"/>
      <c r="H4" s="138"/>
      <c r="I4" s="138"/>
    </row>
    <row r="5" spans="1:13" ht="15.75" customHeight="1">
      <c r="A5" s="137" t="s">
        <v>205</v>
      </c>
      <c r="B5" s="141"/>
      <c r="C5" s="141"/>
      <c r="D5" s="141"/>
      <c r="E5" s="141"/>
      <c r="F5" s="141"/>
      <c r="G5" s="141"/>
      <c r="H5" s="141"/>
      <c r="I5" s="141"/>
      <c r="J5" s="2"/>
      <c r="K5" s="2"/>
      <c r="L5" s="2"/>
      <c r="M5" s="2"/>
    </row>
    <row r="6" spans="1:13" ht="15.75" customHeight="1">
      <c r="A6" s="2"/>
      <c r="B6" s="74"/>
      <c r="C6" s="74"/>
      <c r="D6" s="74"/>
      <c r="E6" s="74"/>
      <c r="F6" s="74"/>
      <c r="G6" s="74"/>
      <c r="H6" s="74"/>
      <c r="I6" s="30">
        <v>43373</v>
      </c>
      <c r="J6" s="2"/>
      <c r="K6" s="2"/>
      <c r="L6" s="2"/>
      <c r="M6" s="2"/>
    </row>
    <row r="7" spans="1:13" ht="15.75" customHeight="1">
      <c r="B7" s="70"/>
      <c r="C7" s="70"/>
      <c r="D7" s="70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139" t="s">
        <v>197</v>
      </c>
      <c r="B8" s="139"/>
      <c r="C8" s="139"/>
      <c r="D8" s="139"/>
      <c r="E8" s="139"/>
      <c r="F8" s="139"/>
      <c r="G8" s="139"/>
      <c r="H8" s="139"/>
      <c r="I8" s="139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140" t="s">
        <v>135</v>
      </c>
      <c r="B10" s="140"/>
      <c r="C10" s="140"/>
      <c r="D10" s="140"/>
      <c r="E10" s="140"/>
      <c r="F10" s="140"/>
      <c r="G10" s="140"/>
      <c r="H10" s="140"/>
      <c r="I10" s="140"/>
      <c r="J10" s="2"/>
      <c r="K10" s="2"/>
      <c r="L10" s="2"/>
      <c r="M10" s="2"/>
    </row>
    <row r="11" spans="1:13" ht="15.75">
      <c r="A11" s="4"/>
    </row>
    <row r="12" spans="1:13" ht="47.2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142" t="s">
        <v>58</v>
      </c>
      <c r="B14" s="142"/>
      <c r="C14" s="142"/>
      <c r="D14" s="142"/>
      <c r="E14" s="142"/>
      <c r="F14" s="142"/>
      <c r="G14" s="142"/>
      <c r="H14" s="142"/>
      <c r="I14" s="142"/>
      <c r="J14" s="8"/>
      <c r="K14" s="8"/>
      <c r="L14" s="8"/>
      <c r="M14" s="8"/>
    </row>
    <row r="15" spans="1:13" ht="15.75" customHeight="1">
      <c r="A15" s="143" t="s">
        <v>4</v>
      </c>
      <c r="B15" s="143"/>
      <c r="C15" s="143"/>
      <c r="D15" s="143"/>
      <c r="E15" s="143"/>
      <c r="F15" s="143"/>
      <c r="G15" s="143"/>
      <c r="H15" s="143"/>
      <c r="I15" s="143"/>
      <c r="J15" s="8"/>
      <c r="K15" s="8"/>
      <c r="L15" s="8"/>
      <c r="M15" s="8"/>
    </row>
    <row r="16" spans="1:13" ht="15.75" customHeight="1">
      <c r="A16" s="29">
        <v>1</v>
      </c>
      <c r="B16" s="82" t="s">
        <v>83</v>
      </c>
      <c r="C16" s="83" t="s">
        <v>92</v>
      </c>
      <c r="D16" s="82" t="s">
        <v>141</v>
      </c>
      <c r="E16" s="84">
        <v>54.2</v>
      </c>
      <c r="F16" s="85">
        <f>SUM(E16*156/100)</f>
        <v>84.552000000000007</v>
      </c>
      <c r="G16" s="85">
        <v>218.21</v>
      </c>
      <c r="H16" s="86">
        <f t="shared" ref="H16:H26" si="0">SUM(F16*G16/1000)</f>
        <v>18.450091920000002</v>
      </c>
      <c r="I16" s="13">
        <f>F16/12*G16</f>
        <v>1537.5076600000002</v>
      </c>
      <c r="J16" s="8"/>
      <c r="K16" s="8"/>
      <c r="L16" s="8"/>
      <c r="M16" s="8"/>
    </row>
    <row r="17" spans="1:13" ht="15.75" customHeight="1">
      <c r="A17" s="29">
        <v>2</v>
      </c>
      <c r="B17" s="82" t="s">
        <v>90</v>
      </c>
      <c r="C17" s="83" t="s">
        <v>92</v>
      </c>
      <c r="D17" s="82" t="s">
        <v>142</v>
      </c>
      <c r="E17" s="84">
        <v>108.5</v>
      </c>
      <c r="F17" s="85">
        <f>SUM(E17*104/100)</f>
        <v>112.84</v>
      </c>
      <c r="G17" s="85">
        <v>218.21</v>
      </c>
      <c r="H17" s="86">
        <f t="shared" si="0"/>
        <v>24.622816400000005</v>
      </c>
      <c r="I17" s="13">
        <f>F17/12*G17</f>
        <v>2051.9013666666669</v>
      </c>
      <c r="J17" s="22"/>
      <c r="K17" s="8"/>
      <c r="L17" s="8"/>
      <c r="M17" s="8"/>
    </row>
    <row r="18" spans="1:13" ht="15.75" customHeight="1">
      <c r="A18" s="29">
        <v>3</v>
      </c>
      <c r="B18" s="82" t="s">
        <v>91</v>
      </c>
      <c r="C18" s="83" t="s">
        <v>92</v>
      </c>
      <c r="D18" s="82" t="s">
        <v>143</v>
      </c>
      <c r="E18" s="84">
        <f>SUM(E16+E17)</f>
        <v>162.69999999999999</v>
      </c>
      <c r="F18" s="85">
        <f>SUM(E18*24/100)</f>
        <v>39.047999999999995</v>
      </c>
      <c r="G18" s="85">
        <v>627.77</v>
      </c>
      <c r="H18" s="86">
        <f t="shared" si="0"/>
        <v>24.513162959999995</v>
      </c>
      <c r="I18" s="13">
        <f>F18/12*G18</f>
        <v>2042.7635799999996</v>
      </c>
      <c r="J18" s="22"/>
      <c r="K18" s="8"/>
      <c r="L18" s="8"/>
      <c r="M18" s="8"/>
    </row>
    <row r="19" spans="1:13" ht="15.75" hidden="1" customHeight="1">
      <c r="A19" s="29">
        <v>4</v>
      </c>
      <c r="B19" s="82" t="s">
        <v>93</v>
      </c>
      <c r="C19" s="83" t="s">
        <v>88</v>
      </c>
      <c r="D19" s="82" t="s">
        <v>94</v>
      </c>
      <c r="E19" s="84">
        <v>15.3</v>
      </c>
      <c r="F19" s="85">
        <f>SUM(E19/10)</f>
        <v>1.53</v>
      </c>
      <c r="G19" s="85">
        <v>211.74</v>
      </c>
      <c r="H19" s="86">
        <f t="shared" si="0"/>
        <v>0.32396219999999998</v>
      </c>
      <c r="I19" s="13">
        <f>F19/2*G19</f>
        <v>161.9811</v>
      </c>
      <c r="J19" s="22"/>
      <c r="K19" s="8"/>
      <c r="L19" s="8"/>
      <c r="M19" s="8"/>
    </row>
    <row r="20" spans="1:13" ht="15.75" customHeight="1">
      <c r="A20" s="29">
        <v>4</v>
      </c>
      <c r="B20" s="82" t="s">
        <v>96</v>
      </c>
      <c r="C20" s="83" t="s">
        <v>92</v>
      </c>
      <c r="D20" s="82" t="s">
        <v>41</v>
      </c>
      <c r="E20" s="84">
        <v>19.62</v>
      </c>
      <c r="F20" s="85">
        <f>SUM(E20*2/100)</f>
        <v>0.39240000000000003</v>
      </c>
      <c r="G20" s="85">
        <v>271.12</v>
      </c>
      <c r="H20" s="86">
        <f t="shared" si="0"/>
        <v>0.106387488</v>
      </c>
      <c r="I20" s="13">
        <f>F20/2*G20</f>
        <v>53.193744000000002</v>
      </c>
      <c r="J20" s="22"/>
      <c r="K20" s="8"/>
      <c r="L20" s="8"/>
      <c r="M20" s="8"/>
    </row>
    <row r="21" spans="1:13" ht="15.75" customHeight="1">
      <c r="A21" s="29">
        <v>5</v>
      </c>
      <c r="B21" s="82" t="s">
        <v>97</v>
      </c>
      <c r="C21" s="83" t="s">
        <v>92</v>
      </c>
      <c r="D21" s="82" t="s">
        <v>41</v>
      </c>
      <c r="E21" s="84">
        <v>8.68</v>
      </c>
      <c r="F21" s="85">
        <f>SUM(E21*2/100)</f>
        <v>0.1736</v>
      </c>
      <c r="G21" s="85">
        <v>268.92</v>
      </c>
      <c r="H21" s="86">
        <f t="shared" si="0"/>
        <v>4.6684512000000004E-2</v>
      </c>
      <c r="I21" s="13">
        <f>F21/2*G21</f>
        <v>23.342256000000003</v>
      </c>
      <c r="J21" s="22"/>
      <c r="K21" s="8"/>
      <c r="L21" s="8"/>
      <c r="M21" s="8"/>
    </row>
    <row r="22" spans="1:13" ht="15.75" hidden="1" customHeight="1">
      <c r="A22" s="29">
        <v>7</v>
      </c>
      <c r="B22" s="82" t="s">
        <v>98</v>
      </c>
      <c r="C22" s="83" t="s">
        <v>52</v>
      </c>
      <c r="D22" s="82" t="s">
        <v>94</v>
      </c>
      <c r="E22" s="84">
        <v>215</v>
      </c>
      <c r="F22" s="85">
        <f>SUM(E22/100)</f>
        <v>2.15</v>
      </c>
      <c r="G22" s="85">
        <v>335.05</v>
      </c>
      <c r="H22" s="86">
        <f t="shared" si="0"/>
        <v>0.72035749999999998</v>
      </c>
      <c r="I22" s="13">
        <f>F22*G22</f>
        <v>720.35749999999996</v>
      </c>
      <c r="J22" s="22"/>
      <c r="K22" s="8"/>
      <c r="L22" s="8"/>
      <c r="M22" s="8"/>
    </row>
    <row r="23" spans="1:13" ht="15.75" hidden="1" customHeight="1">
      <c r="A23" s="29">
        <v>8</v>
      </c>
      <c r="B23" s="82" t="s">
        <v>99</v>
      </c>
      <c r="C23" s="83" t="s">
        <v>52</v>
      </c>
      <c r="D23" s="82" t="s">
        <v>94</v>
      </c>
      <c r="E23" s="87">
        <v>17.64</v>
      </c>
      <c r="F23" s="85">
        <f>SUM(E23/100)</f>
        <v>0.1764</v>
      </c>
      <c r="G23" s="85">
        <v>55.1</v>
      </c>
      <c r="H23" s="86">
        <f t="shared" si="0"/>
        <v>9.7196399999999999E-3</v>
      </c>
      <c r="I23" s="13">
        <f>F23*G23</f>
        <v>9.7196400000000001</v>
      </c>
      <c r="J23" s="22"/>
      <c r="K23" s="8"/>
      <c r="L23" s="8"/>
      <c r="M23" s="8"/>
    </row>
    <row r="24" spans="1:13" ht="15.75" hidden="1" customHeight="1">
      <c r="A24" s="29">
        <v>9</v>
      </c>
      <c r="B24" s="82" t="s">
        <v>95</v>
      </c>
      <c r="C24" s="83" t="s">
        <v>52</v>
      </c>
      <c r="D24" s="82" t="s">
        <v>94</v>
      </c>
      <c r="E24" s="18">
        <v>4.5</v>
      </c>
      <c r="F24" s="88">
        <v>0.05</v>
      </c>
      <c r="G24" s="85">
        <v>484.94</v>
      </c>
      <c r="H24" s="86">
        <f>F24*G24/1000</f>
        <v>2.4247000000000001E-2</v>
      </c>
      <c r="I24" s="13">
        <f>F24*G24</f>
        <v>24.247</v>
      </c>
      <c r="J24" s="22"/>
      <c r="K24" s="8"/>
      <c r="L24" s="8"/>
      <c r="M24" s="8"/>
    </row>
    <row r="25" spans="1:13" ht="15.75" hidden="1" customHeight="1">
      <c r="A25" s="29">
        <v>10</v>
      </c>
      <c r="B25" s="82" t="s">
        <v>130</v>
      </c>
      <c r="C25" s="83" t="s">
        <v>52</v>
      </c>
      <c r="D25" s="82" t="s">
        <v>94</v>
      </c>
      <c r="E25" s="87">
        <v>9.4499999999999993</v>
      </c>
      <c r="F25" s="85">
        <v>0.09</v>
      </c>
      <c r="G25" s="85">
        <v>268.92</v>
      </c>
      <c r="H25" s="86">
        <f>F25*G25/1000</f>
        <v>2.42028E-2</v>
      </c>
      <c r="I25" s="13">
        <f>F25*G25</f>
        <v>24.2028</v>
      </c>
      <c r="J25" s="22"/>
      <c r="K25" s="8"/>
      <c r="L25" s="8"/>
      <c r="M25" s="8"/>
    </row>
    <row r="26" spans="1:13" ht="15.75" hidden="1" customHeight="1">
      <c r="A26" s="29">
        <v>11</v>
      </c>
      <c r="B26" s="82" t="s">
        <v>100</v>
      </c>
      <c r="C26" s="83" t="s">
        <v>52</v>
      </c>
      <c r="D26" s="82" t="s">
        <v>94</v>
      </c>
      <c r="E26" s="84">
        <v>14.4</v>
      </c>
      <c r="F26" s="85">
        <f>SUM(E26/100)</f>
        <v>0.14400000000000002</v>
      </c>
      <c r="G26" s="85">
        <v>648.04999999999995</v>
      </c>
      <c r="H26" s="86">
        <f t="shared" si="0"/>
        <v>9.3319200000000005E-2</v>
      </c>
      <c r="I26" s="13">
        <f>F26*G26</f>
        <v>93.319200000000009</v>
      </c>
      <c r="J26" s="22"/>
      <c r="K26" s="8"/>
      <c r="L26" s="8"/>
      <c r="M26" s="8"/>
    </row>
    <row r="27" spans="1:13" ht="15.75" customHeight="1">
      <c r="A27" s="29">
        <v>6</v>
      </c>
      <c r="B27" s="82" t="s">
        <v>63</v>
      </c>
      <c r="C27" s="83" t="s">
        <v>31</v>
      </c>
      <c r="D27" s="82"/>
      <c r="E27" s="84">
        <v>0.1</v>
      </c>
      <c r="F27" s="85">
        <f>SUM(E27*365)</f>
        <v>36.5</v>
      </c>
      <c r="G27" s="85">
        <v>182.96</v>
      </c>
      <c r="H27" s="86">
        <f>SUM(F27*G27/1000)</f>
        <v>6.6780400000000002</v>
      </c>
      <c r="I27" s="13">
        <f>F27/12*G27</f>
        <v>556.50333333333333</v>
      </c>
      <c r="J27" s="22"/>
      <c r="K27" s="8"/>
      <c r="L27" s="8"/>
      <c r="M27" s="8"/>
    </row>
    <row r="28" spans="1:13" ht="15.75" customHeight="1">
      <c r="A28" s="29">
        <v>7</v>
      </c>
      <c r="B28" s="89" t="s">
        <v>23</v>
      </c>
      <c r="C28" s="83" t="s">
        <v>24</v>
      </c>
      <c r="D28" s="82"/>
      <c r="E28" s="84">
        <v>1839.1</v>
      </c>
      <c r="F28" s="85">
        <f>SUM(E28*12)</f>
        <v>22069.199999999997</v>
      </c>
      <c r="G28" s="85">
        <v>4.58</v>
      </c>
      <c r="H28" s="86">
        <f>SUM(F28*G28/1000)</f>
        <v>101.07693599999999</v>
      </c>
      <c r="I28" s="13">
        <f>F28/12*G28</f>
        <v>8423.0779999999995</v>
      </c>
      <c r="J28" s="22"/>
      <c r="K28" s="8"/>
      <c r="L28" s="8"/>
      <c r="M28" s="8"/>
    </row>
    <row r="29" spans="1:13" ht="15.75" customHeight="1">
      <c r="A29" s="143" t="s">
        <v>81</v>
      </c>
      <c r="B29" s="143"/>
      <c r="C29" s="143"/>
      <c r="D29" s="143"/>
      <c r="E29" s="143"/>
      <c r="F29" s="143"/>
      <c r="G29" s="143"/>
      <c r="H29" s="143"/>
      <c r="I29" s="143"/>
      <c r="J29" s="22"/>
      <c r="K29" s="8"/>
      <c r="L29" s="8"/>
      <c r="M29" s="8"/>
    </row>
    <row r="30" spans="1:13" ht="15.75" customHeight="1">
      <c r="A30" s="41"/>
      <c r="B30" s="51" t="s">
        <v>27</v>
      </c>
      <c r="C30" s="51"/>
      <c r="D30" s="51"/>
      <c r="E30" s="51"/>
      <c r="F30" s="51"/>
      <c r="G30" s="51"/>
      <c r="H30" s="51"/>
      <c r="I30" s="18"/>
      <c r="J30" s="22"/>
      <c r="K30" s="8"/>
      <c r="L30" s="8"/>
      <c r="M30" s="8"/>
    </row>
    <row r="31" spans="1:13" ht="15.75" customHeight="1">
      <c r="A31" s="41">
        <v>8</v>
      </c>
      <c r="B31" s="32" t="s">
        <v>101</v>
      </c>
      <c r="C31" s="83" t="s">
        <v>102</v>
      </c>
      <c r="D31" s="82" t="s">
        <v>103</v>
      </c>
      <c r="E31" s="85">
        <v>58</v>
      </c>
      <c r="F31" s="85">
        <f>SUM(E31*52/1000)</f>
        <v>3.016</v>
      </c>
      <c r="G31" s="85">
        <v>193.97</v>
      </c>
      <c r="H31" s="86">
        <f>SUM(F31*G31/1000)</f>
        <v>0.58501351999999995</v>
      </c>
      <c r="I31" s="13">
        <f>F31/6*G31</f>
        <v>97.502253333333343</v>
      </c>
      <c r="J31" s="22"/>
      <c r="K31" s="8"/>
      <c r="L31" s="8"/>
      <c r="M31" s="8"/>
    </row>
    <row r="32" spans="1:13" ht="31.5" customHeight="1">
      <c r="A32" s="41">
        <v>9</v>
      </c>
      <c r="B32" s="32" t="s">
        <v>104</v>
      </c>
      <c r="C32" s="83" t="s">
        <v>102</v>
      </c>
      <c r="D32" s="82" t="s">
        <v>105</v>
      </c>
      <c r="E32" s="85">
        <v>48.3</v>
      </c>
      <c r="F32" s="85">
        <f>SUM(E32*78/1000)</f>
        <v>3.7673999999999994</v>
      </c>
      <c r="G32" s="85">
        <v>321.82</v>
      </c>
      <c r="H32" s="86">
        <f>SUM(F32*G32/1000)</f>
        <v>1.2124246679999999</v>
      </c>
      <c r="I32" s="13">
        <f>F32/6*G32</f>
        <v>202.07077799999996</v>
      </c>
      <c r="J32" s="22"/>
      <c r="K32" s="8"/>
      <c r="L32" s="8"/>
      <c r="M32" s="8"/>
    </row>
    <row r="33" spans="1:14" ht="15.75" hidden="1" customHeight="1">
      <c r="A33" s="41">
        <v>16</v>
      </c>
      <c r="B33" s="32" t="s">
        <v>26</v>
      </c>
      <c r="C33" s="83" t="s">
        <v>102</v>
      </c>
      <c r="D33" s="82" t="s">
        <v>53</v>
      </c>
      <c r="E33" s="85">
        <v>58</v>
      </c>
      <c r="F33" s="85">
        <f>SUM(E33/1000)</f>
        <v>5.8000000000000003E-2</v>
      </c>
      <c r="G33" s="85">
        <v>3758.28</v>
      </c>
      <c r="H33" s="86">
        <f>SUM(F33*G33/1000)</f>
        <v>0.21798024000000002</v>
      </c>
      <c r="I33" s="13">
        <f>F33*G33</f>
        <v>217.98024000000001</v>
      </c>
      <c r="J33" s="22"/>
      <c r="K33" s="8"/>
      <c r="L33" s="8"/>
      <c r="M33" s="8"/>
    </row>
    <row r="34" spans="1:14" ht="15.75" customHeight="1">
      <c r="A34" s="41">
        <v>10</v>
      </c>
      <c r="B34" s="32" t="s">
        <v>106</v>
      </c>
      <c r="C34" s="83" t="s">
        <v>39</v>
      </c>
      <c r="D34" s="82" t="s">
        <v>62</v>
      </c>
      <c r="E34" s="85">
        <v>1</v>
      </c>
      <c r="F34" s="85">
        <f>E34*155/100</f>
        <v>1.55</v>
      </c>
      <c r="G34" s="85">
        <v>1620.15</v>
      </c>
      <c r="H34" s="86">
        <f>SUM(F34*G34/1000)</f>
        <v>2.5112325000000002</v>
      </c>
      <c r="I34" s="13">
        <f>F34/6*G34</f>
        <v>418.53875000000005</v>
      </c>
      <c r="J34" s="22"/>
      <c r="K34" s="8"/>
    </row>
    <row r="35" spans="1:14" ht="15.75" customHeight="1">
      <c r="A35" s="41">
        <v>11</v>
      </c>
      <c r="B35" s="32" t="s">
        <v>107</v>
      </c>
      <c r="C35" s="83" t="s">
        <v>29</v>
      </c>
      <c r="D35" s="82" t="s">
        <v>62</v>
      </c>
      <c r="E35" s="90">
        <f>1/3</f>
        <v>0.33333333333333331</v>
      </c>
      <c r="F35" s="85">
        <f>155/3</f>
        <v>51.666666666666664</v>
      </c>
      <c r="G35" s="85">
        <v>70.540000000000006</v>
      </c>
      <c r="H35" s="86">
        <f>SUM(G35*155/3/1000)</f>
        <v>3.644566666666667</v>
      </c>
      <c r="I35" s="13">
        <f>F35/6*G35</f>
        <v>607.42777777777781</v>
      </c>
      <c r="J35" s="23"/>
    </row>
    <row r="36" spans="1:14" ht="15.75" hidden="1" customHeight="1">
      <c r="A36" s="41">
        <v>4</v>
      </c>
      <c r="B36" s="82" t="s">
        <v>64</v>
      </c>
      <c r="C36" s="83" t="s">
        <v>31</v>
      </c>
      <c r="D36" s="82" t="s">
        <v>66</v>
      </c>
      <c r="E36" s="84"/>
      <c r="F36" s="85">
        <v>1</v>
      </c>
      <c r="G36" s="85">
        <v>238.07</v>
      </c>
      <c r="H36" s="86">
        <f>SUM(F36*G36/1000)</f>
        <v>0.23807</v>
      </c>
      <c r="I36" s="13">
        <v>0</v>
      </c>
      <c r="J36" s="23"/>
    </row>
    <row r="37" spans="1:14" ht="15.75" hidden="1" customHeight="1">
      <c r="A37" s="29">
        <v>8</v>
      </c>
      <c r="B37" s="82" t="s">
        <v>65</v>
      </c>
      <c r="C37" s="83" t="s">
        <v>30</v>
      </c>
      <c r="D37" s="82" t="s">
        <v>66</v>
      </c>
      <c r="E37" s="84"/>
      <c r="F37" s="85">
        <v>1</v>
      </c>
      <c r="G37" s="85">
        <v>1413.96</v>
      </c>
      <c r="H37" s="86">
        <f>SUM(F37*G37/1000)</f>
        <v>1.4139600000000001</v>
      </c>
      <c r="I37" s="13">
        <v>0</v>
      </c>
      <c r="J37" s="23"/>
    </row>
    <row r="38" spans="1:14" ht="15.75" hidden="1" customHeight="1">
      <c r="A38" s="41"/>
      <c r="B38" s="49" t="s">
        <v>5</v>
      </c>
      <c r="C38" s="49"/>
      <c r="D38" s="49"/>
      <c r="E38" s="13"/>
      <c r="F38" s="13"/>
      <c r="G38" s="14"/>
      <c r="H38" s="14"/>
      <c r="I38" s="18"/>
      <c r="J38" s="23"/>
    </row>
    <row r="39" spans="1:14" ht="15.75" hidden="1" customHeight="1">
      <c r="A39" s="33">
        <v>6</v>
      </c>
      <c r="B39" s="82" t="s">
        <v>25</v>
      </c>
      <c r="C39" s="83" t="s">
        <v>30</v>
      </c>
      <c r="D39" s="82"/>
      <c r="E39" s="84"/>
      <c r="F39" s="85">
        <v>2</v>
      </c>
      <c r="G39" s="85">
        <v>1900.37</v>
      </c>
      <c r="H39" s="86">
        <f t="shared" ref="H39:H44" si="1">SUM(F39*G39/1000)</f>
        <v>3.8007399999999998</v>
      </c>
      <c r="I39" s="13">
        <f t="shared" ref="I39:I44" si="2">F39/6*G39</f>
        <v>633.45666666666659</v>
      </c>
      <c r="J39" s="23"/>
    </row>
    <row r="40" spans="1:14" ht="15.75" hidden="1" customHeight="1">
      <c r="A40" s="33">
        <v>7</v>
      </c>
      <c r="B40" s="82" t="s">
        <v>67</v>
      </c>
      <c r="C40" s="83" t="s">
        <v>28</v>
      </c>
      <c r="D40" s="82" t="s">
        <v>108</v>
      </c>
      <c r="E40" s="85">
        <v>48.3</v>
      </c>
      <c r="F40" s="85">
        <f>SUM(E40*30/1000)</f>
        <v>1.4490000000000001</v>
      </c>
      <c r="G40" s="85">
        <v>2616.4899999999998</v>
      </c>
      <c r="H40" s="86">
        <f t="shared" si="1"/>
        <v>3.7912940100000001</v>
      </c>
      <c r="I40" s="13">
        <f t="shared" si="2"/>
        <v>631.88233500000001</v>
      </c>
      <c r="J40" s="23"/>
    </row>
    <row r="41" spans="1:14" ht="15.75" hidden="1" customHeight="1">
      <c r="A41" s="33">
        <v>8</v>
      </c>
      <c r="B41" s="82" t="s">
        <v>68</v>
      </c>
      <c r="C41" s="83" t="s">
        <v>28</v>
      </c>
      <c r="D41" s="82" t="s">
        <v>109</v>
      </c>
      <c r="E41" s="85">
        <v>48.3</v>
      </c>
      <c r="F41" s="85">
        <f>SUM(E41*155/1000)</f>
        <v>7.4865000000000004</v>
      </c>
      <c r="G41" s="85">
        <v>436.45</v>
      </c>
      <c r="H41" s="86">
        <f t="shared" si="1"/>
        <v>3.2674829250000004</v>
      </c>
      <c r="I41" s="13">
        <f t="shared" si="2"/>
        <v>544.5804875</v>
      </c>
      <c r="J41" s="23"/>
    </row>
    <row r="42" spans="1:14" ht="47.25" hidden="1" customHeight="1">
      <c r="A42" s="33">
        <v>9</v>
      </c>
      <c r="B42" s="82" t="s">
        <v>80</v>
      </c>
      <c r="C42" s="83" t="s">
        <v>102</v>
      </c>
      <c r="D42" s="82" t="s">
        <v>110</v>
      </c>
      <c r="E42" s="85">
        <f>E40</f>
        <v>48.3</v>
      </c>
      <c r="F42" s="85">
        <f>SUM(E42*35/1000)</f>
        <v>1.6904999999999999</v>
      </c>
      <c r="G42" s="85">
        <v>7221.21</v>
      </c>
      <c r="H42" s="86">
        <f t="shared" si="1"/>
        <v>12.207455505</v>
      </c>
      <c r="I42" s="13">
        <f t="shared" si="2"/>
        <v>2034.5759175000001</v>
      </c>
      <c r="J42" s="23"/>
      <c r="L42" s="19"/>
      <c r="M42" s="20"/>
      <c r="N42" s="21"/>
    </row>
    <row r="43" spans="1:14" ht="15.75" hidden="1" customHeight="1">
      <c r="A43" s="33">
        <v>10</v>
      </c>
      <c r="B43" s="82" t="s">
        <v>111</v>
      </c>
      <c r="C43" s="83" t="s">
        <v>102</v>
      </c>
      <c r="D43" s="82" t="s">
        <v>112</v>
      </c>
      <c r="E43" s="85">
        <f>E40</f>
        <v>48.3</v>
      </c>
      <c r="F43" s="85">
        <f>SUM(E43*20/1000)</f>
        <v>0.96599999999999997</v>
      </c>
      <c r="G43" s="85">
        <v>533.45000000000005</v>
      </c>
      <c r="H43" s="86">
        <f t="shared" si="1"/>
        <v>0.51531270000000007</v>
      </c>
      <c r="I43" s="13">
        <f t="shared" si="2"/>
        <v>85.885450000000006</v>
      </c>
      <c r="J43" s="23"/>
      <c r="L43" s="19"/>
      <c r="M43" s="20"/>
      <c r="N43" s="21"/>
    </row>
    <row r="44" spans="1:14" ht="15.75" hidden="1" customHeight="1">
      <c r="A44" s="33">
        <v>11</v>
      </c>
      <c r="B44" s="82" t="s">
        <v>69</v>
      </c>
      <c r="C44" s="83" t="s">
        <v>31</v>
      </c>
      <c r="D44" s="82"/>
      <c r="E44" s="84"/>
      <c r="F44" s="85">
        <v>0.5</v>
      </c>
      <c r="G44" s="85">
        <v>992.97</v>
      </c>
      <c r="H44" s="86">
        <f t="shared" si="1"/>
        <v>0.49648500000000001</v>
      </c>
      <c r="I44" s="13">
        <f t="shared" si="2"/>
        <v>82.747500000000002</v>
      </c>
      <c r="J44" s="23"/>
      <c r="L44" s="19"/>
      <c r="M44" s="20"/>
      <c r="N44" s="21"/>
    </row>
    <row r="45" spans="1:14" ht="15.75" customHeight="1">
      <c r="A45" s="144" t="s">
        <v>137</v>
      </c>
      <c r="B45" s="145"/>
      <c r="C45" s="145"/>
      <c r="D45" s="145"/>
      <c r="E45" s="145"/>
      <c r="F45" s="145"/>
      <c r="G45" s="145"/>
      <c r="H45" s="145"/>
      <c r="I45" s="146"/>
      <c r="J45" s="23"/>
      <c r="L45" s="19"/>
      <c r="M45" s="20"/>
      <c r="N45" s="21"/>
    </row>
    <row r="46" spans="1:14" ht="15.75" customHeight="1">
      <c r="A46" s="41">
        <v>12</v>
      </c>
      <c r="B46" s="82" t="s">
        <v>113</v>
      </c>
      <c r="C46" s="83" t="s">
        <v>102</v>
      </c>
      <c r="D46" s="82" t="s">
        <v>41</v>
      </c>
      <c r="E46" s="84">
        <v>1044.7</v>
      </c>
      <c r="F46" s="85">
        <f>SUM(E46*2/1000)</f>
        <v>2.0893999999999999</v>
      </c>
      <c r="G46" s="13">
        <v>1283.46</v>
      </c>
      <c r="H46" s="86">
        <f t="shared" ref="H46:H56" si="3">SUM(F46*G46/1000)</f>
        <v>2.6816613240000002</v>
      </c>
      <c r="I46" s="13">
        <f t="shared" ref="I46:I49" si="4">F46/2*G46</f>
        <v>1340.8306620000001</v>
      </c>
      <c r="J46" s="23"/>
      <c r="L46" s="19"/>
      <c r="M46" s="20"/>
      <c r="N46" s="21"/>
    </row>
    <row r="47" spans="1:14" ht="15.75" customHeight="1">
      <c r="A47" s="41">
        <v>13</v>
      </c>
      <c r="B47" s="82" t="s">
        <v>34</v>
      </c>
      <c r="C47" s="83" t="s">
        <v>102</v>
      </c>
      <c r="D47" s="82" t="s">
        <v>41</v>
      </c>
      <c r="E47" s="84">
        <v>19.8</v>
      </c>
      <c r="F47" s="85">
        <f>SUM(E47*2/1000)</f>
        <v>3.9600000000000003E-2</v>
      </c>
      <c r="G47" s="13">
        <v>4192.6400000000003</v>
      </c>
      <c r="H47" s="86">
        <f t="shared" si="3"/>
        <v>0.16602854400000003</v>
      </c>
      <c r="I47" s="13">
        <f t="shared" si="4"/>
        <v>83.01427200000002</v>
      </c>
      <c r="J47" s="23"/>
      <c r="L47" s="19"/>
      <c r="M47" s="20"/>
      <c r="N47" s="21"/>
    </row>
    <row r="48" spans="1:14" ht="15.75" customHeight="1">
      <c r="A48" s="41">
        <v>14</v>
      </c>
      <c r="B48" s="82" t="s">
        <v>35</v>
      </c>
      <c r="C48" s="83" t="s">
        <v>102</v>
      </c>
      <c r="D48" s="82" t="s">
        <v>41</v>
      </c>
      <c r="E48" s="84">
        <v>660.84</v>
      </c>
      <c r="F48" s="85">
        <f>SUM(E48*2/1000)</f>
        <v>1.32168</v>
      </c>
      <c r="G48" s="13">
        <v>1711.28</v>
      </c>
      <c r="H48" s="86">
        <f t="shared" si="3"/>
        <v>2.2617645503999997</v>
      </c>
      <c r="I48" s="13">
        <f t="shared" si="4"/>
        <v>1130.8822751999999</v>
      </c>
      <c r="J48" s="23"/>
      <c r="L48" s="19"/>
      <c r="M48" s="20"/>
      <c r="N48" s="21"/>
    </row>
    <row r="49" spans="1:14" ht="15.75" customHeight="1">
      <c r="A49" s="41">
        <v>15</v>
      </c>
      <c r="B49" s="82" t="s">
        <v>36</v>
      </c>
      <c r="C49" s="83" t="s">
        <v>102</v>
      </c>
      <c r="D49" s="82" t="s">
        <v>41</v>
      </c>
      <c r="E49" s="84">
        <v>1156.21</v>
      </c>
      <c r="F49" s="85">
        <f>SUM(E49*2/1000)</f>
        <v>2.3124199999999999</v>
      </c>
      <c r="G49" s="13">
        <v>1179.73</v>
      </c>
      <c r="H49" s="86">
        <f t="shared" si="3"/>
        <v>2.7280312466000001</v>
      </c>
      <c r="I49" s="13">
        <f t="shared" si="4"/>
        <v>1364.0156233</v>
      </c>
      <c r="J49" s="23"/>
      <c r="L49" s="19"/>
      <c r="M49" s="20"/>
      <c r="N49" s="21"/>
    </row>
    <row r="50" spans="1:14" ht="15.75" customHeight="1">
      <c r="A50" s="41">
        <v>16</v>
      </c>
      <c r="B50" s="82" t="s">
        <v>32</v>
      </c>
      <c r="C50" s="83" t="s">
        <v>33</v>
      </c>
      <c r="D50" s="82" t="s">
        <v>144</v>
      </c>
      <c r="E50" s="84">
        <v>17.2</v>
      </c>
      <c r="F50" s="85">
        <f>SUM(E50*2/100)</f>
        <v>0.34399999999999997</v>
      </c>
      <c r="G50" s="13">
        <v>90.61</v>
      </c>
      <c r="H50" s="86">
        <f t="shared" si="3"/>
        <v>3.1169839999999997E-2</v>
      </c>
      <c r="I50" s="13">
        <f>F50/2*G50</f>
        <v>15.584919999999999</v>
      </c>
      <c r="J50" s="23"/>
      <c r="L50" s="19"/>
      <c r="M50" s="20"/>
      <c r="N50" s="21"/>
    </row>
    <row r="51" spans="1:14" ht="15.75" customHeight="1">
      <c r="A51" s="41">
        <v>17</v>
      </c>
      <c r="B51" s="82" t="s">
        <v>55</v>
      </c>
      <c r="C51" s="83" t="s">
        <v>102</v>
      </c>
      <c r="D51" s="82" t="s">
        <v>146</v>
      </c>
      <c r="E51" s="84">
        <v>1839.1</v>
      </c>
      <c r="F51" s="85">
        <f>SUM(E51*5/1000)</f>
        <v>9.1954999999999991</v>
      </c>
      <c r="G51" s="13">
        <v>1711.28</v>
      </c>
      <c r="H51" s="86">
        <f t="shared" si="3"/>
        <v>15.736075239999998</v>
      </c>
      <c r="I51" s="13">
        <f>F51/5*G51</f>
        <v>3147.2150479999996</v>
      </c>
      <c r="J51" s="23"/>
      <c r="L51" s="19"/>
      <c r="M51" s="20"/>
      <c r="N51" s="21"/>
    </row>
    <row r="52" spans="1:14" ht="31.5" hidden="1" customHeight="1">
      <c r="A52" s="41">
        <v>25</v>
      </c>
      <c r="B52" s="82" t="s">
        <v>114</v>
      </c>
      <c r="C52" s="83" t="s">
        <v>102</v>
      </c>
      <c r="D52" s="82" t="s">
        <v>41</v>
      </c>
      <c r="E52" s="84">
        <f>E51</f>
        <v>1839.1</v>
      </c>
      <c r="F52" s="85">
        <f>SUM(E52*2/1000)</f>
        <v>3.6781999999999999</v>
      </c>
      <c r="G52" s="13">
        <v>1510.06</v>
      </c>
      <c r="H52" s="86">
        <f t="shared" si="3"/>
        <v>5.5543026919999994</v>
      </c>
      <c r="I52" s="13">
        <f>F52/2*G52</f>
        <v>2777.1513459999996</v>
      </c>
      <c r="J52" s="23"/>
      <c r="L52" s="19"/>
      <c r="M52" s="20"/>
      <c r="N52" s="21"/>
    </row>
    <row r="53" spans="1:14" ht="31.5" hidden="1" customHeight="1">
      <c r="A53" s="41">
        <v>26</v>
      </c>
      <c r="B53" s="82" t="s">
        <v>115</v>
      </c>
      <c r="C53" s="83" t="s">
        <v>37</v>
      </c>
      <c r="D53" s="82" t="s">
        <v>41</v>
      </c>
      <c r="E53" s="84">
        <v>9</v>
      </c>
      <c r="F53" s="85">
        <f>SUM(E53*2/100)</f>
        <v>0.18</v>
      </c>
      <c r="G53" s="13">
        <v>3850.4</v>
      </c>
      <c r="H53" s="86">
        <f t="shared" si="3"/>
        <v>0.69307200000000002</v>
      </c>
      <c r="I53" s="13">
        <f t="shared" ref="I53:I54" si="5">F53/2*G53</f>
        <v>346.536</v>
      </c>
      <c r="J53" s="23"/>
      <c r="L53" s="19"/>
      <c r="M53" s="20"/>
      <c r="N53" s="21"/>
    </row>
    <row r="54" spans="1:14" ht="15.75" hidden="1" customHeight="1">
      <c r="A54" s="41">
        <v>27</v>
      </c>
      <c r="B54" s="82" t="s">
        <v>38</v>
      </c>
      <c r="C54" s="83" t="s">
        <v>39</v>
      </c>
      <c r="D54" s="82" t="s">
        <v>41</v>
      </c>
      <c r="E54" s="84">
        <v>1</v>
      </c>
      <c r="F54" s="85">
        <v>0.02</v>
      </c>
      <c r="G54" s="13">
        <v>7033.13</v>
      </c>
      <c r="H54" s="86">
        <f t="shared" si="3"/>
        <v>0.1406626</v>
      </c>
      <c r="I54" s="13">
        <f t="shared" si="5"/>
        <v>70.331299999999999</v>
      </c>
      <c r="J54" s="23"/>
      <c r="L54" s="19"/>
      <c r="M54" s="20"/>
      <c r="N54" s="21"/>
    </row>
    <row r="55" spans="1:14" ht="15.75" hidden="1" customHeight="1">
      <c r="A55" s="41">
        <v>10</v>
      </c>
      <c r="B55" s="82" t="s">
        <v>145</v>
      </c>
      <c r="C55" s="83" t="s">
        <v>29</v>
      </c>
      <c r="D55" s="82" t="s">
        <v>70</v>
      </c>
      <c r="E55" s="84">
        <v>36</v>
      </c>
      <c r="F55" s="85">
        <f>E55*3</f>
        <v>108</v>
      </c>
      <c r="G55" s="13">
        <v>175.6</v>
      </c>
      <c r="H55" s="86">
        <f t="shared" si="3"/>
        <v>18.9648</v>
      </c>
      <c r="I55" s="13">
        <f>E55*G55</f>
        <v>6321.5999999999995</v>
      </c>
      <c r="J55" s="23"/>
      <c r="L55" s="19"/>
      <c r="M55" s="20"/>
      <c r="N55" s="21"/>
    </row>
    <row r="56" spans="1:14" ht="15.75" hidden="1" customHeight="1">
      <c r="A56" s="41">
        <v>11</v>
      </c>
      <c r="B56" s="82" t="s">
        <v>40</v>
      </c>
      <c r="C56" s="83" t="s">
        <v>29</v>
      </c>
      <c r="D56" s="82" t="s">
        <v>70</v>
      </c>
      <c r="E56" s="84">
        <v>36</v>
      </c>
      <c r="F56" s="85">
        <f>E56*3</f>
        <v>108</v>
      </c>
      <c r="G56" s="13">
        <v>81.73</v>
      </c>
      <c r="H56" s="86">
        <f t="shared" si="3"/>
        <v>8.8268400000000007</v>
      </c>
      <c r="I56" s="13">
        <f>E56*G56</f>
        <v>2942.28</v>
      </c>
      <c r="J56" s="23"/>
      <c r="L56" s="19"/>
      <c r="M56" s="20"/>
      <c r="N56" s="21"/>
    </row>
    <row r="57" spans="1:14" ht="15.75" customHeight="1">
      <c r="A57" s="144" t="s">
        <v>138</v>
      </c>
      <c r="B57" s="145"/>
      <c r="C57" s="145"/>
      <c r="D57" s="145"/>
      <c r="E57" s="145"/>
      <c r="F57" s="145"/>
      <c r="G57" s="145"/>
      <c r="H57" s="145"/>
      <c r="I57" s="146"/>
      <c r="J57" s="23"/>
      <c r="L57" s="19"/>
      <c r="M57" s="20"/>
      <c r="N57" s="21"/>
    </row>
    <row r="58" spans="1:14" ht="15.75" hidden="1" customHeight="1">
      <c r="A58" s="81"/>
      <c r="B58" s="48" t="s">
        <v>42</v>
      </c>
      <c r="C58" s="16"/>
      <c r="D58" s="15"/>
      <c r="E58" s="15"/>
      <c r="F58" s="15"/>
      <c r="G58" s="29"/>
      <c r="H58" s="29"/>
      <c r="I58" s="18"/>
      <c r="J58" s="23"/>
      <c r="L58" s="19"/>
      <c r="M58" s="20"/>
      <c r="N58" s="21"/>
    </row>
    <row r="59" spans="1:14" ht="31.5" hidden="1" customHeight="1">
      <c r="A59" s="41">
        <v>12</v>
      </c>
      <c r="B59" s="82" t="s">
        <v>117</v>
      </c>
      <c r="C59" s="83" t="s">
        <v>147</v>
      </c>
      <c r="D59" s="82" t="s">
        <v>71</v>
      </c>
      <c r="E59" s="84">
        <v>12.5</v>
      </c>
      <c r="F59" s="85">
        <f>E59*6/100</f>
        <v>0.75</v>
      </c>
      <c r="G59" s="91">
        <v>2306.62</v>
      </c>
      <c r="H59" s="86">
        <f>F59*G59/1000</f>
        <v>1.729965</v>
      </c>
      <c r="I59" s="13">
        <f>F59/6*G59</f>
        <v>288.32749999999999</v>
      </c>
      <c r="J59" s="23"/>
      <c r="L59" s="19"/>
      <c r="M59" s="20"/>
      <c r="N59" s="21"/>
    </row>
    <row r="60" spans="1:14" ht="15.75" hidden="1" customHeight="1">
      <c r="A60" s="41">
        <v>13</v>
      </c>
      <c r="B60" s="92" t="s">
        <v>84</v>
      </c>
      <c r="C60" s="93" t="s">
        <v>118</v>
      </c>
      <c r="D60" s="37" t="s">
        <v>66</v>
      </c>
      <c r="E60" s="94"/>
      <c r="F60" s="95">
        <v>2</v>
      </c>
      <c r="G60" s="96">
        <v>1501</v>
      </c>
      <c r="H60" s="86">
        <f>F60*G60/1000</f>
        <v>3.0019999999999998</v>
      </c>
      <c r="I60" s="13">
        <f>G60*0.5</f>
        <v>750.5</v>
      </c>
      <c r="J60" s="23"/>
      <c r="L60" s="19"/>
      <c r="M60" s="20"/>
      <c r="N60" s="21"/>
    </row>
    <row r="61" spans="1:14" ht="15.75" hidden="1" customHeight="1">
      <c r="A61" s="41"/>
      <c r="B61" s="75" t="s">
        <v>43</v>
      </c>
      <c r="C61" s="75"/>
      <c r="D61" s="75"/>
      <c r="E61" s="75"/>
      <c r="F61" s="76"/>
      <c r="G61" s="63"/>
      <c r="H61" s="63"/>
      <c r="I61" s="35"/>
      <c r="J61" s="23"/>
      <c r="L61" s="19"/>
      <c r="M61" s="20"/>
      <c r="N61" s="21"/>
    </row>
    <row r="62" spans="1:14" ht="15.75" hidden="1" customHeight="1">
      <c r="A62" s="41">
        <v>27</v>
      </c>
      <c r="B62" s="92" t="s">
        <v>44</v>
      </c>
      <c r="C62" s="93" t="s">
        <v>52</v>
      </c>
      <c r="D62" s="92" t="s">
        <v>53</v>
      </c>
      <c r="E62" s="94">
        <v>164</v>
      </c>
      <c r="F62" s="95">
        <f>E62/100</f>
        <v>1.64</v>
      </c>
      <c r="G62" s="96">
        <v>987.51</v>
      </c>
      <c r="H62" s="97">
        <f>G62*F62/1000</f>
        <v>1.6195164</v>
      </c>
      <c r="I62" s="13">
        <v>0</v>
      </c>
      <c r="J62" s="23"/>
      <c r="L62" s="19"/>
      <c r="M62" s="20"/>
      <c r="N62" s="21"/>
    </row>
    <row r="63" spans="1:14" ht="15.75" customHeight="1">
      <c r="A63" s="41"/>
      <c r="B63" s="75" t="s">
        <v>45</v>
      </c>
      <c r="C63" s="16"/>
      <c r="D63" s="37"/>
      <c r="E63" s="15"/>
      <c r="F63" s="77"/>
      <c r="G63" s="64"/>
      <c r="H63" s="63"/>
      <c r="I63" s="18"/>
      <c r="J63" s="23"/>
      <c r="L63" s="19"/>
    </row>
    <row r="64" spans="1:14" ht="15.75" hidden="1" customHeight="1">
      <c r="A64" s="41">
        <v>17</v>
      </c>
      <c r="B64" s="98" t="s">
        <v>46</v>
      </c>
      <c r="C64" s="16" t="s">
        <v>116</v>
      </c>
      <c r="D64" s="98" t="s">
        <v>66</v>
      </c>
      <c r="E64" s="18">
        <v>1</v>
      </c>
      <c r="F64" s="85">
        <f>E64</f>
        <v>1</v>
      </c>
      <c r="G64" s="13">
        <v>276.74</v>
      </c>
      <c r="H64" s="99">
        <f t="shared" ref="H64:H72" si="6">SUM(F64*G64/1000)</f>
        <v>0.27673999999999999</v>
      </c>
      <c r="I64" s="13">
        <v>0</v>
      </c>
    </row>
    <row r="65" spans="1:22" ht="15.75" hidden="1" customHeight="1">
      <c r="A65" s="29">
        <v>29</v>
      </c>
      <c r="B65" s="98" t="s">
        <v>47</v>
      </c>
      <c r="C65" s="16" t="s">
        <v>116</v>
      </c>
      <c r="D65" s="98" t="s">
        <v>66</v>
      </c>
      <c r="E65" s="18">
        <v>3</v>
      </c>
      <c r="F65" s="85">
        <v>3</v>
      </c>
      <c r="G65" s="13">
        <v>94.89</v>
      </c>
      <c r="H65" s="99">
        <f t="shared" si="6"/>
        <v>0.28467000000000003</v>
      </c>
      <c r="I65" s="13">
        <v>0</v>
      </c>
    </row>
    <row r="66" spans="1:22" ht="15.75" hidden="1" customHeight="1">
      <c r="A66" s="29">
        <v>28</v>
      </c>
      <c r="B66" s="98" t="s">
        <v>48</v>
      </c>
      <c r="C66" s="16" t="s">
        <v>119</v>
      </c>
      <c r="D66" s="98" t="s">
        <v>53</v>
      </c>
      <c r="E66" s="84">
        <v>7265</v>
      </c>
      <c r="F66" s="13">
        <f>SUM(E66/100)</f>
        <v>72.650000000000006</v>
      </c>
      <c r="G66" s="13">
        <v>263.99</v>
      </c>
      <c r="H66" s="99">
        <f t="shared" si="6"/>
        <v>19.178873500000002</v>
      </c>
      <c r="I66" s="13">
        <f>F66*G66</f>
        <v>19178.873500000002</v>
      </c>
    </row>
    <row r="67" spans="1:22" ht="15.75" hidden="1" customHeight="1">
      <c r="A67" s="29">
        <v>29</v>
      </c>
      <c r="B67" s="98" t="s">
        <v>49</v>
      </c>
      <c r="C67" s="16" t="s">
        <v>120</v>
      </c>
      <c r="D67" s="98" t="s">
        <v>53</v>
      </c>
      <c r="E67" s="84">
        <f>E66</f>
        <v>7265</v>
      </c>
      <c r="F67" s="13">
        <f>SUM(E67/1000)</f>
        <v>7.2649999999999997</v>
      </c>
      <c r="G67" s="13">
        <v>205.57</v>
      </c>
      <c r="H67" s="99">
        <f t="shared" si="6"/>
        <v>1.4934660500000001</v>
      </c>
      <c r="I67" s="13">
        <f t="shared" ref="I67:I70" si="7">F67*G67</f>
        <v>1493.46605</v>
      </c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9"/>
    </row>
    <row r="68" spans="1:22" ht="15.75" hidden="1" customHeight="1">
      <c r="A68" s="29">
        <v>30</v>
      </c>
      <c r="B68" s="98" t="s">
        <v>50</v>
      </c>
      <c r="C68" s="16" t="s">
        <v>76</v>
      </c>
      <c r="D68" s="98" t="s">
        <v>53</v>
      </c>
      <c r="E68" s="84">
        <v>1090</v>
      </c>
      <c r="F68" s="13">
        <f>SUM(E68/100)</f>
        <v>10.9</v>
      </c>
      <c r="G68" s="13">
        <v>2581.5300000000002</v>
      </c>
      <c r="H68" s="99">
        <f t="shared" si="6"/>
        <v>28.138677000000005</v>
      </c>
      <c r="I68" s="13">
        <f t="shared" si="7"/>
        <v>28138.677000000003</v>
      </c>
      <c r="J68" s="25"/>
      <c r="K68" s="25"/>
      <c r="L68" s="3"/>
      <c r="M68" s="3"/>
      <c r="N68" s="3"/>
      <c r="O68" s="3"/>
      <c r="P68" s="3"/>
      <c r="Q68" s="3"/>
      <c r="R68" s="3"/>
      <c r="S68" s="3"/>
      <c r="T68" s="3"/>
      <c r="U68" s="3"/>
    </row>
    <row r="69" spans="1:22" ht="15.75" hidden="1" customHeight="1">
      <c r="A69" s="29">
        <v>31</v>
      </c>
      <c r="B69" s="100" t="s">
        <v>121</v>
      </c>
      <c r="C69" s="16" t="s">
        <v>31</v>
      </c>
      <c r="D69" s="98"/>
      <c r="E69" s="84">
        <v>7.6</v>
      </c>
      <c r="F69" s="13">
        <f>SUM(E69)</f>
        <v>7.6</v>
      </c>
      <c r="G69" s="13">
        <v>47.45</v>
      </c>
      <c r="H69" s="99">
        <f t="shared" si="6"/>
        <v>0.36062</v>
      </c>
      <c r="I69" s="13">
        <f t="shared" si="7"/>
        <v>360.62</v>
      </c>
      <c r="J69" s="3"/>
      <c r="K69" s="3"/>
      <c r="L69" s="3"/>
      <c r="M69" s="3"/>
      <c r="N69" s="3"/>
      <c r="O69" s="3"/>
      <c r="P69" s="3"/>
      <c r="Q69" s="3"/>
      <c r="S69" s="3"/>
      <c r="T69" s="3"/>
      <c r="U69" s="3"/>
    </row>
    <row r="70" spans="1:22" ht="15.75" hidden="1" customHeight="1">
      <c r="A70" s="29">
        <v>32</v>
      </c>
      <c r="B70" s="100" t="s">
        <v>148</v>
      </c>
      <c r="C70" s="16" t="s">
        <v>31</v>
      </c>
      <c r="D70" s="98"/>
      <c r="E70" s="84">
        <f>E69</f>
        <v>7.6</v>
      </c>
      <c r="F70" s="13">
        <f>SUM(E70)</f>
        <v>7.6</v>
      </c>
      <c r="G70" s="13">
        <v>44.27</v>
      </c>
      <c r="H70" s="99">
        <f t="shared" si="6"/>
        <v>0.33645199999999997</v>
      </c>
      <c r="I70" s="13">
        <f t="shared" si="7"/>
        <v>336.452</v>
      </c>
      <c r="J70" s="5"/>
      <c r="K70" s="5"/>
      <c r="L70" s="5"/>
      <c r="M70" s="5"/>
      <c r="N70" s="5"/>
      <c r="O70" s="5"/>
      <c r="P70" s="5"/>
      <c r="Q70" s="5"/>
      <c r="R70" s="136"/>
      <c r="S70" s="136"/>
      <c r="T70" s="136"/>
      <c r="U70" s="136"/>
    </row>
    <row r="71" spans="1:22" ht="15.75" customHeight="1">
      <c r="A71" s="29">
        <v>18</v>
      </c>
      <c r="B71" s="98" t="s">
        <v>56</v>
      </c>
      <c r="C71" s="16" t="s">
        <v>57</v>
      </c>
      <c r="D71" s="98" t="s">
        <v>53</v>
      </c>
      <c r="E71" s="18">
        <v>2</v>
      </c>
      <c r="F71" s="85">
        <f>SUM(E71)</f>
        <v>2</v>
      </c>
      <c r="G71" s="13">
        <v>62.07</v>
      </c>
      <c r="H71" s="99">
        <f t="shared" si="6"/>
        <v>0.12414</v>
      </c>
      <c r="I71" s="13">
        <f>F71*G71</f>
        <v>124.14</v>
      </c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</row>
    <row r="72" spans="1:22" ht="15.75" customHeight="1">
      <c r="A72" s="29">
        <v>19</v>
      </c>
      <c r="B72" s="98" t="s">
        <v>85</v>
      </c>
      <c r="C72" s="41" t="s">
        <v>131</v>
      </c>
      <c r="D72" s="37" t="s">
        <v>66</v>
      </c>
      <c r="E72" s="17">
        <v>1839.1</v>
      </c>
      <c r="F72" s="101">
        <f>SUM(E72*12)</f>
        <v>22069.199999999997</v>
      </c>
      <c r="G72" s="13">
        <v>2.16</v>
      </c>
      <c r="H72" s="99">
        <f t="shared" si="6"/>
        <v>47.669471999999992</v>
      </c>
      <c r="I72" s="13">
        <f>F72/12*G72</f>
        <v>3972.4559999999997</v>
      </c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</row>
    <row r="73" spans="1:22" ht="15.75" hidden="1" customHeight="1">
      <c r="A73" s="29"/>
      <c r="B73" s="49" t="s">
        <v>72</v>
      </c>
      <c r="C73" s="49"/>
      <c r="D73" s="49"/>
      <c r="E73" s="18"/>
      <c r="F73" s="18"/>
      <c r="G73" s="29"/>
      <c r="H73" s="29"/>
      <c r="I73" s="18"/>
    </row>
    <row r="74" spans="1:22" ht="15.75" hidden="1" customHeight="1">
      <c r="A74" s="29"/>
      <c r="B74" s="98" t="s">
        <v>123</v>
      </c>
      <c r="C74" s="16" t="s">
        <v>124</v>
      </c>
      <c r="D74" s="98" t="s">
        <v>66</v>
      </c>
      <c r="E74" s="18">
        <v>1</v>
      </c>
      <c r="F74" s="13">
        <f>E74</f>
        <v>1</v>
      </c>
      <c r="G74" s="13">
        <v>976.4</v>
      </c>
      <c r="H74" s="99">
        <f t="shared" ref="H74:H78" si="8">SUM(F74*G74/1000)</f>
        <v>0.97639999999999993</v>
      </c>
      <c r="I74" s="13">
        <v>0</v>
      </c>
    </row>
    <row r="75" spans="1:22" ht="15.75" hidden="1" customHeight="1">
      <c r="A75" s="29"/>
      <c r="B75" s="98" t="s">
        <v>125</v>
      </c>
      <c r="C75" s="16" t="s">
        <v>126</v>
      </c>
      <c r="D75" s="98"/>
      <c r="E75" s="18">
        <v>1</v>
      </c>
      <c r="F75" s="13">
        <v>1</v>
      </c>
      <c r="G75" s="13">
        <v>650</v>
      </c>
      <c r="H75" s="99">
        <f t="shared" si="8"/>
        <v>0.65</v>
      </c>
      <c r="I75" s="13">
        <v>0</v>
      </c>
    </row>
    <row r="76" spans="1:22" ht="15.75" hidden="1" customHeight="1">
      <c r="A76" s="29"/>
      <c r="B76" s="98" t="s">
        <v>73</v>
      </c>
      <c r="C76" s="16" t="s">
        <v>149</v>
      </c>
      <c r="D76" s="98" t="s">
        <v>66</v>
      </c>
      <c r="E76" s="18">
        <v>3</v>
      </c>
      <c r="F76" s="13">
        <f>E76/10</f>
        <v>0.3</v>
      </c>
      <c r="G76" s="13">
        <v>624.16999999999996</v>
      </c>
      <c r="H76" s="99">
        <f t="shared" si="8"/>
        <v>0.18725099999999997</v>
      </c>
      <c r="I76" s="13">
        <v>0</v>
      </c>
    </row>
    <row r="77" spans="1:22" ht="15.75" hidden="1" customHeight="1">
      <c r="A77" s="29"/>
      <c r="B77" s="98" t="s">
        <v>74</v>
      </c>
      <c r="C77" s="16" t="s">
        <v>29</v>
      </c>
      <c r="D77" s="98" t="s">
        <v>66</v>
      </c>
      <c r="E77" s="18">
        <v>1</v>
      </c>
      <c r="F77" s="13">
        <v>1</v>
      </c>
      <c r="G77" s="13">
        <v>1061.4100000000001</v>
      </c>
      <c r="H77" s="99">
        <f t="shared" si="8"/>
        <v>1.0614100000000002</v>
      </c>
      <c r="I77" s="13">
        <v>0</v>
      </c>
    </row>
    <row r="78" spans="1:22" ht="15.75" hidden="1" customHeight="1">
      <c r="A78" s="29">
        <v>17</v>
      </c>
      <c r="B78" s="98" t="s">
        <v>86</v>
      </c>
      <c r="C78" s="16" t="s">
        <v>29</v>
      </c>
      <c r="D78" s="98" t="s">
        <v>66</v>
      </c>
      <c r="E78" s="18">
        <v>1</v>
      </c>
      <c r="F78" s="85">
        <f>SUM(E78)</f>
        <v>1</v>
      </c>
      <c r="G78" s="13">
        <v>446.12</v>
      </c>
      <c r="H78" s="99">
        <f t="shared" si="8"/>
        <v>0.44612000000000002</v>
      </c>
      <c r="I78" s="13">
        <f>G78</f>
        <v>446.12</v>
      </c>
    </row>
    <row r="79" spans="1:22" ht="15.75" hidden="1" customHeight="1">
      <c r="A79" s="29"/>
      <c r="B79" s="50" t="s">
        <v>75</v>
      </c>
      <c r="C79" s="38"/>
      <c r="D79" s="29"/>
      <c r="E79" s="18"/>
      <c r="F79" s="18"/>
      <c r="G79" s="36"/>
      <c r="H79" s="36"/>
      <c r="I79" s="18"/>
    </row>
    <row r="80" spans="1:22" ht="15.75" hidden="1" customHeight="1">
      <c r="A80" s="29">
        <v>39</v>
      </c>
      <c r="B80" s="39" t="s">
        <v>127</v>
      </c>
      <c r="C80" s="16" t="s">
        <v>76</v>
      </c>
      <c r="D80" s="98"/>
      <c r="E80" s="18"/>
      <c r="F80" s="13">
        <v>1.3</v>
      </c>
      <c r="G80" s="13">
        <v>3433.68</v>
      </c>
      <c r="H80" s="99">
        <f t="shared" ref="H80" si="9">SUM(F80*G80/1000)</f>
        <v>4.4637839999999995</v>
      </c>
      <c r="I80" s="13">
        <v>0</v>
      </c>
    </row>
    <row r="81" spans="1:9" ht="15.75" hidden="1" customHeight="1">
      <c r="A81" s="81"/>
      <c r="B81" s="75" t="s">
        <v>122</v>
      </c>
      <c r="C81" s="75"/>
      <c r="D81" s="75"/>
      <c r="E81" s="75"/>
      <c r="F81" s="75"/>
      <c r="G81" s="75"/>
      <c r="H81" s="75"/>
      <c r="I81" s="18"/>
    </row>
    <row r="82" spans="1:9" ht="15.75" hidden="1" customHeight="1">
      <c r="A82" s="29">
        <v>15</v>
      </c>
      <c r="B82" s="82" t="s">
        <v>89</v>
      </c>
      <c r="C82" s="16"/>
      <c r="D82" s="98"/>
      <c r="E82" s="102"/>
      <c r="F82" s="13">
        <v>1</v>
      </c>
      <c r="G82" s="13">
        <v>13707.8</v>
      </c>
      <c r="H82" s="99">
        <f>G82*F82/1000</f>
        <v>13.707799999999999</v>
      </c>
      <c r="I82" s="13">
        <f>G82</f>
        <v>13707.8</v>
      </c>
    </row>
    <row r="83" spans="1:9" ht="15.75" customHeight="1">
      <c r="A83" s="129" t="s">
        <v>139</v>
      </c>
      <c r="B83" s="130"/>
      <c r="C83" s="130"/>
      <c r="D83" s="130"/>
      <c r="E83" s="130"/>
      <c r="F83" s="130"/>
      <c r="G83" s="130"/>
      <c r="H83" s="130"/>
      <c r="I83" s="131"/>
    </row>
    <row r="84" spans="1:9" ht="15.75" customHeight="1">
      <c r="A84" s="29">
        <v>20</v>
      </c>
      <c r="B84" s="82" t="s">
        <v>128</v>
      </c>
      <c r="C84" s="16" t="s">
        <v>54</v>
      </c>
      <c r="D84" s="104" t="s">
        <v>150</v>
      </c>
      <c r="E84" s="13">
        <v>1839.1</v>
      </c>
      <c r="F84" s="13">
        <f>SUM(E84*12)</f>
        <v>22069.199999999997</v>
      </c>
      <c r="G84" s="13">
        <v>2.95</v>
      </c>
      <c r="H84" s="99">
        <f>SUM(F84*G84/1000)</f>
        <v>65.104139999999987</v>
      </c>
      <c r="I84" s="13">
        <f>F84/12*G84</f>
        <v>5425.3449999999993</v>
      </c>
    </row>
    <row r="85" spans="1:9" ht="31.5" customHeight="1">
      <c r="A85" s="29">
        <v>21</v>
      </c>
      <c r="B85" s="98" t="s">
        <v>77</v>
      </c>
      <c r="C85" s="16"/>
      <c r="D85" s="104" t="s">
        <v>150</v>
      </c>
      <c r="E85" s="84">
        <v>1839.1</v>
      </c>
      <c r="F85" s="13">
        <f>E85*12</f>
        <v>22069.199999999997</v>
      </c>
      <c r="G85" s="13">
        <v>3.05</v>
      </c>
      <c r="H85" s="99">
        <f>F85*G85/1000</f>
        <v>67.311059999999983</v>
      </c>
      <c r="I85" s="13">
        <f>F85/12*G85</f>
        <v>5609.2549999999983</v>
      </c>
    </row>
    <row r="86" spans="1:9" ht="31.5" customHeight="1">
      <c r="A86" s="29">
        <v>22</v>
      </c>
      <c r="B86" s="98" t="s">
        <v>132</v>
      </c>
      <c r="C86" s="16" t="s">
        <v>133</v>
      </c>
      <c r="D86" s="104" t="s">
        <v>150</v>
      </c>
      <c r="E86" s="102"/>
      <c r="F86" s="13"/>
      <c r="G86" s="13"/>
      <c r="H86" s="99">
        <v>59.113</v>
      </c>
      <c r="I86" s="13">
        <v>4926.08</v>
      </c>
    </row>
    <row r="87" spans="1:9" ht="15.75" customHeight="1">
      <c r="A87" s="81"/>
      <c r="B87" s="40" t="s">
        <v>79</v>
      </c>
      <c r="C87" s="41"/>
      <c r="D87" s="15"/>
      <c r="E87" s="15"/>
      <c r="F87" s="15"/>
      <c r="G87" s="18"/>
      <c r="H87" s="18"/>
      <c r="I87" s="31">
        <f>SUM(I16+I17+I18+I20+I21+I27+I28+I31+I32+I34+I35+I46+I47+I48+I49+I50+I51+I71+I72+I84+I85+I86)</f>
        <v>43152.648299611108</v>
      </c>
    </row>
    <row r="88" spans="1:9" ht="15.75" customHeight="1">
      <c r="A88" s="132" t="s">
        <v>59</v>
      </c>
      <c r="B88" s="133"/>
      <c r="C88" s="133"/>
      <c r="D88" s="133"/>
      <c r="E88" s="133"/>
      <c r="F88" s="133"/>
      <c r="G88" s="133"/>
      <c r="H88" s="133"/>
      <c r="I88" s="134"/>
    </row>
    <row r="89" spans="1:9" ht="15.75" customHeight="1">
      <c r="A89" s="42">
        <v>23</v>
      </c>
      <c r="B89" s="37" t="s">
        <v>166</v>
      </c>
      <c r="C89" s="38" t="s">
        <v>167</v>
      </c>
      <c r="D89" s="52"/>
      <c r="E89" s="13"/>
      <c r="F89" s="13">
        <v>2</v>
      </c>
      <c r="G89" s="36">
        <v>1.2</v>
      </c>
      <c r="H89" s="99">
        <f t="shared" ref="H89" si="10">G89*F89/1000</f>
        <v>2.3999999999999998E-3</v>
      </c>
      <c r="I89" s="108">
        <f>G89*12</f>
        <v>14.399999999999999</v>
      </c>
    </row>
    <row r="90" spans="1:9" ht="15.75" customHeight="1">
      <c r="A90" s="42">
        <v>24</v>
      </c>
      <c r="B90" s="128" t="s">
        <v>206</v>
      </c>
      <c r="C90" s="66" t="s">
        <v>207</v>
      </c>
      <c r="D90" s="42"/>
      <c r="E90" s="42"/>
      <c r="F90" s="42"/>
      <c r="G90" s="125">
        <v>9940.24</v>
      </c>
      <c r="H90" s="42"/>
      <c r="I90" s="42">
        <f>G90*0.2</f>
        <v>1988.048</v>
      </c>
    </row>
    <row r="91" spans="1:9" ht="15.75" customHeight="1">
      <c r="A91" s="42">
        <v>25</v>
      </c>
      <c r="B91" s="128" t="s">
        <v>208</v>
      </c>
      <c r="C91" s="66" t="s">
        <v>209</v>
      </c>
      <c r="D91" s="42"/>
      <c r="E91" s="42"/>
      <c r="F91" s="42"/>
      <c r="G91" s="125">
        <v>1765</v>
      </c>
      <c r="H91" s="42"/>
      <c r="I91" s="42">
        <f>G91*1</f>
        <v>1765</v>
      </c>
    </row>
    <row r="92" spans="1:9" ht="15.75" customHeight="1">
      <c r="A92" s="42">
        <v>26</v>
      </c>
      <c r="B92" s="128" t="s">
        <v>210</v>
      </c>
      <c r="C92" s="66" t="s">
        <v>211</v>
      </c>
      <c r="D92" s="42"/>
      <c r="E92" s="42"/>
      <c r="F92" s="42"/>
      <c r="G92" s="125">
        <v>131.61000000000001</v>
      </c>
      <c r="H92" s="42"/>
      <c r="I92" s="42">
        <f>G92*18</f>
        <v>2368.9800000000005</v>
      </c>
    </row>
    <row r="93" spans="1:9" ht="15.75" customHeight="1">
      <c r="A93" s="29"/>
      <c r="B93" s="46" t="s">
        <v>51</v>
      </c>
      <c r="C93" s="42"/>
      <c r="D93" s="54"/>
      <c r="E93" s="42">
        <v>1</v>
      </c>
      <c r="F93" s="42"/>
      <c r="G93" s="42"/>
      <c r="H93" s="42"/>
      <c r="I93" s="31">
        <f>SUM(I89:I92)</f>
        <v>6136.4280000000008</v>
      </c>
    </row>
    <row r="94" spans="1:9" ht="15.75" customHeight="1">
      <c r="A94" s="29"/>
      <c r="B94" s="52" t="s">
        <v>78</v>
      </c>
      <c r="C94" s="15"/>
      <c r="D94" s="15"/>
      <c r="E94" s="43"/>
      <c r="F94" s="43"/>
      <c r="G94" s="44"/>
      <c r="H94" s="44"/>
      <c r="I94" s="17">
        <v>0</v>
      </c>
    </row>
    <row r="95" spans="1:9" ht="15.75" customHeight="1">
      <c r="A95" s="55"/>
      <c r="B95" s="47" t="s">
        <v>140</v>
      </c>
      <c r="C95" s="34"/>
      <c r="D95" s="34"/>
      <c r="E95" s="34"/>
      <c r="F95" s="34"/>
      <c r="G95" s="34"/>
      <c r="H95" s="34"/>
      <c r="I95" s="45">
        <f>I87+I93</f>
        <v>49289.076299611108</v>
      </c>
    </row>
    <row r="96" spans="1:9" ht="15.75">
      <c r="A96" s="135" t="s">
        <v>212</v>
      </c>
      <c r="B96" s="135"/>
      <c r="C96" s="135"/>
      <c r="D96" s="135"/>
      <c r="E96" s="135"/>
      <c r="F96" s="135"/>
      <c r="G96" s="135"/>
      <c r="H96" s="135"/>
      <c r="I96" s="135"/>
    </row>
    <row r="97" spans="1:9" ht="15.75">
      <c r="A97" s="61"/>
      <c r="B97" s="151" t="s">
        <v>213</v>
      </c>
      <c r="C97" s="151"/>
      <c r="D97" s="151"/>
      <c r="E97" s="151"/>
      <c r="F97" s="151"/>
      <c r="G97" s="151"/>
      <c r="H97" s="80"/>
      <c r="I97" s="3"/>
    </row>
    <row r="98" spans="1:9">
      <c r="A98" s="71"/>
      <c r="B98" s="147" t="s">
        <v>6</v>
      </c>
      <c r="C98" s="147"/>
      <c r="D98" s="147"/>
      <c r="E98" s="147"/>
      <c r="F98" s="147"/>
      <c r="G98" s="147"/>
      <c r="H98" s="24"/>
      <c r="I98" s="5"/>
    </row>
    <row r="99" spans="1:9">
      <c r="A99" s="10"/>
      <c r="B99" s="10"/>
      <c r="C99" s="10"/>
      <c r="D99" s="10"/>
      <c r="E99" s="10"/>
      <c r="F99" s="10"/>
      <c r="G99" s="10"/>
      <c r="H99" s="10"/>
      <c r="I99" s="10"/>
    </row>
    <row r="100" spans="1:9" ht="15.75">
      <c r="A100" s="155" t="s">
        <v>7</v>
      </c>
      <c r="B100" s="155"/>
      <c r="C100" s="155"/>
      <c r="D100" s="155"/>
      <c r="E100" s="155"/>
      <c r="F100" s="155"/>
      <c r="G100" s="155"/>
      <c r="H100" s="155"/>
      <c r="I100" s="155"/>
    </row>
    <row r="101" spans="1:9" ht="15.75">
      <c r="A101" s="155" t="s">
        <v>8</v>
      </c>
      <c r="B101" s="155"/>
      <c r="C101" s="155"/>
      <c r="D101" s="155"/>
      <c r="E101" s="155"/>
      <c r="F101" s="155"/>
      <c r="G101" s="155"/>
      <c r="H101" s="155"/>
      <c r="I101" s="155"/>
    </row>
    <row r="102" spans="1:9" ht="15.75">
      <c r="A102" s="152" t="s">
        <v>60</v>
      </c>
      <c r="B102" s="152"/>
      <c r="C102" s="152"/>
      <c r="D102" s="152"/>
      <c r="E102" s="152"/>
      <c r="F102" s="152"/>
      <c r="G102" s="152"/>
      <c r="H102" s="152"/>
      <c r="I102" s="152"/>
    </row>
    <row r="103" spans="1:9" ht="15.75">
      <c r="A103" s="11"/>
    </row>
    <row r="104" spans="1:9" ht="15.75">
      <c r="A104" s="153" t="s">
        <v>9</v>
      </c>
      <c r="B104" s="153"/>
      <c r="C104" s="153"/>
      <c r="D104" s="153"/>
      <c r="E104" s="153"/>
      <c r="F104" s="153"/>
      <c r="G104" s="153"/>
      <c r="H104" s="153"/>
      <c r="I104" s="153"/>
    </row>
    <row r="105" spans="1:9" ht="15.75">
      <c r="A105" s="4"/>
    </row>
    <row r="106" spans="1:9" ht="15.75">
      <c r="B106" s="70" t="s">
        <v>10</v>
      </c>
      <c r="C106" s="154" t="s">
        <v>87</v>
      </c>
      <c r="D106" s="154"/>
      <c r="E106" s="154"/>
      <c r="F106" s="78"/>
      <c r="I106" s="73"/>
    </row>
    <row r="107" spans="1:9">
      <c r="A107" s="71"/>
      <c r="C107" s="147" t="s">
        <v>11</v>
      </c>
      <c r="D107" s="147"/>
      <c r="E107" s="147"/>
      <c r="F107" s="24"/>
      <c r="I107" s="72" t="s">
        <v>12</v>
      </c>
    </row>
    <row r="108" spans="1:9" ht="15.75">
      <c r="A108" s="25"/>
      <c r="C108" s="12"/>
      <c r="D108" s="12"/>
      <c r="G108" s="12"/>
      <c r="H108" s="12"/>
    </row>
    <row r="109" spans="1:9" ht="15.75">
      <c r="B109" s="70" t="s">
        <v>13</v>
      </c>
      <c r="C109" s="149"/>
      <c r="D109" s="149"/>
      <c r="E109" s="149"/>
      <c r="F109" s="79"/>
      <c r="I109" s="73"/>
    </row>
    <row r="110" spans="1:9">
      <c r="A110" s="71"/>
      <c r="C110" s="136" t="s">
        <v>11</v>
      </c>
      <c r="D110" s="136"/>
      <c r="E110" s="136"/>
      <c r="F110" s="71"/>
      <c r="I110" s="72" t="s">
        <v>12</v>
      </c>
    </row>
    <row r="111" spans="1:9" ht="15.75">
      <c r="A111" s="4" t="s">
        <v>14</v>
      </c>
    </row>
    <row r="112" spans="1:9">
      <c r="A112" s="150" t="s">
        <v>15</v>
      </c>
      <c r="B112" s="150"/>
      <c r="C112" s="150"/>
      <c r="D112" s="150"/>
      <c r="E112" s="150"/>
      <c r="F112" s="150"/>
      <c r="G112" s="150"/>
      <c r="H112" s="150"/>
      <c r="I112" s="150"/>
    </row>
    <row r="113" spans="1:9" ht="45" customHeight="1">
      <c r="A113" s="148" t="s">
        <v>16</v>
      </c>
      <c r="B113" s="148"/>
      <c r="C113" s="148"/>
      <c r="D113" s="148"/>
      <c r="E113" s="148"/>
      <c r="F113" s="148"/>
      <c r="G113" s="148"/>
      <c r="H113" s="148"/>
      <c r="I113" s="148"/>
    </row>
    <row r="114" spans="1:9" ht="30" customHeight="1">
      <c r="A114" s="148" t="s">
        <v>17</v>
      </c>
      <c r="B114" s="148"/>
      <c r="C114" s="148"/>
      <c r="D114" s="148"/>
      <c r="E114" s="148"/>
      <c r="F114" s="148"/>
      <c r="G114" s="148"/>
      <c r="H114" s="148"/>
      <c r="I114" s="148"/>
    </row>
    <row r="115" spans="1:9" ht="30" customHeight="1">
      <c r="A115" s="148" t="s">
        <v>21</v>
      </c>
      <c r="B115" s="148"/>
      <c r="C115" s="148"/>
      <c r="D115" s="148"/>
      <c r="E115" s="148"/>
      <c r="F115" s="148"/>
      <c r="G115" s="148"/>
      <c r="H115" s="148"/>
      <c r="I115" s="148"/>
    </row>
    <row r="116" spans="1:9" ht="15.75">
      <c r="A116" s="148" t="s">
        <v>20</v>
      </c>
      <c r="B116" s="148"/>
      <c r="C116" s="148"/>
      <c r="D116" s="148"/>
      <c r="E116" s="148"/>
      <c r="F116" s="148"/>
      <c r="G116" s="148"/>
      <c r="H116" s="148"/>
      <c r="I116" s="148"/>
    </row>
  </sheetData>
  <autoFilter ref="I12:I65"/>
  <mergeCells count="29">
    <mergeCell ref="A14:I14"/>
    <mergeCell ref="A15:I15"/>
    <mergeCell ref="A29:I29"/>
    <mergeCell ref="A45:I45"/>
    <mergeCell ref="A57:I57"/>
    <mergeCell ref="A3:I3"/>
    <mergeCell ref="A4:I4"/>
    <mergeCell ref="A5:I5"/>
    <mergeCell ref="A8:I8"/>
    <mergeCell ref="A10:I10"/>
    <mergeCell ref="R70:U70"/>
    <mergeCell ref="C110:E110"/>
    <mergeCell ref="A88:I88"/>
    <mergeCell ref="A96:I96"/>
    <mergeCell ref="B97:G97"/>
    <mergeCell ref="B98:G98"/>
    <mergeCell ref="A100:I100"/>
    <mergeCell ref="A101:I101"/>
    <mergeCell ref="A102:I102"/>
    <mergeCell ref="A104:I104"/>
    <mergeCell ref="C106:E106"/>
    <mergeCell ref="C107:E107"/>
    <mergeCell ref="C109:E109"/>
    <mergeCell ref="A83:I83"/>
    <mergeCell ref="A112:I112"/>
    <mergeCell ref="A113:I113"/>
    <mergeCell ref="A114:I114"/>
    <mergeCell ref="A115:I115"/>
    <mergeCell ref="A116:I116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12</vt:i4>
      </vt:variant>
    </vt:vector>
  </HeadingPairs>
  <TitlesOfParts>
    <vt:vector size="24" baseType="lpstr">
      <vt:lpstr>01.18</vt:lpstr>
      <vt:lpstr>02.18</vt:lpstr>
      <vt:lpstr>03.18</vt:lpstr>
      <vt:lpstr>04.18</vt:lpstr>
      <vt:lpstr>05.18</vt:lpstr>
      <vt:lpstr>06.18</vt:lpstr>
      <vt:lpstr>07.18</vt:lpstr>
      <vt:lpstr>08.18</vt:lpstr>
      <vt:lpstr>09.18</vt:lpstr>
      <vt:lpstr>10.18</vt:lpstr>
      <vt:lpstr>11.18</vt:lpstr>
      <vt:lpstr>12.18</vt:lpstr>
      <vt:lpstr>'01.18'!Область_печати</vt:lpstr>
      <vt:lpstr>'02.18'!Область_печати</vt:lpstr>
      <vt:lpstr>'03.18'!Область_печати</vt:lpstr>
      <vt:lpstr>'04.18'!Область_печати</vt:lpstr>
      <vt:lpstr>'05.18'!Область_печати</vt:lpstr>
      <vt:lpstr>'06.18'!Область_печати</vt:lpstr>
      <vt:lpstr>'07.18'!Область_печати</vt:lpstr>
      <vt:lpstr>'08.18'!Область_печати</vt:lpstr>
      <vt:lpstr>'09.18'!Область_печати</vt:lpstr>
      <vt:lpstr>'10.18'!Область_печати</vt:lpstr>
      <vt:lpstr>'11.18'!Область_печати</vt:lpstr>
      <vt:lpstr>'12.18'!Область_печати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2017-12-14T06:30:55Z</cp:lastPrinted>
  <dcterms:created xsi:type="dcterms:W3CDTF">2016-03-25T08:33:47Z</dcterms:created>
  <dcterms:modified xsi:type="dcterms:W3CDTF">2019-01-14T12:07:30Z</dcterms:modified>
</cp:coreProperties>
</file>