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540" windowWidth="1539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8" r:id="rId11"/>
    <sheet name="12.16" sheetId="16" r:id="rId12"/>
  </sheets>
  <definedNames>
    <definedName name="_xlnm._FilterDatabase" localSheetId="10" hidden="1">'11.16'!$G$12:$G$82</definedName>
    <definedName name="_xlnm.Print_Titles" localSheetId="4">'05.16'!$12:$13</definedName>
    <definedName name="_xlnm.Print_Area" localSheetId="0">'01.16'!$A$1:$I$144</definedName>
    <definedName name="_xlnm.Print_Area" localSheetId="1">'02.16'!$A$1:$I$130</definedName>
    <definedName name="_xlnm.Print_Area" localSheetId="2">'03.16'!$A$1:$I$130</definedName>
    <definedName name="_xlnm.Print_Area" localSheetId="3">'04.16'!$A$1:$I$128</definedName>
    <definedName name="_xlnm.Print_Area" localSheetId="4">'05.16'!$A$1:$I$131</definedName>
    <definedName name="_xlnm.Print_Area" localSheetId="5">'06.16'!$A$1:$I$142</definedName>
    <definedName name="_xlnm.Print_Area" localSheetId="6">'07.16'!$A$1:$I$129</definedName>
    <definedName name="_xlnm.Print_Area" localSheetId="7">'08.16'!$A$1:$I$129</definedName>
    <definedName name="_xlnm.Print_Area" localSheetId="8">'09.16'!$A$1:$I$131</definedName>
    <definedName name="_xlnm.Print_Area" localSheetId="9">'10.16'!$A$1:$I$133</definedName>
    <definedName name="_xlnm.Print_Area" localSheetId="10">'11.16'!$A$1:$G$130</definedName>
    <definedName name="_xlnm.Print_Area" localSheetId="11">'12.16'!$A$1:$G$128</definedName>
  </definedNames>
  <calcPr calcId="124519"/>
</workbook>
</file>

<file path=xl/calcChain.xml><?xml version="1.0" encoding="utf-8"?>
<calcChain xmlns="http://schemas.openxmlformats.org/spreadsheetml/2006/main">
  <c r="I109" i="26"/>
  <c r="I108"/>
  <c r="I107"/>
  <c r="I106"/>
  <c r="I105"/>
  <c r="I89"/>
  <c r="I79"/>
  <c r="I65"/>
  <c r="I55"/>
  <c r="H109"/>
  <c r="F108"/>
  <c r="H108" s="1"/>
  <c r="H107"/>
  <c r="H106"/>
  <c r="H105"/>
  <c r="I104"/>
  <c r="H104"/>
  <c r="I110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I35" s="1"/>
  <c r="I34"/>
  <c r="H34"/>
  <c r="F33"/>
  <c r="H33" s="1"/>
  <c r="F32"/>
  <c r="H32" s="1"/>
  <c r="F31"/>
  <c r="I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7" i="25"/>
  <c r="I106"/>
  <c r="I105"/>
  <c r="I104"/>
  <c r="I87"/>
  <c r="H107"/>
  <c r="H106"/>
  <c r="H105"/>
  <c r="H104"/>
  <c r="I108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I35" s="1"/>
  <c r="I34"/>
  <c r="H34"/>
  <c r="F33"/>
  <c r="H33" s="1"/>
  <c r="F32"/>
  <c r="H32" s="1"/>
  <c r="F31"/>
  <c r="I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5" i="24"/>
  <c r="I104"/>
  <c r="I83"/>
  <c r="I77"/>
  <c r="H105"/>
  <c r="H104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I35" s="1"/>
  <c r="I34"/>
  <c r="H34"/>
  <c r="F33"/>
  <c r="H33" s="1"/>
  <c r="F32"/>
  <c r="H32" s="1"/>
  <c r="F31"/>
  <c r="I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5" i="23"/>
  <c r="I35" i="17"/>
  <c r="I34"/>
  <c r="I34" i="23"/>
  <c r="F105"/>
  <c r="H105" s="1"/>
  <c r="I104"/>
  <c r="H104"/>
  <c r="I106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I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I35" s="1"/>
  <c r="H34"/>
  <c r="F33"/>
  <c r="H33" s="1"/>
  <c r="F32"/>
  <c r="H32" s="1"/>
  <c r="F31"/>
  <c r="H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32" i="22"/>
  <c r="I33"/>
  <c r="I34"/>
  <c r="I35"/>
  <c r="I31"/>
  <c r="I102" s="1"/>
  <c r="I89"/>
  <c r="H118"/>
  <c r="F117"/>
  <c r="H117" s="1"/>
  <c r="H116"/>
  <c r="H115"/>
  <c r="H114"/>
  <c r="H113"/>
  <c r="H112"/>
  <c r="H111"/>
  <c r="H110"/>
  <c r="F109"/>
  <c r="H109" s="1"/>
  <c r="H108"/>
  <c r="F107"/>
  <c r="H107" s="1"/>
  <c r="F106"/>
  <c r="H106" s="1"/>
  <c r="H105"/>
  <c r="H104"/>
  <c r="I119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H34"/>
  <c r="F33"/>
  <c r="H33" s="1"/>
  <c r="F32"/>
  <c r="H32" s="1"/>
  <c r="F31"/>
  <c r="H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7" i="21"/>
  <c r="I106"/>
  <c r="I105"/>
  <c r="I89"/>
  <c r="I55"/>
  <c r="I34"/>
  <c r="I25"/>
  <c r="H107"/>
  <c r="F106"/>
  <c r="H106" s="1"/>
  <c r="F105"/>
  <c r="H105" s="1"/>
  <c r="I104"/>
  <c r="H104"/>
  <c r="I108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I35" s="1"/>
  <c r="H34"/>
  <c r="F33"/>
  <c r="H33" s="1"/>
  <c r="F32"/>
  <c r="H32" s="1"/>
  <c r="F31"/>
  <c r="H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4" i="20"/>
  <c r="I105" s="1"/>
  <c r="I89"/>
  <c r="H104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H42"/>
  <c r="F42"/>
  <c r="I42" s="1"/>
  <c r="H41"/>
  <c r="F40"/>
  <c r="I40" s="1"/>
  <c r="I39"/>
  <c r="H39"/>
  <c r="H37"/>
  <c r="H36"/>
  <c r="H35"/>
  <c r="F35"/>
  <c r="H34"/>
  <c r="F33"/>
  <c r="H33" s="1"/>
  <c r="F32"/>
  <c r="H32" s="1"/>
  <c r="F31"/>
  <c r="H31" s="1"/>
  <c r="F28"/>
  <c r="H28" s="1"/>
  <c r="F27"/>
  <c r="I27" s="1"/>
  <c r="F26"/>
  <c r="H26" s="1"/>
  <c r="H24"/>
  <c r="F24"/>
  <c r="H23"/>
  <c r="F23"/>
  <c r="H22"/>
  <c r="F22"/>
  <c r="H21"/>
  <c r="F21"/>
  <c r="H20"/>
  <c r="F20"/>
  <c r="H19"/>
  <c r="F19"/>
  <c r="E18"/>
  <c r="F18" s="1"/>
  <c r="F17"/>
  <c r="H17" s="1"/>
  <c r="F16"/>
  <c r="I16" s="1"/>
  <c r="I106" i="19"/>
  <c r="I105"/>
  <c r="I89"/>
  <c r="F106"/>
  <c r="H106" s="1"/>
  <c r="H105"/>
  <c r="I104"/>
  <c r="H104"/>
  <c r="I107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I72" s="1"/>
  <c r="F71"/>
  <c r="I71" s="1"/>
  <c r="F70"/>
  <c r="I70" s="1"/>
  <c r="F69"/>
  <c r="I69" s="1"/>
  <c r="F68"/>
  <c r="H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H54"/>
  <c r="F54"/>
  <c r="H53"/>
  <c r="F53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I43" s="1"/>
  <c r="F42"/>
  <c r="I42" s="1"/>
  <c r="H41"/>
  <c r="F40"/>
  <c r="I40" s="1"/>
  <c r="I39"/>
  <c r="H39"/>
  <c r="H37"/>
  <c r="H36"/>
  <c r="H35"/>
  <c r="F35"/>
  <c r="H34"/>
  <c r="F33"/>
  <c r="H33" s="1"/>
  <c r="F32"/>
  <c r="H32" s="1"/>
  <c r="F31"/>
  <c r="H31" s="1"/>
  <c r="F28"/>
  <c r="I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105" i="18"/>
  <c r="I104"/>
  <c r="I106"/>
  <c r="I79"/>
  <c r="F106"/>
  <c r="H106" s="1"/>
  <c r="H105"/>
  <c r="H104"/>
  <c r="E101"/>
  <c r="F101" s="1"/>
  <c r="I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I72" s="1"/>
  <c r="F71"/>
  <c r="I71" s="1"/>
  <c r="F70"/>
  <c r="I70" s="1"/>
  <c r="F69"/>
  <c r="I69" s="1"/>
  <c r="F68"/>
  <c r="I68" s="1"/>
  <c r="F67"/>
  <c r="I67" s="1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H35"/>
  <c r="F35"/>
  <c r="H34"/>
  <c r="F33"/>
  <c r="H33" s="1"/>
  <c r="F32"/>
  <c r="H32" s="1"/>
  <c r="F31"/>
  <c r="H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53" i="26" l="1"/>
  <c r="I54"/>
  <c r="H18"/>
  <c r="I18"/>
  <c r="I101"/>
  <c r="H101"/>
  <c r="H102" s="1"/>
  <c r="H16"/>
  <c r="I17"/>
  <c r="H27"/>
  <c r="I28"/>
  <c r="H31"/>
  <c r="I32"/>
  <c r="I40"/>
  <c r="I42"/>
  <c r="H43"/>
  <c r="I44"/>
  <c r="H52"/>
  <c r="H60"/>
  <c r="H67"/>
  <c r="I68"/>
  <c r="H69"/>
  <c r="I70"/>
  <c r="H71"/>
  <c r="I72"/>
  <c r="I20" i="25"/>
  <c r="I47"/>
  <c r="I50"/>
  <c r="I48"/>
  <c r="I19"/>
  <c r="I21"/>
  <c r="I51"/>
  <c r="I49"/>
  <c r="I101"/>
  <c r="H101"/>
  <c r="H102" s="1"/>
  <c r="H18"/>
  <c r="I18"/>
  <c r="H16"/>
  <c r="I17"/>
  <c r="H27"/>
  <c r="I28"/>
  <c r="H31"/>
  <c r="I32"/>
  <c r="I40"/>
  <c r="I42"/>
  <c r="H43"/>
  <c r="I44"/>
  <c r="H52"/>
  <c r="H60"/>
  <c r="H67"/>
  <c r="I68"/>
  <c r="H69"/>
  <c r="I70"/>
  <c r="H71"/>
  <c r="I72"/>
  <c r="I106" i="24"/>
  <c r="H18"/>
  <c r="I18"/>
  <c r="I101"/>
  <c r="H101"/>
  <c r="H102" s="1"/>
  <c r="H16"/>
  <c r="I17"/>
  <c r="H27"/>
  <c r="I28"/>
  <c r="H31"/>
  <c r="I32"/>
  <c r="I40"/>
  <c r="I42"/>
  <c r="H43"/>
  <c r="I44"/>
  <c r="H52"/>
  <c r="H60"/>
  <c r="H67"/>
  <c r="I68"/>
  <c r="H69"/>
  <c r="I70"/>
  <c r="H71"/>
  <c r="I72"/>
  <c r="H72" i="23"/>
  <c r="I32"/>
  <c r="H16"/>
  <c r="I31"/>
  <c r="I33"/>
  <c r="I101"/>
  <c r="H101"/>
  <c r="H102" s="1"/>
  <c r="I17"/>
  <c r="I18"/>
  <c r="H27"/>
  <c r="I28"/>
  <c r="I40"/>
  <c r="I42"/>
  <c r="H43"/>
  <c r="I44"/>
  <c r="H52"/>
  <c r="H60"/>
  <c r="H67"/>
  <c r="I68"/>
  <c r="H69"/>
  <c r="I70"/>
  <c r="H71"/>
  <c r="H18" i="22"/>
  <c r="I18"/>
  <c r="I101"/>
  <c r="H101"/>
  <c r="H102" s="1"/>
  <c r="H16"/>
  <c r="I17"/>
  <c r="H27"/>
  <c r="I28"/>
  <c r="I40"/>
  <c r="I42"/>
  <c r="H43"/>
  <c r="I44"/>
  <c r="H52"/>
  <c r="H60"/>
  <c r="H67"/>
  <c r="I68"/>
  <c r="H69"/>
  <c r="I70"/>
  <c r="H71"/>
  <c r="I72"/>
  <c r="H16" i="21"/>
  <c r="I19"/>
  <c r="I20"/>
  <c r="I26"/>
  <c r="I24"/>
  <c r="I31"/>
  <c r="I33"/>
  <c r="I53"/>
  <c r="I54"/>
  <c r="I49"/>
  <c r="I47"/>
  <c r="I21"/>
  <c r="I22"/>
  <c r="I23"/>
  <c r="I32"/>
  <c r="I51"/>
  <c r="I50"/>
  <c r="I48"/>
  <c r="H18"/>
  <c r="I18"/>
  <c r="I101"/>
  <c r="H101"/>
  <c r="H102" s="1"/>
  <c r="I17"/>
  <c r="H27"/>
  <c r="I28"/>
  <c r="I40"/>
  <c r="I42"/>
  <c r="H43"/>
  <c r="I44"/>
  <c r="H52"/>
  <c r="H60"/>
  <c r="H67"/>
  <c r="I68"/>
  <c r="H69"/>
  <c r="I70"/>
  <c r="H71"/>
  <c r="I72"/>
  <c r="H40" i="20"/>
  <c r="I101"/>
  <c r="H101"/>
  <c r="H102" s="1"/>
  <c r="H18"/>
  <c r="I18"/>
  <c r="H16"/>
  <c r="I17"/>
  <c r="H27"/>
  <c r="I28"/>
  <c r="H43"/>
  <c r="I44"/>
  <c r="H52"/>
  <c r="H60"/>
  <c r="H67"/>
  <c r="I68"/>
  <c r="H69"/>
  <c r="I70"/>
  <c r="H71"/>
  <c r="I72"/>
  <c r="H28" i="19"/>
  <c r="H40"/>
  <c r="H44"/>
  <c r="H70"/>
  <c r="H17"/>
  <c r="H42"/>
  <c r="H72"/>
  <c r="H18"/>
  <c r="I18"/>
  <c r="I102" s="1"/>
  <c r="I101"/>
  <c r="H101"/>
  <c r="H102" s="1"/>
  <c r="H16"/>
  <c r="H27"/>
  <c r="H43"/>
  <c r="H52"/>
  <c r="H60"/>
  <c r="H67"/>
  <c r="I68"/>
  <c r="H69"/>
  <c r="H71"/>
  <c r="I107" i="18"/>
  <c r="H68"/>
  <c r="H72"/>
  <c r="H70"/>
  <c r="H18"/>
  <c r="I18"/>
  <c r="H16"/>
  <c r="I17"/>
  <c r="H27"/>
  <c r="I28"/>
  <c r="I40"/>
  <c r="I42"/>
  <c r="H43"/>
  <c r="I44"/>
  <c r="H52"/>
  <c r="H60"/>
  <c r="H67"/>
  <c r="H69"/>
  <c r="H71"/>
  <c r="H101"/>
  <c r="H102" s="1"/>
  <c r="I121" i="17"/>
  <c r="I102" i="26" l="1"/>
  <c r="I112" s="1"/>
  <c r="I102" i="25"/>
  <c r="I110" s="1"/>
  <c r="I102" i="24"/>
  <c r="I108" s="1"/>
  <c r="I102" i="23"/>
  <c r="I108"/>
  <c r="I121" i="22"/>
  <c r="I102" i="21"/>
  <c r="I110" s="1"/>
  <c r="I102" i="20"/>
  <c r="I107"/>
  <c r="I109" i="19"/>
  <c r="I102" i="18"/>
  <c r="I109"/>
  <c r="H120" i="17" l="1"/>
  <c r="F119"/>
  <c r="H119" s="1"/>
  <c r="H118"/>
  <c r="H117"/>
  <c r="H116"/>
  <c r="H115"/>
  <c r="H114"/>
  <c r="H113"/>
  <c r="H112"/>
  <c r="F111"/>
  <c r="H111" s="1"/>
  <c r="H110"/>
  <c r="F109"/>
  <c r="H109" s="1"/>
  <c r="F108"/>
  <c r="H108" s="1"/>
  <c r="H107"/>
  <c r="H106"/>
  <c r="I105"/>
  <c r="H105"/>
  <c r="I104"/>
  <c r="H104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F79"/>
  <c r="H79" s="1"/>
  <c r="H78"/>
  <c r="H77"/>
  <c r="H76"/>
  <c r="H75"/>
  <c r="I73"/>
  <c r="H73"/>
  <c r="F72"/>
  <c r="F71"/>
  <c r="F70"/>
  <c r="F69"/>
  <c r="F68"/>
  <c r="F67"/>
  <c r="F66"/>
  <c r="H66" s="1"/>
  <c r="I65"/>
  <c r="F65"/>
  <c r="H65" s="1"/>
  <c r="I63"/>
  <c r="H63"/>
  <c r="F62"/>
  <c r="H62" s="1"/>
  <c r="F60"/>
  <c r="I60" s="1"/>
  <c r="I57"/>
  <c r="F57"/>
  <c r="H57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F40"/>
  <c r="I40" s="1"/>
  <c r="I39"/>
  <c r="H39"/>
  <c r="F28"/>
  <c r="I28" s="1"/>
  <c r="H37"/>
  <c r="H36"/>
  <c r="F27"/>
  <c r="H27" s="1"/>
  <c r="H35"/>
  <c r="F35"/>
  <c r="H34"/>
  <c r="F33"/>
  <c r="H33" s="1"/>
  <c r="F32"/>
  <c r="F3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32" l="1"/>
  <c r="I32"/>
  <c r="H31"/>
  <c r="I31"/>
  <c r="H68"/>
  <c r="I68"/>
  <c r="H70"/>
  <c r="I70"/>
  <c r="H72"/>
  <c r="I72"/>
  <c r="H67"/>
  <c r="I67"/>
  <c r="H69"/>
  <c r="I69"/>
  <c r="H71"/>
  <c r="I71"/>
  <c r="H17"/>
  <c r="H28"/>
  <c r="H40"/>
  <c r="H42"/>
  <c r="I101"/>
  <c r="H101"/>
  <c r="H102" s="1"/>
  <c r="I18"/>
  <c r="H18"/>
  <c r="I16"/>
  <c r="I102" s="1"/>
  <c r="I123" s="1"/>
  <c r="I27"/>
  <c r="I43"/>
  <c r="H44"/>
  <c r="H52"/>
  <c r="H60"/>
  <c r="G102" i="16" l="1"/>
  <c r="G102" i="8" l="1"/>
  <c r="G107"/>
  <c r="G105" i="16"/>
  <c r="G107" l="1"/>
  <c r="G62"/>
  <c r="E32"/>
  <c r="G62" i="8" l="1"/>
  <c r="E32"/>
  <c r="G109" l="1"/>
</calcChain>
</file>

<file path=xl/sharedStrings.xml><?xml version="1.0" encoding="utf-8"?>
<sst xmlns="http://schemas.openxmlformats.org/spreadsheetml/2006/main" count="3288" uniqueCount="257">
  <si>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</si>
  <si>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</si>
  <si>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</si>
  <si>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</si>
  <si>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</si>
  <si>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</si>
  <si>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</si>
  <si>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</si>
  <si>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</si>
  <si>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</si>
  <si>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</si>
  <si>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</si>
  <si>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</si>
  <si>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</si>
  <si>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</si>
  <si>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</si>
  <si>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</si>
  <si>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</si>
  <si>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</si>
  <si>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</si>
  <si>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</si>
  <si>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</si>
  <si>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</si>
  <si>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</si>
  <si>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</si>
  <si>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</si>
  <si>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</si>
  <si>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</si>
  <si>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</si>
  <si>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</si>
  <si>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</si>
  <si>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</si>
  <si>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</si>
  <si>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</si>
  <si>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</si>
  <si>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</si>
  <si>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</si>
  <si>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</si>
  <si>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</si>
  <si>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</si>
  <si>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</si>
  <si>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</si>
  <si>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</si>
  <si>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</si>
  <si>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</si>
  <si>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</si>
  <si>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</si>
  <si>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</si>
  <si>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</si>
  <si>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</si>
  <si>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</si>
  <si>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</si>
  <si>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</si>
  <si>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</si>
  <si>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</si>
  <si>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</si>
  <si>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</si>
  <si>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</si>
  <si>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</si>
  <si>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</si>
  <si>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</si>
  <si>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</si>
  <si>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</si>
  <si>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</si>
  <si>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</si>
  <si>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</si>
  <si>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</si>
  <si>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</si>
  <si>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Проведение технических осмотров и мелкий ремонт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</si>
  <si>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</si>
  <si>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</si>
  <si>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</si>
  <si>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</si>
  <si>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</si>
  <si>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</si>
  <si>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</si>
  <si>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</si>
  <si>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</si>
  <si>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</si>
  <si>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</si>
  <si>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</si>
  <si>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</si>
  <si>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</si>
  <si>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</si>
  <si>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</si>
  <si>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</si>
  <si>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</si>
  <si>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</si>
  <si>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</si>
  <si>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</si>
  <si>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</si>
  <si>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</si>
  <si>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</si>
  <si>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</si>
  <si>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</si>
  <si>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</si>
  <si>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</si>
  <si>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</si>
  <si>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</si>
  <si>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</si>
  <si>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</si>
  <si>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</si>
  <si>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Смена дверных приборов (замки навесные)</t>
  </si>
  <si>
    <t>II. Уборка земельного участка</t>
  </si>
  <si>
    <t>ООО «Жилсервис»</t>
  </si>
  <si>
    <t>АКТ №11</t>
  </si>
  <si>
    <t>за период с 01.11.2016 г. по 30.11.2016 г.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</si>
  <si>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</si>
  <si>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</si>
  <si>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</si>
  <si>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</si>
  <si>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</si>
  <si>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</si>
  <si>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</si>
  <si>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</si>
  <si>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</si>
  <si>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</si>
  <si>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</si>
  <si>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1 раз в месяц (5 раз за сезон)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</si>
  <si>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</si>
  <si>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</si>
  <si>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</si>
  <si>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</si>
  <si>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</si>
  <si>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</si>
  <si>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</si>
  <si>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за период с 01.12.2016 г. по 31.12.2016 г.</t>
  </si>
  <si>
    <t xml:space="preserve">Проверка дымоходов </t>
  </si>
  <si>
    <t>Прочистка каналов</t>
  </si>
  <si>
    <t>30 раз за сезон</t>
  </si>
  <si>
    <t xml:space="preserve">Очистка края кровли от слежавшегося снега со сбрасыванием сосулек (10% от S кровли) </t>
  </si>
  <si>
    <t xml:space="preserve">6 раза за сезон </t>
  </si>
  <si>
    <t>Водоснабжение, канализация</t>
  </si>
  <si>
    <t>Очистка канализационной сети внутренней</t>
  </si>
  <si>
    <t>Ремонт вентильных кранов д=40 со снятием с места</t>
  </si>
  <si>
    <t>Влажное подметание лестничных клеток 1 этажа</t>
  </si>
  <si>
    <t>3 раза в неделю 156 раз в год</t>
  </si>
  <si>
    <t>2 раза в неделю 104 раза в год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</si>
  <si>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</si>
  <si>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</si>
  <si>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</si>
  <si>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</si>
  <si>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</si>
  <si>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</si>
  <si>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</si>
  <si>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</si>
  <si>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Стоимость светодиодного светильника</t>
  </si>
  <si>
    <t>Работа автовышки</t>
  </si>
  <si>
    <t>АКТ №12</t>
  </si>
  <si>
    <t>Влажное подметание лестничных клеток 2-5 этажа</t>
  </si>
  <si>
    <t>Мытье лестничных  площадок и маршей 1-5 этаж.</t>
  </si>
  <si>
    <t xml:space="preserve">1 раз в год  </t>
  </si>
  <si>
    <t xml:space="preserve">Влажная протирка шкафов для щитов </t>
  </si>
  <si>
    <t>Влажная протирка отопительных приборов</t>
  </si>
  <si>
    <t xml:space="preserve">2 раза в месяц 24 раза в год </t>
  </si>
  <si>
    <t>2 раза в неделю 52 раза в сезон</t>
  </si>
  <si>
    <t>3 раза в неделю 78 раз за сезон</t>
  </si>
  <si>
    <t>Очистка урн от мусора</t>
  </si>
  <si>
    <t>Вывоз снега с придомовой территории</t>
  </si>
  <si>
    <t>35 раз за сезон</t>
  </si>
  <si>
    <t>Дератизация</t>
  </si>
  <si>
    <t>12 раз в год</t>
  </si>
  <si>
    <t>Обслуживание прибора учета тепловой энергии</t>
  </si>
  <si>
    <t>Смена светодиодных светильников</t>
  </si>
  <si>
    <t>руб.</t>
  </si>
  <si>
    <t>Замена ламп ДРЛ</t>
  </si>
  <si>
    <t>Зачеканка раструбов канализационных труб диаметром до 100 мм</t>
  </si>
  <si>
    <t>1 шт.</t>
  </si>
  <si>
    <t>Прочистка засоров ГВС, ХВС</t>
  </si>
  <si>
    <t>3 м</t>
  </si>
  <si>
    <t>Уборка фекалий из подвала</t>
  </si>
  <si>
    <t>Водоотлив из подвала электрическими (механическими) насосами (100 м3 воды)</t>
  </si>
  <si>
    <t>10 м3</t>
  </si>
  <si>
    <t>Смена внутренних трубопроводов из чугунных канализац. труб диаметром до 50 мм (без стоимости креплений)</t>
  </si>
  <si>
    <t>Смена внутренних трубопроводов из чугунных канализац. труб диаметром до 100 мм (без стоимости креплений)</t>
  </si>
  <si>
    <t>Смена полиэтиленовых канализационных труб диаметром до 50 мм (без стоимости креплений)</t>
  </si>
  <si>
    <t>Смена полиэтиленовых канализационных труб диаметром до 100 мм (без стоимости креплений)</t>
  </si>
  <si>
    <t>Смена внутренних трубопроводов  из стальных труб диаметром до 50 мм (без стоимости креплений)</t>
  </si>
  <si>
    <t>Осмотр водопровода, канализации и горячего водоснабжения</t>
  </si>
  <si>
    <t>Прочистка канализационного лежака в подвальных помещениях  и технических этажах</t>
  </si>
  <si>
    <t>Проверка исправности канализационных вытяжек</t>
  </si>
  <si>
    <t>100 м канализац.лежака</t>
  </si>
  <si>
    <t>Смена дверных приборов - пружины (без стоимости материала)</t>
  </si>
  <si>
    <t>маш/час</t>
  </si>
  <si>
    <t xml:space="preserve">приемки оказанных услуг и выполненных работ по содержанию и текущему ремонту
общего имущества в многоквартирном доме №41 по ул.Советская пгт.Ярега
</t>
  </si>
  <si>
    <t>156 раз в год</t>
  </si>
  <si>
    <t>104 раза в год</t>
  </si>
  <si>
    <t xml:space="preserve">24 раза в год </t>
  </si>
  <si>
    <t>2. Всего за период с 01.11.2016 по 30.11.2016 выполнено работ (оказано услуг) на общую сумму: 60914,24 руб.</t>
  </si>
  <si>
    <t>(шестьдесят тысяч девятьсот четырнадцать рублей 24 копейки)</t>
  </si>
  <si>
    <t>2. Всего за период с 01.12.2016 по 31.12.2016 выполнено работ (оказано услуг) на общую сумму: 62297,85 руб.</t>
  </si>
  <si>
    <t>(шестьдесят две тысячи двести девяносто семь рублей 85 копеек)</t>
  </si>
  <si>
    <t>генеральный директор Куканов Ю.Л.</t>
  </si>
  <si>
    <r>
      <t xml:space="preserve">    Собственники помещений в многоквартирном доме, расположенном по адресу: пгт.Ярега, ул.Советская, д.41,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07.08.2015г.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</si>
  <si>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41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д.41</t>
    </r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</si>
  <si>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</si>
  <si>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</si>
  <si>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</si>
  <si>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</si>
  <si>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</si>
  <si>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</si>
  <si>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- Уборка контейнерной площадки (16 кв.м.)</t>
  </si>
  <si>
    <t>ежедневно 365 раз</t>
  </si>
  <si>
    <t xml:space="preserve"> </t>
  </si>
  <si>
    <t>Осмотр кровли металлической</t>
  </si>
  <si>
    <t xml:space="preserve">6 раз за сезон </t>
  </si>
  <si>
    <t>Очистка чердака от мусора</t>
  </si>
  <si>
    <t>Ремонт и регулировка доводчика (без стоимости доводчика)</t>
  </si>
  <si>
    <t>1шт.</t>
  </si>
  <si>
    <t>Заделка подвальных окон фанерой</t>
  </si>
  <si>
    <t>Внеплановый осмотр электросетей, армазуры и электрооборудования на лестничных клетках</t>
  </si>
  <si>
    <t>Смена трубопроводов на полипропиленовые трубы PN25 диаметром 20мм</t>
  </si>
  <si>
    <t>Настройка таймера освещения ТО-2</t>
  </si>
  <si>
    <t>100шт</t>
  </si>
  <si>
    <t>Ремонт ограждений контейнерной площадки</t>
  </si>
  <si>
    <t>тыс.руб.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</si>
  <si>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</si>
  <si>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</si>
  <si>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полиэтиленовых канализационных труб 110×1000 мм</t>
  </si>
  <si>
    <t>Отвод 110*87°</t>
  </si>
  <si>
    <t xml:space="preserve">Смена сгонов у трубопроводов диаметром до 20 мм </t>
  </si>
  <si>
    <t>1 сгон</t>
  </si>
  <si>
    <t>Смена трубопроводов на полипропиленовые трубы PN25 диаметром 25мм</t>
  </si>
  <si>
    <t>Внеплановый осмотр вводных электрических щитков</t>
  </si>
  <si>
    <t>Внеплановая проверка вентканалов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</si>
  <si>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</si>
  <si>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</si>
  <si>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Спуск воды после промывки СО в канализацию</t>
  </si>
  <si>
    <t>2. Всего за период с 01.01.2016 по 31.01.2016 выполнено работ (оказано услуг) на общую сумму: 78405,48 руб.</t>
  </si>
  <si>
    <t>(семьдесят восемь тысяч четыреста пять рублей 48 копеек)</t>
  </si>
  <si>
    <t>АКТ №2</t>
  </si>
  <si>
    <t>2. Всего за период с 01.02.2016 по 29.02.2016 выполнено работ (оказано услуг) на общую сумму: 64892,15 руб.</t>
  </si>
  <si>
    <t>(шестьдесят четыре тысячи восемьсот девяносто два рубля 15 копеек)</t>
  </si>
  <si>
    <t>АКТ №3</t>
  </si>
  <si>
    <t>2. Всего за период с 01.03.2016 по 31.03.2016 выполнено работ (оказано услуг) на общую сумму: 59784,39 руб.</t>
  </si>
  <si>
    <t>АКТ №4</t>
  </si>
  <si>
    <t>2. Всего за период с 01.04.2016 по 30.04.2016 выполнено работ (оказано услуг) на общую сумму: 81953,13 руб.</t>
  </si>
  <si>
    <t>(восемьдесят одна тысяча девятьсот пятьдесят три рубля 13 копеек)</t>
  </si>
  <si>
    <t>АКТ №5</t>
  </si>
  <si>
    <t>2. Всего за период с 01.05.2016 по 31.05.2016 выполнено работ (оказано услуг) на общую сумму: 146841,76 руб.</t>
  </si>
  <si>
    <t>(сто сорок шесть тысяч восемьсот сорок один рубль 76 копеек)</t>
  </si>
  <si>
    <t>АКТ №6</t>
  </si>
  <si>
    <t>2. Всего за период с 01.06.2016 по 30.06.2016 выполнено работ (оказано услуг) на общую сумму: 50109,27 руб.</t>
  </si>
  <si>
    <t>(пятьдесят тысяч сто девять рублей 27 копеек)</t>
  </si>
  <si>
    <t>АКТ №7</t>
  </si>
  <si>
    <t>2. Всего за период с 01.07.2016 по 31.07.2016 выполнено работ (оказано услуг) на общую сумму: 50140,62 руб.</t>
  </si>
  <si>
    <t>(пятьдесят тысяч сто сорок рублей 62 копейки)</t>
  </si>
  <si>
    <t>АКТ №8</t>
  </si>
  <si>
    <t>2. Всего за период с 01.08.2016 по 31.08.2016 выполнено работ (оказано услуг) на общую сумму: 88938,39 руб.</t>
  </si>
  <si>
    <t>(восемьдесят восемь тысяч девятьсот тридцать восемь рублей 39 копеек)</t>
  </si>
  <si>
    <t>АКТ №9</t>
  </si>
  <si>
    <t>2. Всего за период с 01.09.2016 по 30.09.2016 выполнено работ (оказано услуг) на общую сумму: 65966,45 руб.</t>
  </si>
  <si>
    <t>(шестьдесят пять тысяч девятьсот шестьдесят шесть рублей 45 копеек)</t>
  </si>
  <si>
    <t>АКТ №10</t>
  </si>
  <si>
    <t>2. Всего за период с 01.10.2016 по 31.10.2016 выполнено работ (оказано услуг) на общую сумму: 68895,24 руб.</t>
  </si>
  <si>
    <t>(шестьдесят восемь тысяч восемьсот девяносто пять рублей 24 копейки)</t>
  </si>
  <si>
    <t>(пятьдесят девять тысяч семьсот восемьдесят четыре рубля 39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</si>
</sst>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200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90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42400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hidden="1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hidden="1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f>F31/6*G31</f>
        <v>881.39376000000016</v>
      </c>
    </row>
    <row r="32" spans="1:9" ht="31.5" hidden="1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f t="shared" ref="I32:I35" si="3">F32/6*G32</f>
        <v>764.8420000000001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hidden="1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3"/>
        <v>382.57616666666672</v>
      </c>
    </row>
    <row r="35" spans="1:9" ht="15.75" hidden="1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3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4">SUM(F39*G39/1000)</f>
        <v>13.89664</v>
      </c>
      <c r="I39" s="16">
        <f>F39/6*G39</f>
        <v>2316.1066666666666</v>
      </c>
    </row>
    <row r="40" spans="1:9" ht="15.75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4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4"/>
        <v>29.4892</v>
      </c>
      <c r="I41" s="16">
        <v>0</v>
      </c>
    </row>
    <row r="42" spans="1:9" ht="15.75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4"/>
        <v>3.7102349999999999</v>
      </c>
      <c r="I42" s="16">
        <f t="shared" ref="I42:I45" si="5">F42/6*G42</f>
        <v>618.37249999999995</v>
      </c>
    </row>
    <row r="43" spans="1:9" ht="47.25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4"/>
        <v>9.4489593099999993</v>
      </c>
      <c r="I43" s="16">
        <f t="shared" si="5"/>
        <v>1574.8265516666668</v>
      </c>
    </row>
    <row r="44" spans="1:9" ht="15.75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4"/>
        <v>1.3165470000000001</v>
      </c>
      <c r="I44" s="16">
        <f t="shared" si="5"/>
        <v>219.42450000000002</v>
      </c>
    </row>
    <row r="45" spans="1:9" ht="15.75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4"/>
        <v>0.81688499999999997</v>
      </c>
      <c r="I45" s="16">
        <f t="shared" si="5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6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6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6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6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6"/>
        <v>0.15212377599999999</v>
      </c>
      <c r="I51" s="16">
        <v>0</v>
      </c>
    </row>
    <row r="52" spans="1:9" ht="15.75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6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6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6"/>
        <v>0.12857640000000001</v>
      </c>
      <c r="I55" s="16">
        <v>0</v>
      </c>
    </row>
    <row r="56" spans="1:9" ht="15.75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6"/>
        <v>26.965679999999999</v>
      </c>
      <c r="I56" s="16">
        <f>E56*G56</f>
        <v>8988.56</v>
      </c>
    </row>
    <row r="57" spans="1:9" ht="15.75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6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16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7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7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7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7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7"/>
        <v>32.210177999999999</v>
      </c>
      <c r="I69" s="16">
        <f t="shared" ref="I69:I72" si="8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7"/>
        <v>0.70823999999999998</v>
      </c>
      <c r="I70" s="16">
        <f t="shared" si="8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7"/>
        <v>0.66065999999999991</v>
      </c>
      <c r="I71" s="16">
        <f t="shared" si="8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7"/>
        <v>0.22696</v>
      </c>
      <c r="I72" s="16">
        <f t="shared" si="8"/>
        <v>226.96</v>
      </c>
    </row>
    <row r="73" spans="1:9" ht="15.75" customHeight="1">
      <c r="A73" s="36">
        <v>18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7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7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7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7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7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hidden="1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9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9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9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9"/>
        <v>1.82952</v>
      </c>
      <c r="I88" s="16">
        <v>0</v>
      </c>
    </row>
    <row r="89" spans="1:9" ht="31.5" hidden="1" customHeight="1">
      <c r="A89" s="36"/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9"/>
        <v>1.0895599999999999</v>
      </c>
      <c r="I89" s="16">
        <v>0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9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9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9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9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9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9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9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9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9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19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20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I16+I17+I18+I27+I28+I39+I40+I42+I43+I44+I45+I52+I56+I57+I60+I63+I65+I73+I100+I101</f>
        <v>77943.383749333327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21</v>
      </c>
      <c r="B104" s="141" t="s">
        <v>207</v>
      </c>
      <c r="C104" s="36" t="s">
        <v>208</v>
      </c>
      <c r="D104" s="67"/>
      <c r="E104" s="16"/>
      <c r="F104" s="16">
        <v>1</v>
      </c>
      <c r="G104" s="16">
        <v>383.01</v>
      </c>
      <c r="H104" s="134">
        <f>G104*F104/1000</f>
        <v>0.38301000000000002</v>
      </c>
      <c r="I104" s="16">
        <f>G104</f>
        <v>383.01</v>
      </c>
    </row>
    <row r="105" spans="1:9" ht="31.5" customHeight="1">
      <c r="A105" s="36">
        <v>22</v>
      </c>
      <c r="B105" s="76" t="s">
        <v>91</v>
      </c>
      <c r="C105" s="122" t="s">
        <v>119</v>
      </c>
      <c r="D105" s="67"/>
      <c r="E105" s="16"/>
      <c r="F105" s="16">
        <v>5</v>
      </c>
      <c r="G105" s="16">
        <v>79.09</v>
      </c>
      <c r="H105" s="134">
        <f>G105*F105/1000</f>
        <v>0.39545000000000002</v>
      </c>
      <c r="I105" s="16">
        <f>G105</f>
        <v>79.09</v>
      </c>
    </row>
    <row r="106" spans="1:9" ht="15.75" hidden="1" customHeight="1">
      <c r="A106" s="36"/>
      <c r="B106" s="67" t="s">
        <v>147</v>
      </c>
      <c r="C106" s="20" t="s">
        <v>183</v>
      </c>
      <c r="D106" s="67"/>
      <c r="E106" s="16"/>
      <c r="F106" s="16">
        <v>8</v>
      </c>
      <c r="G106" s="16">
        <v>1501</v>
      </c>
      <c r="H106" s="134">
        <f>G106*F106/1000</f>
        <v>12.007999999999999</v>
      </c>
      <c r="I106" s="16">
        <v>0</v>
      </c>
    </row>
    <row r="107" spans="1:9" ht="15.75" hidden="1" customHeight="1">
      <c r="A107" s="36"/>
      <c r="B107" s="142" t="s">
        <v>102</v>
      </c>
      <c r="C107" s="122" t="s">
        <v>119</v>
      </c>
      <c r="D107" s="67"/>
      <c r="E107" s="16"/>
      <c r="F107" s="16">
        <v>3</v>
      </c>
      <c r="G107" s="16">
        <v>179.96</v>
      </c>
      <c r="H107" s="134">
        <f>G107*F107/1000</f>
        <v>0.53988000000000003</v>
      </c>
      <c r="I107" s="16">
        <v>0</v>
      </c>
    </row>
    <row r="108" spans="1:9" ht="15.75" hidden="1" customHeight="1">
      <c r="A108" s="36"/>
      <c r="B108" s="141" t="s">
        <v>209</v>
      </c>
      <c r="C108" s="36" t="s">
        <v>139</v>
      </c>
      <c r="D108" s="67"/>
      <c r="E108" s="16"/>
      <c r="F108" s="16">
        <f>0.96/10</f>
        <v>9.6000000000000002E-2</v>
      </c>
      <c r="G108" s="16">
        <v>3113.97</v>
      </c>
      <c r="H108" s="134">
        <f t="shared" ref="H108:H120" si="10">G108*F108/1000</f>
        <v>0.29894112</v>
      </c>
      <c r="I108" s="16">
        <v>0</v>
      </c>
    </row>
    <row r="109" spans="1:9" ht="31.5" hidden="1" customHeight="1">
      <c r="A109" s="36"/>
      <c r="B109" s="76" t="s">
        <v>210</v>
      </c>
      <c r="C109" s="122" t="s">
        <v>40</v>
      </c>
      <c r="D109" s="67"/>
      <c r="E109" s="16"/>
      <c r="F109" s="16">
        <f>3/100</f>
        <v>0.03</v>
      </c>
      <c r="G109" s="16">
        <v>3397.65</v>
      </c>
      <c r="H109" s="134">
        <f t="shared" si="10"/>
        <v>0.10192950000000001</v>
      </c>
      <c r="I109" s="16">
        <v>0</v>
      </c>
    </row>
    <row r="110" spans="1:9" ht="31.5" hidden="1" customHeight="1">
      <c r="A110" s="36"/>
      <c r="B110" s="76" t="s">
        <v>211</v>
      </c>
      <c r="C110" s="122" t="s">
        <v>94</v>
      </c>
      <c r="D110" s="67"/>
      <c r="E110" s="16"/>
      <c r="F110" s="16">
        <v>5</v>
      </c>
      <c r="G110" s="16">
        <v>1187</v>
      </c>
      <c r="H110" s="134">
        <f t="shared" si="10"/>
        <v>5.9349999999999996</v>
      </c>
      <c r="I110" s="16">
        <v>0</v>
      </c>
    </row>
    <row r="111" spans="1:9" ht="15.75" hidden="1" customHeight="1">
      <c r="A111" s="36"/>
      <c r="B111" s="76" t="s">
        <v>212</v>
      </c>
      <c r="C111" s="122" t="s">
        <v>213</v>
      </c>
      <c r="D111" s="67"/>
      <c r="E111" s="16"/>
      <c r="F111" s="16">
        <f>4/100</f>
        <v>0.04</v>
      </c>
      <c r="G111" s="16">
        <v>7033.13</v>
      </c>
      <c r="H111" s="134">
        <f t="shared" si="10"/>
        <v>0.2813252</v>
      </c>
      <c r="I111" s="16">
        <v>0</v>
      </c>
    </row>
    <row r="112" spans="1:9" ht="15.75" hidden="1" customHeight="1">
      <c r="A112" s="36"/>
      <c r="B112" s="76" t="s">
        <v>214</v>
      </c>
      <c r="C112" s="122" t="s">
        <v>215</v>
      </c>
      <c r="D112" s="67"/>
      <c r="E112" s="16"/>
      <c r="F112" s="16">
        <v>1</v>
      </c>
      <c r="G112" s="16">
        <v>3046</v>
      </c>
      <c r="H112" s="134">
        <f t="shared" si="10"/>
        <v>3.0459999999999998</v>
      </c>
      <c r="I112" s="16">
        <v>0</v>
      </c>
    </row>
    <row r="113" spans="1:9" ht="31.5" hidden="1" customHeight="1">
      <c r="A113" s="36"/>
      <c r="B113" s="76" t="s">
        <v>216</v>
      </c>
      <c r="C113" s="122" t="s">
        <v>217</v>
      </c>
      <c r="D113" s="67"/>
      <c r="E113" s="16"/>
      <c r="F113" s="16">
        <v>1</v>
      </c>
      <c r="G113" s="16">
        <v>51.39</v>
      </c>
      <c r="H113" s="134">
        <f>G113*F113/1000</f>
        <v>5.1389999999999998E-2</v>
      </c>
      <c r="I113" s="16">
        <v>0</v>
      </c>
    </row>
    <row r="114" spans="1:9" ht="15.75" hidden="1" customHeight="1">
      <c r="A114" s="36"/>
      <c r="B114" s="76" t="s">
        <v>97</v>
      </c>
      <c r="C114" s="122" t="s">
        <v>119</v>
      </c>
      <c r="D114" s="67"/>
      <c r="E114" s="16"/>
      <c r="F114" s="16">
        <v>6</v>
      </c>
      <c r="G114" s="16">
        <v>180.15</v>
      </c>
      <c r="H114" s="134">
        <f t="shared" si="10"/>
        <v>1.0809000000000002</v>
      </c>
      <c r="I114" s="16">
        <v>0</v>
      </c>
    </row>
    <row r="115" spans="1:9" ht="31.5" hidden="1" customHeight="1">
      <c r="A115" s="36"/>
      <c r="B115" s="76" t="s">
        <v>218</v>
      </c>
      <c r="C115" s="122" t="s">
        <v>94</v>
      </c>
      <c r="D115" s="67"/>
      <c r="E115" s="16"/>
      <c r="F115" s="16">
        <v>4</v>
      </c>
      <c r="G115" s="16">
        <v>771.29</v>
      </c>
      <c r="H115" s="134">
        <f t="shared" si="10"/>
        <v>3.0851599999999997</v>
      </c>
      <c r="I115" s="16">
        <v>0</v>
      </c>
    </row>
    <row r="116" spans="1:9" ht="15.75" hidden="1" customHeight="1">
      <c r="A116" s="36"/>
      <c r="B116" s="76" t="s">
        <v>219</v>
      </c>
      <c r="C116" s="122" t="s">
        <v>119</v>
      </c>
      <c r="D116" s="67"/>
      <c r="E116" s="16"/>
      <c r="F116" s="16">
        <v>1</v>
      </c>
      <c r="G116" s="16">
        <v>48.69</v>
      </c>
      <c r="H116" s="134">
        <f t="shared" si="10"/>
        <v>4.8689999999999997E-2</v>
      </c>
      <c r="I116" s="16">
        <v>0</v>
      </c>
    </row>
    <row r="117" spans="1:9" ht="15.75" hidden="1" customHeight="1">
      <c r="A117" s="36"/>
      <c r="B117" s="76" t="s">
        <v>220</v>
      </c>
      <c r="C117" s="122" t="s">
        <v>221</v>
      </c>
      <c r="D117" s="18"/>
      <c r="E117" s="23"/>
      <c r="F117" s="16">
        <v>2</v>
      </c>
      <c r="G117" s="16">
        <v>195.95</v>
      </c>
      <c r="H117" s="134">
        <f t="shared" si="10"/>
        <v>0.39189999999999997</v>
      </c>
      <c r="I117" s="16">
        <v>0</v>
      </c>
    </row>
    <row r="118" spans="1:9" ht="31.5" hidden="1" customHeight="1">
      <c r="A118" s="36"/>
      <c r="B118" s="76" t="s">
        <v>222</v>
      </c>
      <c r="C118" s="122" t="s">
        <v>94</v>
      </c>
      <c r="D118" s="67"/>
      <c r="E118" s="16"/>
      <c r="F118" s="16">
        <v>8</v>
      </c>
      <c r="G118" s="16">
        <v>1272</v>
      </c>
      <c r="H118" s="134">
        <f t="shared" si="10"/>
        <v>10.176</v>
      </c>
      <c r="I118" s="16">
        <v>0</v>
      </c>
    </row>
    <row r="119" spans="1:9" ht="15.75" hidden="1" customHeight="1">
      <c r="A119" s="36"/>
      <c r="B119" s="76" t="s">
        <v>223</v>
      </c>
      <c r="C119" s="122" t="s">
        <v>213</v>
      </c>
      <c r="D119" s="67"/>
      <c r="E119" s="16"/>
      <c r="F119" s="16">
        <f>1/100</f>
        <v>0.01</v>
      </c>
      <c r="G119" s="16">
        <v>7033.13</v>
      </c>
      <c r="H119" s="134">
        <f t="shared" si="10"/>
        <v>7.0331299999999999E-2</v>
      </c>
      <c r="I119" s="16">
        <v>0</v>
      </c>
    </row>
    <row r="120" spans="1:9" ht="15.75" hidden="1" customHeight="1">
      <c r="A120" s="36"/>
      <c r="B120" s="100" t="s">
        <v>224</v>
      </c>
      <c r="C120" s="101" t="s">
        <v>119</v>
      </c>
      <c r="D120" s="67"/>
      <c r="E120" s="16"/>
      <c r="F120" s="16">
        <v>1</v>
      </c>
      <c r="G120" s="16">
        <v>81.73</v>
      </c>
      <c r="H120" s="134">
        <f t="shared" si="10"/>
        <v>8.1729999999999997E-2</v>
      </c>
      <c r="I120" s="16">
        <v>0</v>
      </c>
    </row>
    <row r="121" spans="1:9">
      <c r="A121" s="36"/>
      <c r="B121" s="61" t="s">
        <v>54</v>
      </c>
      <c r="C121" s="57"/>
      <c r="D121" s="70"/>
      <c r="E121" s="57">
        <v>1</v>
      </c>
      <c r="F121" s="57"/>
      <c r="G121" s="57"/>
      <c r="H121" s="57"/>
      <c r="I121" s="39">
        <f>SUM(I104:I120)</f>
        <v>462.1</v>
      </c>
    </row>
    <row r="122" spans="1:9">
      <c r="A122" s="36"/>
      <c r="B122" s="67" t="s">
        <v>89</v>
      </c>
      <c r="C122" s="19"/>
      <c r="D122" s="19"/>
      <c r="E122" s="58"/>
      <c r="F122" s="58"/>
      <c r="G122" s="59"/>
      <c r="H122" s="59"/>
      <c r="I122" s="22">
        <v>0</v>
      </c>
    </row>
    <row r="123" spans="1:9" ht="15.75" customHeight="1">
      <c r="A123" s="71"/>
      <c r="B123" s="62" t="s">
        <v>55</v>
      </c>
      <c r="C123" s="45"/>
      <c r="D123" s="45"/>
      <c r="E123" s="45"/>
      <c r="F123" s="45"/>
      <c r="G123" s="45"/>
      <c r="H123" s="45"/>
      <c r="I123" s="60">
        <f>I102+I121</f>
        <v>78405.483749333333</v>
      </c>
    </row>
    <row r="124" spans="1:9" ht="15.75">
      <c r="A124" s="163" t="s">
        <v>228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15.75">
      <c r="A125" s="113"/>
      <c r="B125" s="152" t="s">
        <v>229</v>
      </c>
      <c r="C125" s="152"/>
      <c r="D125" s="152"/>
      <c r="E125" s="152"/>
      <c r="F125" s="152"/>
      <c r="G125" s="152"/>
      <c r="H125" s="119"/>
      <c r="I125" s="3"/>
    </row>
    <row r="126" spans="1:9">
      <c r="A126" s="107"/>
      <c r="B126" s="148" t="s">
        <v>6</v>
      </c>
      <c r="C126" s="148"/>
      <c r="D126" s="148"/>
      <c r="E126" s="148"/>
      <c r="F126" s="148"/>
      <c r="G126" s="148"/>
      <c r="H126" s="31"/>
      <c r="I126" s="5"/>
    </row>
    <row r="127" spans="1:9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5.75" customHeight="1">
      <c r="A128" s="153" t="s">
        <v>7</v>
      </c>
      <c r="B128" s="153"/>
      <c r="C128" s="153"/>
      <c r="D128" s="153"/>
      <c r="E128" s="153"/>
      <c r="F128" s="153"/>
      <c r="G128" s="153"/>
      <c r="H128" s="153"/>
      <c r="I128" s="153"/>
    </row>
    <row r="129" spans="1:9" ht="15.75" customHeight="1">
      <c r="A129" s="153" t="s">
        <v>8</v>
      </c>
      <c r="B129" s="153"/>
      <c r="C129" s="153"/>
      <c r="D129" s="153"/>
      <c r="E129" s="153"/>
      <c r="F129" s="153"/>
      <c r="G129" s="153"/>
      <c r="H129" s="153"/>
      <c r="I129" s="153"/>
    </row>
    <row r="130" spans="1:9" ht="15.75" customHeight="1">
      <c r="A130" s="154" t="s">
        <v>66</v>
      </c>
      <c r="B130" s="154"/>
      <c r="C130" s="154"/>
      <c r="D130" s="154"/>
      <c r="E130" s="154"/>
      <c r="F130" s="154"/>
      <c r="G130" s="154"/>
      <c r="H130" s="154"/>
      <c r="I130" s="154"/>
    </row>
    <row r="131" spans="1:9" ht="15.75" customHeight="1">
      <c r="A131" s="11"/>
    </row>
    <row r="132" spans="1:9" ht="15.75" customHeight="1">
      <c r="A132" s="155" t="s">
        <v>9</v>
      </c>
      <c r="B132" s="155"/>
      <c r="C132" s="155"/>
      <c r="D132" s="155"/>
      <c r="E132" s="155"/>
      <c r="F132" s="155"/>
      <c r="G132" s="155"/>
      <c r="H132" s="155"/>
      <c r="I132" s="155"/>
    </row>
    <row r="133" spans="1:9" ht="15.75" customHeight="1">
      <c r="A133" s="4"/>
    </row>
    <row r="134" spans="1:9" ht="15.75" customHeight="1">
      <c r="B134" s="109" t="s">
        <v>10</v>
      </c>
      <c r="C134" s="147" t="s">
        <v>192</v>
      </c>
      <c r="D134" s="147"/>
      <c r="E134" s="147"/>
      <c r="F134" s="117"/>
      <c r="I134" s="111"/>
    </row>
    <row r="135" spans="1:9">
      <c r="A135" s="107"/>
      <c r="C135" s="148" t="s">
        <v>11</v>
      </c>
      <c r="D135" s="148"/>
      <c r="E135" s="148"/>
      <c r="F135" s="31"/>
      <c r="I135" s="112" t="s">
        <v>12</v>
      </c>
    </row>
    <row r="136" spans="1:9" ht="15.75">
      <c r="A136" s="32"/>
      <c r="C136" s="12"/>
      <c r="D136" s="12"/>
      <c r="G136" s="12"/>
      <c r="H136" s="12"/>
    </row>
    <row r="137" spans="1:9" ht="15.75">
      <c r="B137" s="109" t="s">
        <v>13</v>
      </c>
      <c r="C137" s="149"/>
      <c r="D137" s="149"/>
      <c r="E137" s="149"/>
      <c r="F137" s="118"/>
      <c r="I137" s="111"/>
    </row>
    <row r="138" spans="1:9">
      <c r="A138" s="107"/>
      <c r="C138" s="150" t="s">
        <v>11</v>
      </c>
      <c r="D138" s="150"/>
      <c r="E138" s="150"/>
      <c r="F138" s="107"/>
      <c r="I138" s="112" t="s">
        <v>12</v>
      </c>
    </row>
    <row r="139" spans="1:9" ht="15.75">
      <c r="A139" s="4" t="s">
        <v>14</v>
      </c>
    </row>
    <row r="140" spans="1:9">
      <c r="A140" s="151" t="s">
        <v>15</v>
      </c>
      <c r="B140" s="151"/>
      <c r="C140" s="151"/>
      <c r="D140" s="151"/>
      <c r="E140" s="151"/>
      <c r="F140" s="151"/>
      <c r="G140" s="151"/>
      <c r="H140" s="151"/>
      <c r="I140" s="151"/>
    </row>
    <row r="141" spans="1:9" ht="45" customHeight="1">
      <c r="A141" s="146" t="s">
        <v>16</v>
      </c>
      <c r="B141" s="146"/>
      <c r="C141" s="146"/>
      <c r="D141" s="146"/>
      <c r="E141" s="146"/>
      <c r="F141" s="146"/>
      <c r="G141" s="146"/>
      <c r="H141" s="146"/>
      <c r="I141" s="146"/>
    </row>
    <row r="142" spans="1:9" ht="30" customHeight="1">
      <c r="A142" s="146" t="s">
        <v>17</v>
      </c>
      <c r="B142" s="146"/>
      <c r="C142" s="146"/>
      <c r="D142" s="146"/>
      <c r="E142" s="146"/>
      <c r="F142" s="146"/>
      <c r="G142" s="146"/>
      <c r="H142" s="146"/>
      <c r="I142" s="146"/>
    </row>
    <row r="143" spans="1:9" ht="30" customHeight="1">
      <c r="A143" s="146" t="s">
        <v>21</v>
      </c>
      <c r="B143" s="146"/>
      <c r="C143" s="146"/>
      <c r="D143" s="146"/>
      <c r="E143" s="146"/>
      <c r="F143" s="146"/>
      <c r="G143" s="146"/>
      <c r="H143" s="146"/>
      <c r="I143" s="146"/>
    </row>
    <row r="144" spans="1:9" ht="15" customHeight="1">
      <c r="A144" s="146" t="s">
        <v>20</v>
      </c>
      <c r="B144" s="146"/>
      <c r="C144" s="146"/>
      <c r="D144" s="146"/>
      <c r="E144" s="146"/>
      <c r="F144" s="146"/>
      <c r="G144" s="146"/>
      <c r="H144" s="146"/>
      <c r="I144" s="146"/>
    </row>
  </sheetData>
  <mergeCells count="27">
    <mergeCell ref="A14:I14"/>
    <mergeCell ref="A3:I3"/>
    <mergeCell ref="A4:I4"/>
    <mergeCell ref="A5:I5"/>
    <mergeCell ref="A8:I8"/>
    <mergeCell ref="A10:I10"/>
    <mergeCell ref="A132:I132"/>
    <mergeCell ref="A15:I15"/>
    <mergeCell ref="A29:I29"/>
    <mergeCell ref="A46:I46"/>
    <mergeCell ref="A58:I58"/>
    <mergeCell ref="A99:I99"/>
    <mergeCell ref="A124:I124"/>
    <mergeCell ref="B125:G125"/>
    <mergeCell ref="B126:G126"/>
    <mergeCell ref="A128:I128"/>
    <mergeCell ref="A129:I129"/>
    <mergeCell ref="A130:I130"/>
    <mergeCell ref="A142:I142"/>
    <mergeCell ref="A143:I143"/>
    <mergeCell ref="A144:I144"/>
    <mergeCell ref="C134:E134"/>
    <mergeCell ref="C135:E135"/>
    <mergeCell ref="C137:E137"/>
    <mergeCell ref="C138:E138"/>
    <mergeCell ref="A140:I140"/>
    <mergeCell ref="A141:I141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230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93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42429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hidden="1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hidden="1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v>0</v>
      </c>
    </row>
    <row r="32" spans="1:9" ht="31.5" hidden="1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v>0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hidden="1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v>0</v>
      </c>
    </row>
    <row r="35" spans="1:9" ht="15.75" hidden="1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v>0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3">SUM(F39*G39/1000)</f>
        <v>13.89664</v>
      </c>
      <c r="I39" s="16">
        <f>F39/6*G39</f>
        <v>2316.1066666666666</v>
      </c>
    </row>
    <row r="40" spans="1:9" ht="15.75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3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3"/>
        <v>29.4892</v>
      </c>
      <c r="I41" s="16">
        <v>0</v>
      </c>
    </row>
    <row r="42" spans="1:9" ht="15.75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3"/>
        <v>3.7102349999999999</v>
      </c>
      <c r="I42" s="16">
        <f t="shared" ref="I42:I45" si="4">F42/6*G42</f>
        <v>618.37249999999995</v>
      </c>
    </row>
    <row r="43" spans="1:9" ht="47.25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3"/>
        <v>9.4489593099999993</v>
      </c>
      <c r="I43" s="16">
        <f t="shared" si="4"/>
        <v>1574.8265516666668</v>
      </c>
    </row>
    <row r="44" spans="1:9" ht="15.75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3"/>
        <v>1.3165470000000001</v>
      </c>
      <c r="I44" s="16">
        <f t="shared" si="4"/>
        <v>219.42450000000002</v>
      </c>
    </row>
    <row r="45" spans="1:9" ht="15.75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3"/>
        <v>0.81688499999999997</v>
      </c>
      <c r="I45" s="16">
        <f t="shared" si="4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5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5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5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5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5"/>
        <v>0.15212377599999999</v>
      </c>
      <c r="I51" s="16">
        <v>0</v>
      </c>
    </row>
    <row r="52" spans="1:9" ht="15.75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5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5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5"/>
        <v>0.12857640000000001</v>
      </c>
      <c r="I55" s="16">
        <v>0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5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5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customHeight="1">
      <c r="A60" s="36">
        <v>13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14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6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6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6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6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6"/>
        <v>32.210177999999999</v>
      </c>
      <c r="I69" s="16">
        <f t="shared" ref="I69:I72" si="7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6"/>
        <v>0.70823999999999998</v>
      </c>
      <c r="I70" s="16">
        <f t="shared" si="7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6"/>
        <v>0.66065999999999991</v>
      </c>
      <c r="I71" s="16">
        <f t="shared" si="7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6"/>
        <v>0.22696</v>
      </c>
      <c r="I72" s="16">
        <f t="shared" si="7"/>
        <v>226.96</v>
      </c>
    </row>
    <row r="73" spans="1:9" ht="15.75" customHeight="1">
      <c r="A73" s="36">
        <v>15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6"/>
        <v>9.0779999999999994</v>
      </c>
      <c r="I73" s="16">
        <f>G73</f>
        <v>756.5</v>
      </c>
    </row>
    <row r="74" spans="1:9" ht="15.75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6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6"/>
        <v>0.97021000000000002</v>
      </c>
      <c r="I78" s="16">
        <v>0</v>
      </c>
    </row>
    <row r="79" spans="1:9" ht="15.75" customHeight="1">
      <c r="A79" s="36">
        <v>16</v>
      </c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6"/>
        <v>0.40779000000000004</v>
      </c>
      <c r="I79" s="16">
        <f>G79</f>
        <v>407.79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6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hidden="1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8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8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8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8"/>
        <v>1.82952</v>
      </c>
      <c r="I88" s="16">
        <v>0</v>
      </c>
    </row>
    <row r="89" spans="1:9" ht="15.75" hidden="1" customHeight="1">
      <c r="A89" s="36"/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8"/>
        <v>1.0895599999999999</v>
      </c>
      <c r="I89" s="16">
        <v>0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8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8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8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8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8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8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8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8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8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17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18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I16+I17+I18+I27+I28+I39+I40+I42+I43+I44+I45+I52+I60+I63+I73+I79+I100+I101</f>
        <v>59730.29374933333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15.75" customHeight="1">
      <c r="A104" s="36">
        <v>19</v>
      </c>
      <c r="B104" s="67" t="s">
        <v>147</v>
      </c>
      <c r="C104" s="20" t="s">
        <v>183</v>
      </c>
      <c r="D104" s="67"/>
      <c r="E104" s="16"/>
      <c r="F104" s="16">
        <v>8</v>
      </c>
      <c r="G104" s="16">
        <v>1501</v>
      </c>
      <c r="H104" s="134">
        <f>G104*F104/1000</f>
        <v>12.007999999999999</v>
      </c>
      <c r="I104" s="16">
        <f>G104*3</f>
        <v>4503</v>
      </c>
    </row>
    <row r="105" spans="1:9" ht="15.75" customHeight="1">
      <c r="A105" s="36">
        <v>20</v>
      </c>
      <c r="B105" s="142" t="s">
        <v>102</v>
      </c>
      <c r="C105" s="122" t="s">
        <v>119</v>
      </c>
      <c r="D105" s="67"/>
      <c r="E105" s="16"/>
      <c r="F105" s="16">
        <v>3</v>
      </c>
      <c r="G105" s="16">
        <v>179.96</v>
      </c>
      <c r="H105" s="134">
        <f>G105*F105/1000</f>
        <v>0.53988000000000003</v>
      </c>
      <c r="I105" s="16">
        <f>G105*2</f>
        <v>359.92</v>
      </c>
    </row>
    <row r="106" spans="1:9" ht="15.75" customHeight="1">
      <c r="A106" s="36">
        <v>21</v>
      </c>
      <c r="B106" s="141" t="s">
        <v>209</v>
      </c>
      <c r="C106" s="36" t="s">
        <v>139</v>
      </c>
      <c r="D106" s="67"/>
      <c r="E106" s="16"/>
      <c r="F106" s="16">
        <f>0.96/10</f>
        <v>9.6000000000000002E-2</v>
      </c>
      <c r="G106" s="16">
        <v>3113.97</v>
      </c>
      <c r="H106" s="134">
        <f t="shared" ref="H106" si="9">G106*F106/1000</f>
        <v>0.29894112</v>
      </c>
      <c r="I106" s="16">
        <f>G106*(0.96/10)</f>
        <v>298.94112000000001</v>
      </c>
    </row>
    <row r="107" spans="1:9">
      <c r="A107" s="36"/>
      <c r="B107" s="61" t="s">
        <v>54</v>
      </c>
      <c r="C107" s="57"/>
      <c r="D107" s="70"/>
      <c r="E107" s="57">
        <v>1</v>
      </c>
      <c r="F107" s="57"/>
      <c r="G107" s="57"/>
      <c r="H107" s="57"/>
      <c r="I107" s="39">
        <f>SUM(I104:I106)</f>
        <v>5161.8611200000005</v>
      </c>
    </row>
    <row r="108" spans="1:9">
      <c r="A108" s="36"/>
      <c r="B108" s="67" t="s">
        <v>89</v>
      </c>
      <c r="C108" s="19"/>
      <c r="D108" s="19"/>
      <c r="E108" s="58"/>
      <c r="F108" s="58"/>
      <c r="G108" s="59"/>
      <c r="H108" s="59"/>
      <c r="I108" s="22">
        <v>0</v>
      </c>
    </row>
    <row r="109" spans="1:9" ht="15.75" customHeight="1">
      <c r="A109" s="71"/>
      <c r="B109" s="62" t="s">
        <v>55</v>
      </c>
      <c r="C109" s="45"/>
      <c r="D109" s="45"/>
      <c r="E109" s="45"/>
      <c r="F109" s="45"/>
      <c r="G109" s="45"/>
      <c r="H109" s="45"/>
      <c r="I109" s="60">
        <f>I102+I107</f>
        <v>64892.154869333332</v>
      </c>
    </row>
    <row r="110" spans="1:9" ht="15.75">
      <c r="A110" s="163" t="s">
        <v>231</v>
      </c>
      <c r="B110" s="163"/>
      <c r="C110" s="163"/>
      <c r="D110" s="163"/>
      <c r="E110" s="163"/>
      <c r="F110" s="163"/>
      <c r="G110" s="163"/>
      <c r="H110" s="163"/>
      <c r="I110" s="163"/>
    </row>
    <row r="111" spans="1:9" ht="15.75">
      <c r="A111" s="113"/>
      <c r="B111" s="152" t="s">
        <v>232</v>
      </c>
      <c r="C111" s="152"/>
      <c r="D111" s="152"/>
      <c r="E111" s="152"/>
      <c r="F111" s="152"/>
      <c r="G111" s="152"/>
      <c r="H111" s="119"/>
      <c r="I111" s="3"/>
    </row>
    <row r="112" spans="1:9">
      <c r="A112" s="107"/>
      <c r="B112" s="148" t="s">
        <v>6</v>
      </c>
      <c r="C112" s="148"/>
      <c r="D112" s="148"/>
      <c r="E112" s="148"/>
      <c r="F112" s="148"/>
      <c r="G112" s="148"/>
      <c r="H112" s="31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 customHeight="1">
      <c r="A114" s="153" t="s">
        <v>7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15.75" customHeight="1">
      <c r="A115" s="153" t="s">
        <v>8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.75" customHeight="1">
      <c r="A116" s="154" t="s">
        <v>66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15.75" customHeight="1">
      <c r="A117" s="11"/>
    </row>
    <row r="118" spans="1:9" ht="15.75" customHeight="1">
      <c r="A118" s="155" t="s">
        <v>9</v>
      </c>
      <c r="B118" s="155"/>
      <c r="C118" s="155"/>
      <c r="D118" s="155"/>
      <c r="E118" s="155"/>
      <c r="F118" s="155"/>
      <c r="G118" s="155"/>
      <c r="H118" s="155"/>
      <c r="I118" s="155"/>
    </row>
    <row r="119" spans="1:9" ht="15.75" customHeight="1">
      <c r="A119" s="4"/>
    </row>
    <row r="120" spans="1:9" ht="15.75" customHeight="1">
      <c r="B120" s="109" t="s">
        <v>10</v>
      </c>
      <c r="C120" s="147" t="s">
        <v>192</v>
      </c>
      <c r="D120" s="147"/>
      <c r="E120" s="147"/>
      <c r="F120" s="117"/>
      <c r="I120" s="111"/>
    </row>
    <row r="121" spans="1:9">
      <c r="A121" s="107"/>
      <c r="C121" s="148" t="s">
        <v>11</v>
      </c>
      <c r="D121" s="148"/>
      <c r="E121" s="148"/>
      <c r="F121" s="31"/>
      <c r="I121" s="112" t="s">
        <v>12</v>
      </c>
    </row>
    <row r="122" spans="1:9" ht="15.75">
      <c r="A122" s="32"/>
      <c r="C122" s="12"/>
      <c r="D122" s="12"/>
      <c r="G122" s="12"/>
      <c r="H122" s="12"/>
    </row>
    <row r="123" spans="1:9" ht="15.75">
      <c r="B123" s="109" t="s">
        <v>13</v>
      </c>
      <c r="C123" s="149"/>
      <c r="D123" s="149"/>
      <c r="E123" s="149"/>
      <c r="F123" s="118"/>
      <c r="I123" s="111"/>
    </row>
    <row r="124" spans="1:9">
      <c r="A124" s="107"/>
      <c r="C124" s="150" t="s">
        <v>11</v>
      </c>
      <c r="D124" s="150"/>
      <c r="E124" s="150"/>
      <c r="F124" s="107"/>
      <c r="I124" s="112" t="s">
        <v>12</v>
      </c>
    </row>
    <row r="125" spans="1:9" ht="15.75">
      <c r="A125" s="4" t="s">
        <v>14</v>
      </c>
    </row>
    <row r="126" spans="1:9">
      <c r="A126" s="151" t="s">
        <v>15</v>
      </c>
      <c r="B126" s="151"/>
      <c r="C126" s="151"/>
      <c r="D126" s="151"/>
      <c r="E126" s="151"/>
      <c r="F126" s="151"/>
      <c r="G126" s="151"/>
      <c r="H126" s="151"/>
      <c r="I126" s="151"/>
    </row>
    <row r="127" spans="1:9" ht="45" customHeight="1">
      <c r="A127" s="146" t="s">
        <v>16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30" customHeight="1">
      <c r="A128" s="146" t="s">
        <v>17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30" customHeight="1">
      <c r="A129" s="146" t="s">
        <v>21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15" customHeight="1">
      <c r="A130" s="146" t="s">
        <v>20</v>
      </c>
      <c r="B130" s="146"/>
      <c r="C130" s="146"/>
      <c r="D130" s="146"/>
      <c r="E130" s="146"/>
      <c r="F130" s="146"/>
      <c r="G130" s="146"/>
      <c r="H130" s="146"/>
      <c r="I130" s="146"/>
    </row>
  </sheetData>
  <mergeCells count="27">
    <mergeCell ref="A14:I14"/>
    <mergeCell ref="A3:I3"/>
    <mergeCell ref="A4:I4"/>
    <mergeCell ref="A5:I5"/>
    <mergeCell ref="A8:I8"/>
    <mergeCell ref="A10:I10"/>
    <mergeCell ref="A118:I118"/>
    <mergeCell ref="A15:I15"/>
    <mergeCell ref="A29:I29"/>
    <mergeCell ref="A46:I46"/>
    <mergeCell ref="A58:I58"/>
    <mergeCell ref="A99:I99"/>
    <mergeCell ref="A110:I110"/>
    <mergeCell ref="B111:G111"/>
    <mergeCell ref="B112:G112"/>
    <mergeCell ref="A114:I114"/>
    <mergeCell ref="A115:I115"/>
    <mergeCell ref="A116:I116"/>
    <mergeCell ref="A128:I128"/>
    <mergeCell ref="A129:I129"/>
    <mergeCell ref="A130:I130"/>
    <mergeCell ref="C120:E120"/>
    <mergeCell ref="C121:E121"/>
    <mergeCell ref="C123:E123"/>
    <mergeCell ref="C124:E124"/>
    <mergeCell ref="A126:I126"/>
    <mergeCell ref="A127:I12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233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95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42460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hidden="1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hidden="1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v>0</v>
      </c>
    </row>
    <row r="32" spans="1:9" ht="31.5" hidden="1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v>0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hidden="1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v>0</v>
      </c>
    </row>
    <row r="35" spans="1:9" ht="15.75" hidden="1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v>0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3">SUM(F39*G39/1000)</f>
        <v>13.89664</v>
      </c>
      <c r="I39" s="16">
        <f>F39/6*G39</f>
        <v>2316.1066666666666</v>
      </c>
    </row>
    <row r="40" spans="1:9" ht="15.75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3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3"/>
        <v>29.4892</v>
      </c>
      <c r="I41" s="16">
        <v>0</v>
      </c>
    </row>
    <row r="42" spans="1:9" ht="15.75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3"/>
        <v>3.7102349999999999</v>
      </c>
      <c r="I42" s="16">
        <f t="shared" ref="I42:I45" si="4">F42/6*G42</f>
        <v>618.37249999999995</v>
      </c>
    </row>
    <row r="43" spans="1:9" ht="47.25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3"/>
        <v>9.4489593099999993</v>
      </c>
      <c r="I43" s="16">
        <f t="shared" si="4"/>
        <v>1574.8265516666668</v>
      </c>
    </row>
    <row r="44" spans="1:9" ht="15.75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3"/>
        <v>1.3165470000000001</v>
      </c>
      <c r="I44" s="16">
        <f t="shared" si="4"/>
        <v>219.42450000000002</v>
      </c>
    </row>
    <row r="45" spans="1:9" ht="15.75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3"/>
        <v>0.81688499999999997</v>
      </c>
      <c r="I45" s="16">
        <f t="shared" si="4"/>
        <v>136.14749999999998</v>
      </c>
    </row>
    <row r="46" spans="1:9" ht="15.75" hidden="1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5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5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5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5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5"/>
        <v>0.15212377599999999</v>
      </c>
      <c r="I51" s="16">
        <v>0</v>
      </c>
    </row>
    <row r="52" spans="1:9" ht="15.75" hidden="1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5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5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5"/>
        <v>0.12857640000000001</v>
      </c>
      <c r="I55" s="16">
        <v>0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5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5"/>
        <v>25.102559999999997</v>
      </c>
      <c r="I57" s="16">
        <f>E57*G57</f>
        <v>8367.5199999999986</v>
      </c>
    </row>
    <row r="58" spans="1:9" ht="15.75" customHeight="1">
      <c r="A58" s="157" t="s">
        <v>198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customHeight="1">
      <c r="A60" s="36">
        <v>12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13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14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6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6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6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6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6"/>
        <v>32.210177999999999</v>
      </c>
      <c r="I69" s="16">
        <f t="shared" ref="I69:I72" si="7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6"/>
        <v>0.70823999999999998</v>
      </c>
      <c r="I70" s="16">
        <f t="shared" si="7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6"/>
        <v>0.66065999999999991</v>
      </c>
      <c r="I71" s="16">
        <f t="shared" si="7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6"/>
        <v>0.22696</v>
      </c>
      <c r="I72" s="16">
        <f t="shared" si="7"/>
        <v>226.96</v>
      </c>
    </row>
    <row r="73" spans="1:9" ht="15.75" customHeight="1">
      <c r="A73" s="36">
        <v>14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6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6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6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6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6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8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8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8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8"/>
        <v>1.82952</v>
      </c>
      <c r="I88" s="16">
        <v>0</v>
      </c>
    </row>
    <row r="89" spans="1:9" ht="31.5" customHeight="1">
      <c r="A89" s="36">
        <v>15</v>
      </c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8"/>
        <v>1.0895599999999999</v>
      </c>
      <c r="I89" s="16">
        <f>G89*4.5</f>
        <v>1225.7549999999999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8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8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8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8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8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8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8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8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8"/>
        <v>3.0228432000000001</v>
      </c>
      <c r="I98" s="16">
        <v>0</v>
      </c>
    </row>
    <row r="99" spans="1:9" ht="15.75" customHeight="1">
      <c r="A99" s="160" t="s">
        <v>199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16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17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I16+I17+I18+I27+I28+I39+I40+I42+I43+I44+I45+I60+I63+I73+I89+I100+I101</f>
        <v>58920.823453333323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18</v>
      </c>
      <c r="B104" s="76" t="s">
        <v>91</v>
      </c>
      <c r="C104" s="122" t="s">
        <v>119</v>
      </c>
      <c r="D104" s="67"/>
      <c r="E104" s="16"/>
      <c r="F104" s="16">
        <v>5</v>
      </c>
      <c r="G104" s="16">
        <v>79.09</v>
      </c>
      <c r="H104" s="134">
        <f>G104*F104/1000</f>
        <v>0.39545000000000002</v>
      </c>
      <c r="I104" s="16">
        <f>G104</f>
        <v>79.09</v>
      </c>
    </row>
    <row r="105" spans="1:9" ht="15.75" customHeight="1">
      <c r="A105" s="36">
        <v>19</v>
      </c>
      <c r="B105" s="67" t="s">
        <v>147</v>
      </c>
      <c r="C105" s="20" t="s">
        <v>183</v>
      </c>
      <c r="D105" s="67"/>
      <c r="E105" s="16"/>
      <c r="F105" s="16">
        <v>8</v>
      </c>
      <c r="G105" s="16">
        <v>1501</v>
      </c>
      <c r="H105" s="134">
        <f>G105*F105/1000</f>
        <v>12.007999999999999</v>
      </c>
      <c r="I105" s="16">
        <f>G105*0.5</f>
        <v>750.5</v>
      </c>
    </row>
    <row r="106" spans="1:9" ht="31.5" customHeight="1">
      <c r="A106" s="36">
        <v>20</v>
      </c>
      <c r="B106" s="76" t="s">
        <v>210</v>
      </c>
      <c r="C106" s="122" t="s">
        <v>40</v>
      </c>
      <c r="D106" s="67"/>
      <c r="E106" s="16"/>
      <c r="F106" s="16">
        <f>3/100</f>
        <v>0.03</v>
      </c>
      <c r="G106" s="16">
        <v>3397.65</v>
      </c>
      <c r="H106" s="134">
        <f t="shared" ref="H106" si="9">G106*F106/1000</f>
        <v>0.10192950000000001</v>
      </c>
      <c r="I106" s="16">
        <f>G106*0.01</f>
        <v>33.976500000000001</v>
      </c>
    </row>
    <row r="107" spans="1:9">
      <c r="A107" s="36"/>
      <c r="B107" s="61" t="s">
        <v>54</v>
      </c>
      <c r="C107" s="57"/>
      <c r="D107" s="70"/>
      <c r="E107" s="57">
        <v>1</v>
      </c>
      <c r="F107" s="57"/>
      <c r="G107" s="57"/>
      <c r="H107" s="57"/>
      <c r="I107" s="39">
        <f>SUM(I104:I106)</f>
        <v>863.56650000000002</v>
      </c>
    </row>
    <row r="108" spans="1:9">
      <c r="A108" s="36"/>
      <c r="B108" s="67" t="s">
        <v>89</v>
      </c>
      <c r="C108" s="19"/>
      <c r="D108" s="19"/>
      <c r="E108" s="58"/>
      <c r="F108" s="58"/>
      <c r="G108" s="59"/>
      <c r="H108" s="59"/>
      <c r="I108" s="22">
        <v>0</v>
      </c>
    </row>
    <row r="109" spans="1:9" ht="15.75" customHeight="1">
      <c r="A109" s="71"/>
      <c r="B109" s="62" t="s">
        <v>55</v>
      </c>
      <c r="C109" s="45"/>
      <c r="D109" s="45"/>
      <c r="E109" s="45"/>
      <c r="F109" s="45"/>
      <c r="G109" s="45"/>
      <c r="H109" s="45"/>
      <c r="I109" s="60">
        <f>I102+I107</f>
        <v>59784.389953333324</v>
      </c>
    </row>
    <row r="110" spans="1:9" ht="15.75">
      <c r="A110" s="163" t="s">
        <v>234</v>
      </c>
      <c r="B110" s="163"/>
      <c r="C110" s="163"/>
      <c r="D110" s="163"/>
      <c r="E110" s="163"/>
      <c r="F110" s="163"/>
      <c r="G110" s="163"/>
      <c r="H110" s="163"/>
      <c r="I110" s="163"/>
    </row>
    <row r="111" spans="1:9" ht="15.75">
      <c r="A111" s="113"/>
      <c r="B111" s="152" t="s">
        <v>256</v>
      </c>
      <c r="C111" s="152"/>
      <c r="D111" s="152"/>
      <c r="E111" s="152"/>
      <c r="F111" s="152"/>
      <c r="G111" s="152"/>
      <c r="H111" s="119"/>
      <c r="I111" s="3"/>
    </row>
    <row r="112" spans="1:9">
      <c r="A112" s="107"/>
      <c r="B112" s="148" t="s">
        <v>6</v>
      </c>
      <c r="C112" s="148"/>
      <c r="D112" s="148"/>
      <c r="E112" s="148"/>
      <c r="F112" s="148"/>
      <c r="G112" s="148"/>
      <c r="H112" s="31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 customHeight="1">
      <c r="A114" s="153" t="s">
        <v>7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15.75" customHeight="1">
      <c r="A115" s="153" t="s">
        <v>8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.75" customHeight="1">
      <c r="A116" s="154" t="s">
        <v>66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15.75" customHeight="1">
      <c r="A117" s="11"/>
    </row>
    <row r="118" spans="1:9" ht="15.75" customHeight="1">
      <c r="A118" s="155" t="s">
        <v>9</v>
      </c>
      <c r="B118" s="155"/>
      <c r="C118" s="155"/>
      <c r="D118" s="155"/>
      <c r="E118" s="155"/>
      <c r="F118" s="155"/>
      <c r="G118" s="155"/>
      <c r="H118" s="155"/>
      <c r="I118" s="155"/>
    </row>
    <row r="119" spans="1:9" ht="15.75" customHeight="1">
      <c r="A119" s="4"/>
    </row>
    <row r="120" spans="1:9" ht="15.75" customHeight="1">
      <c r="B120" s="109" t="s">
        <v>10</v>
      </c>
      <c r="C120" s="147" t="s">
        <v>192</v>
      </c>
      <c r="D120" s="147"/>
      <c r="E120" s="147"/>
      <c r="F120" s="117"/>
      <c r="I120" s="111"/>
    </row>
    <row r="121" spans="1:9">
      <c r="A121" s="107"/>
      <c r="C121" s="148" t="s">
        <v>11</v>
      </c>
      <c r="D121" s="148"/>
      <c r="E121" s="148"/>
      <c r="F121" s="31"/>
      <c r="I121" s="112" t="s">
        <v>12</v>
      </c>
    </row>
    <row r="122" spans="1:9" ht="15.75">
      <c r="A122" s="32"/>
      <c r="C122" s="12"/>
      <c r="D122" s="12"/>
      <c r="G122" s="12"/>
      <c r="H122" s="12"/>
    </row>
    <row r="123" spans="1:9" ht="15.75">
      <c r="B123" s="109" t="s">
        <v>13</v>
      </c>
      <c r="C123" s="149"/>
      <c r="D123" s="149"/>
      <c r="E123" s="149"/>
      <c r="F123" s="118"/>
      <c r="I123" s="111"/>
    </row>
    <row r="124" spans="1:9">
      <c r="A124" s="107"/>
      <c r="C124" s="150" t="s">
        <v>11</v>
      </c>
      <c r="D124" s="150"/>
      <c r="E124" s="150"/>
      <c r="F124" s="107"/>
      <c r="I124" s="112" t="s">
        <v>12</v>
      </c>
    </row>
    <row r="125" spans="1:9" ht="15.75">
      <c r="A125" s="4" t="s">
        <v>14</v>
      </c>
    </row>
    <row r="126" spans="1:9">
      <c r="A126" s="151" t="s">
        <v>15</v>
      </c>
      <c r="B126" s="151"/>
      <c r="C126" s="151"/>
      <c r="D126" s="151"/>
      <c r="E126" s="151"/>
      <c r="F126" s="151"/>
      <c r="G126" s="151"/>
      <c r="H126" s="151"/>
      <c r="I126" s="151"/>
    </row>
    <row r="127" spans="1:9" ht="45" customHeight="1">
      <c r="A127" s="146" t="s">
        <v>16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30" customHeight="1">
      <c r="A128" s="146" t="s">
        <v>17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30" customHeight="1">
      <c r="A129" s="146" t="s">
        <v>21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15" customHeight="1">
      <c r="A130" s="146" t="s">
        <v>20</v>
      </c>
      <c r="B130" s="146"/>
      <c r="C130" s="146"/>
      <c r="D130" s="146"/>
      <c r="E130" s="146"/>
      <c r="F130" s="146"/>
      <c r="G130" s="146"/>
      <c r="H130" s="146"/>
      <c r="I130" s="146"/>
    </row>
  </sheetData>
  <mergeCells count="27">
    <mergeCell ref="A14:I14"/>
    <mergeCell ref="A3:I3"/>
    <mergeCell ref="A4:I4"/>
    <mergeCell ref="A5:I5"/>
    <mergeCell ref="A8:I8"/>
    <mergeCell ref="A10:I10"/>
    <mergeCell ref="A118:I118"/>
    <mergeCell ref="A15:I15"/>
    <mergeCell ref="A29:I29"/>
    <mergeCell ref="A46:I46"/>
    <mergeCell ref="A58:I58"/>
    <mergeCell ref="A99:I99"/>
    <mergeCell ref="A110:I110"/>
    <mergeCell ref="B111:G111"/>
    <mergeCell ref="B112:G112"/>
    <mergeCell ref="A114:I114"/>
    <mergeCell ref="A115:I115"/>
    <mergeCell ref="A116:I116"/>
    <mergeCell ref="A128:I128"/>
    <mergeCell ref="A129:I129"/>
    <mergeCell ref="A130:I130"/>
    <mergeCell ref="C120:E120"/>
    <mergeCell ref="C121:E121"/>
    <mergeCell ref="C123:E123"/>
    <mergeCell ref="C124:E124"/>
    <mergeCell ref="A126:I126"/>
    <mergeCell ref="A127:I12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235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96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42490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hidden="1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hidden="1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v>0</v>
      </c>
    </row>
    <row r="32" spans="1:9" ht="31.5" hidden="1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v>0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hidden="1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v>0</v>
      </c>
    </row>
    <row r="35" spans="1:9" ht="15.75" hidden="1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v>0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3">SUM(F39*G39/1000)</f>
        <v>13.89664</v>
      </c>
      <c r="I39" s="16">
        <f>F39/6*G39</f>
        <v>2316.1066666666666</v>
      </c>
    </row>
    <row r="40" spans="1:9" ht="15.75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3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3"/>
        <v>29.4892</v>
      </c>
      <c r="I41" s="16">
        <v>0</v>
      </c>
    </row>
    <row r="42" spans="1:9" ht="15.75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3"/>
        <v>3.7102349999999999</v>
      </c>
      <c r="I42" s="16">
        <f t="shared" ref="I42:I45" si="4">F42/6*G42</f>
        <v>618.37249999999995</v>
      </c>
    </row>
    <row r="43" spans="1:9" ht="47.25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3"/>
        <v>9.4489593099999993</v>
      </c>
      <c r="I43" s="16">
        <f t="shared" si="4"/>
        <v>1574.8265516666668</v>
      </c>
    </row>
    <row r="44" spans="1:9" ht="15.75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3"/>
        <v>1.3165470000000001</v>
      </c>
      <c r="I44" s="16">
        <f t="shared" si="4"/>
        <v>219.42450000000002</v>
      </c>
    </row>
    <row r="45" spans="1:9" ht="15.75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3"/>
        <v>0.81688499999999997</v>
      </c>
      <c r="I45" s="16">
        <f t="shared" si="4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5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5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5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5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5"/>
        <v>0.15212377599999999</v>
      </c>
      <c r="I51" s="16">
        <v>0</v>
      </c>
    </row>
    <row r="52" spans="1:9" ht="15.75" hidden="1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5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5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5"/>
        <v>0.12857640000000001</v>
      </c>
      <c r="I55" s="16">
        <v>0</v>
      </c>
    </row>
    <row r="56" spans="1:9" ht="15.75" customHeight="1">
      <c r="A56" s="36">
        <v>12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5"/>
        <v>26.965679999999999</v>
      </c>
      <c r="I56" s="16">
        <f>E56*G56</f>
        <v>8988.56</v>
      </c>
    </row>
    <row r="57" spans="1:9" ht="15.75" customHeight="1">
      <c r="A57" s="36">
        <v>13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5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customHeight="1">
      <c r="A60" s="36">
        <v>14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15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6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6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6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6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6"/>
        <v>32.210177999999999</v>
      </c>
      <c r="I69" s="16">
        <f t="shared" ref="I69:I72" si="7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6"/>
        <v>0.70823999999999998</v>
      </c>
      <c r="I70" s="16">
        <f t="shared" si="7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6"/>
        <v>0.66065999999999991</v>
      </c>
      <c r="I71" s="16">
        <f t="shared" si="7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6"/>
        <v>0.22696</v>
      </c>
      <c r="I72" s="16">
        <f t="shared" si="7"/>
        <v>226.96</v>
      </c>
    </row>
    <row r="73" spans="1:9" ht="15.75" customHeight="1">
      <c r="A73" s="36">
        <v>16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6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6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6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6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6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8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8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8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8"/>
        <v>1.82952</v>
      </c>
      <c r="I88" s="16">
        <v>0</v>
      </c>
    </row>
    <row r="89" spans="1:9" ht="31.5" customHeight="1">
      <c r="A89" s="36">
        <v>17</v>
      </c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8"/>
        <v>1.0895599999999999</v>
      </c>
      <c r="I89" s="16">
        <f>G89*3.55</f>
        <v>966.98449999999991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8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8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8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8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8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8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8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8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8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18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19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I16+I17+I18+I27+I28+I39+I40+I42+I43+I44+I45+I56+I57+I60+I63+I73+I89+I100+I101</f>
        <v>76018.132953333319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20</v>
      </c>
      <c r="B104" s="76" t="s">
        <v>211</v>
      </c>
      <c r="C104" s="122" t="s">
        <v>94</v>
      </c>
      <c r="D104" s="67"/>
      <c r="E104" s="16"/>
      <c r="F104" s="16">
        <v>5</v>
      </c>
      <c r="G104" s="16">
        <v>1187</v>
      </c>
      <c r="H104" s="134">
        <f t="shared" ref="H104" si="9">G104*F104/1000</f>
        <v>5.9349999999999996</v>
      </c>
      <c r="I104" s="16">
        <f>G104*5</f>
        <v>5935</v>
      </c>
    </row>
    <row r="105" spans="1:9">
      <c r="A105" s="36"/>
      <c r="B105" s="61" t="s">
        <v>54</v>
      </c>
      <c r="C105" s="57"/>
      <c r="D105" s="70"/>
      <c r="E105" s="57">
        <v>1</v>
      </c>
      <c r="F105" s="57"/>
      <c r="G105" s="57"/>
      <c r="H105" s="57"/>
      <c r="I105" s="39">
        <f>SUM(I104:I104)</f>
        <v>5935</v>
      </c>
    </row>
    <row r="106" spans="1:9">
      <c r="A106" s="36"/>
      <c r="B106" s="67" t="s">
        <v>89</v>
      </c>
      <c r="C106" s="19"/>
      <c r="D106" s="19"/>
      <c r="E106" s="58"/>
      <c r="F106" s="58"/>
      <c r="G106" s="59"/>
      <c r="H106" s="59"/>
      <c r="I106" s="22">
        <v>0</v>
      </c>
    </row>
    <row r="107" spans="1:9" ht="15.75" customHeight="1">
      <c r="A107" s="71"/>
      <c r="B107" s="62" t="s">
        <v>55</v>
      </c>
      <c r="C107" s="45"/>
      <c r="D107" s="45"/>
      <c r="E107" s="45"/>
      <c r="F107" s="45"/>
      <c r="G107" s="45"/>
      <c r="H107" s="45"/>
      <c r="I107" s="60">
        <f>I102+I105</f>
        <v>81953.132953333319</v>
      </c>
    </row>
    <row r="108" spans="1:9" ht="15.75">
      <c r="A108" s="163" t="s">
        <v>236</v>
      </c>
      <c r="B108" s="163"/>
      <c r="C108" s="163"/>
      <c r="D108" s="163"/>
      <c r="E108" s="163"/>
      <c r="F108" s="163"/>
      <c r="G108" s="163"/>
      <c r="H108" s="163"/>
      <c r="I108" s="163"/>
    </row>
    <row r="109" spans="1:9" ht="15.75">
      <c r="A109" s="113"/>
      <c r="B109" s="152" t="s">
        <v>237</v>
      </c>
      <c r="C109" s="152"/>
      <c r="D109" s="152"/>
      <c r="E109" s="152"/>
      <c r="F109" s="152"/>
      <c r="G109" s="152"/>
      <c r="H109" s="119"/>
      <c r="I109" s="3"/>
    </row>
    <row r="110" spans="1:9">
      <c r="A110" s="107"/>
      <c r="B110" s="148" t="s">
        <v>6</v>
      </c>
      <c r="C110" s="148"/>
      <c r="D110" s="148"/>
      <c r="E110" s="148"/>
      <c r="F110" s="148"/>
      <c r="G110" s="148"/>
      <c r="H110" s="31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 customHeight="1">
      <c r="A112" s="153" t="s">
        <v>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15.75" customHeight="1">
      <c r="A113" s="153" t="s">
        <v>8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.75" customHeight="1">
      <c r="A114" s="154" t="s">
        <v>66</v>
      </c>
      <c r="B114" s="154"/>
      <c r="C114" s="154"/>
      <c r="D114" s="154"/>
      <c r="E114" s="154"/>
      <c r="F114" s="154"/>
      <c r="G114" s="154"/>
      <c r="H114" s="154"/>
      <c r="I114" s="154"/>
    </row>
    <row r="115" spans="1:9" ht="15.75" customHeight="1">
      <c r="A115" s="11"/>
    </row>
    <row r="116" spans="1:9" ht="15.75" customHeight="1">
      <c r="A116" s="155" t="s">
        <v>9</v>
      </c>
      <c r="B116" s="155"/>
      <c r="C116" s="155"/>
      <c r="D116" s="155"/>
      <c r="E116" s="155"/>
      <c r="F116" s="155"/>
      <c r="G116" s="155"/>
      <c r="H116" s="155"/>
      <c r="I116" s="155"/>
    </row>
    <row r="117" spans="1:9" ht="15.75" customHeight="1">
      <c r="A117" s="4"/>
    </row>
    <row r="118" spans="1:9" ht="15.75" customHeight="1">
      <c r="B118" s="109" t="s">
        <v>10</v>
      </c>
      <c r="C118" s="147" t="s">
        <v>192</v>
      </c>
      <c r="D118" s="147"/>
      <c r="E118" s="147"/>
      <c r="F118" s="117"/>
      <c r="I118" s="111"/>
    </row>
    <row r="119" spans="1:9">
      <c r="A119" s="107"/>
      <c r="C119" s="148" t="s">
        <v>11</v>
      </c>
      <c r="D119" s="148"/>
      <c r="E119" s="148"/>
      <c r="F119" s="31"/>
      <c r="I119" s="112" t="s">
        <v>12</v>
      </c>
    </row>
    <row r="120" spans="1:9" ht="15.75">
      <c r="A120" s="32"/>
      <c r="C120" s="12"/>
      <c r="D120" s="12"/>
      <c r="G120" s="12"/>
      <c r="H120" s="12"/>
    </row>
    <row r="121" spans="1:9" ht="15.75">
      <c r="B121" s="109" t="s">
        <v>13</v>
      </c>
      <c r="C121" s="149"/>
      <c r="D121" s="149"/>
      <c r="E121" s="149"/>
      <c r="F121" s="118"/>
      <c r="I121" s="111"/>
    </row>
    <row r="122" spans="1:9">
      <c r="A122" s="107"/>
      <c r="C122" s="150" t="s">
        <v>11</v>
      </c>
      <c r="D122" s="150"/>
      <c r="E122" s="150"/>
      <c r="F122" s="107"/>
      <c r="I122" s="112" t="s">
        <v>12</v>
      </c>
    </row>
    <row r="123" spans="1:9" ht="15.75">
      <c r="A123" s="4" t="s">
        <v>14</v>
      </c>
    </row>
    <row r="124" spans="1:9">
      <c r="A124" s="151" t="s">
        <v>15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45" customHeight="1">
      <c r="A125" s="146" t="s">
        <v>16</v>
      </c>
      <c r="B125" s="146"/>
      <c r="C125" s="146"/>
      <c r="D125" s="146"/>
      <c r="E125" s="146"/>
      <c r="F125" s="146"/>
      <c r="G125" s="146"/>
      <c r="H125" s="146"/>
      <c r="I125" s="146"/>
    </row>
    <row r="126" spans="1:9" ht="30" customHeight="1">
      <c r="A126" s="146" t="s">
        <v>17</v>
      </c>
      <c r="B126" s="146"/>
      <c r="C126" s="146"/>
      <c r="D126" s="146"/>
      <c r="E126" s="146"/>
      <c r="F126" s="146"/>
      <c r="G126" s="146"/>
      <c r="H126" s="146"/>
      <c r="I126" s="146"/>
    </row>
    <row r="127" spans="1:9" ht="30" customHeight="1">
      <c r="A127" s="146" t="s">
        <v>21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15" customHeight="1">
      <c r="A128" s="146" t="s">
        <v>20</v>
      </c>
      <c r="B128" s="146"/>
      <c r="C128" s="146"/>
      <c r="D128" s="146"/>
      <c r="E128" s="146"/>
      <c r="F128" s="146"/>
      <c r="G128" s="146"/>
      <c r="H128" s="146"/>
      <c r="I128" s="146"/>
    </row>
  </sheetData>
  <mergeCells count="27">
    <mergeCell ref="A14:I14"/>
    <mergeCell ref="A3:I3"/>
    <mergeCell ref="A4:I4"/>
    <mergeCell ref="A5:I5"/>
    <mergeCell ref="A8:I8"/>
    <mergeCell ref="A10:I10"/>
    <mergeCell ref="A116:I116"/>
    <mergeCell ref="A15:I15"/>
    <mergeCell ref="A29:I29"/>
    <mergeCell ref="A46:I46"/>
    <mergeCell ref="A58:I58"/>
    <mergeCell ref="A99:I99"/>
    <mergeCell ref="A108:I108"/>
    <mergeCell ref="B109:G109"/>
    <mergeCell ref="B110:G110"/>
    <mergeCell ref="A112:I112"/>
    <mergeCell ref="A113:I113"/>
    <mergeCell ref="A114:I114"/>
    <mergeCell ref="A126:I126"/>
    <mergeCell ref="A127:I127"/>
    <mergeCell ref="A128:I128"/>
    <mergeCell ref="C118:E118"/>
    <mergeCell ref="C119:E119"/>
    <mergeCell ref="C121:E121"/>
    <mergeCell ref="C122:E122"/>
    <mergeCell ref="A124:I124"/>
    <mergeCell ref="A125:I125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238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98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42521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customHeight="1">
      <c r="A19" s="36">
        <v>4</v>
      </c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f>F19/2*G19</f>
        <v>387.1</v>
      </c>
    </row>
    <row r="20" spans="1:9" ht="15.75" customHeight="1">
      <c r="A20" s="36">
        <v>5</v>
      </c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f t="shared" ref="I20:I21" si="2">F20/2*G20</f>
        <v>26.021099999999997</v>
      </c>
    </row>
    <row r="21" spans="1:9" ht="15.75" customHeight="1">
      <c r="A21" s="36">
        <v>6</v>
      </c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f t="shared" si="2"/>
        <v>6.6368700000000009</v>
      </c>
    </row>
    <row r="22" spans="1:9" ht="15.75" customHeight="1">
      <c r="A22" s="36">
        <v>7</v>
      </c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f>F22*G22</f>
        <v>1093.3481999999999</v>
      </c>
    </row>
    <row r="23" spans="1:9" ht="15.75" customHeight="1">
      <c r="A23" s="36">
        <v>8</v>
      </c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f t="shared" ref="I23:I26" si="3">F23*G23</f>
        <v>19.462968</v>
      </c>
    </row>
    <row r="24" spans="1:9" ht="15.75" customHeight="1">
      <c r="A24" s="36">
        <v>9</v>
      </c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f t="shared" si="3"/>
        <v>66.490499999999997</v>
      </c>
    </row>
    <row r="25" spans="1:9" ht="15.75" customHeight="1">
      <c r="A25" s="36">
        <v>10</v>
      </c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f t="shared" si="3"/>
        <v>24.581000000000003</v>
      </c>
    </row>
    <row r="26" spans="1:9" ht="15.75" customHeight="1">
      <c r="A26" s="36">
        <v>11</v>
      </c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f t="shared" si="3"/>
        <v>37.793205999999998</v>
      </c>
    </row>
    <row r="27" spans="1:9" ht="15.75" customHeight="1">
      <c r="A27" s="36">
        <v>12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13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customHeight="1">
      <c r="A31" s="36">
        <v>14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4">SUM(F31*G31/1000)</f>
        <v>5.2883625600000004</v>
      </c>
      <c r="I31" s="16">
        <f>F31/6*G31</f>
        <v>881.39376000000016</v>
      </c>
    </row>
    <row r="32" spans="1:9" ht="31.5" customHeight="1">
      <c r="A32" s="36">
        <v>15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4"/>
        <v>4.5890520000000006</v>
      </c>
      <c r="I32" s="16">
        <f t="shared" ref="I32:I35" si="5">F32/6*G32</f>
        <v>764.8420000000001</v>
      </c>
    </row>
    <row r="33" spans="1:9" ht="15.75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4"/>
        <v>1.9705224960000001</v>
      </c>
      <c r="I33" s="16">
        <f>F33*G33</f>
        <v>1970.522496</v>
      </c>
    </row>
    <row r="34" spans="1:9" ht="15.75" customHeight="1">
      <c r="A34" s="36">
        <v>17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5"/>
        <v>382.57616666666672</v>
      </c>
    </row>
    <row r="35" spans="1:9" ht="15.75" customHeight="1">
      <c r="A35" s="36">
        <v>18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5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4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4"/>
        <v>2.58494</v>
      </c>
      <c r="I37" s="16">
        <v>0</v>
      </c>
    </row>
    <row r="38" spans="1:9" ht="15.75" hidden="1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hidden="1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6">SUM(F39*G39/1000)</f>
        <v>13.89664</v>
      </c>
      <c r="I39" s="16">
        <f>F39/6*G39</f>
        <v>2316.1066666666666</v>
      </c>
    </row>
    <row r="40" spans="1:9" ht="15.75" hidden="1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6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6"/>
        <v>29.4892</v>
      </c>
      <c r="I41" s="16">
        <v>0</v>
      </c>
    </row>
    <row r="42" spans="1:9" ht="15.75" hidden="1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6"/>
        <v>3.7102349999999999</v>
      </c>
      <c r="I42" s="16">
        <f t="shared" ref="I42:I45" si="7">F42/6*G42</f>
        <v>618.37249999999995</v>
      </c>
    </row>
    <row r="43" spans="1:9" ht="47.25" hidden="1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6"/>
        <v>9.4489593099999993</v>
      </c>
      <c r="I43" s="16">
        <f t="shared" si="7"/>
        <v>1574.8265516666668</v>
      </c>
    </row>
    <row r="44" spans="1:9" ht="15.75" hidden="1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6"/>
        <v>1.3165470000000001</v>
      </c>
      <c r="I44" s="16">
        <f t="shared" si="7"/>
        <v>219.42450000000002</v>
      </c>
    </row>
    <row r="45" spans="1:9" ht="15.75" hidden="1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6"/>
        <v>0.81688499999999997</v>
      </c>
      <c r="I45" s="16">
        <f t="shared" si="7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customHeight="1">
      <c r="A47" s="36">
        <v>19</v>
      </c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8">SUM(F47*G47/1000)</f>
        <v>3.0514411800000003</v>
      </c>
      <c r="I47" s="16">
        <f t="shared" ref="I47:I50" si="9">F47/2*G47</f>
        <v>1525.7205900000001</v>
      </c>
    </row>
    <row r="48" spans="1:9" ht="15.75" customHeight="1">
      <c r="A48" s="36">
        <v>20</v>
      </c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8"/>
        <v>6.854536E-2</v>
      </c>
      <c r="I48" s="16">
        <f t="shared" si="9"/>
        <v>34.272680000000001</v>
      </c>
    </row>
    <row r="49" spans="1:9" ht="15.75" customHeight="1">
      <c r="A49" s="36">
        <v>21</v>
      </c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8"/>
        <v>4.6398486879999998</v>
      </c>
      <c r="I49" s="16">
        <f t="shared" si="9"/>
        <v>2319.924344</v>
      </c>
    </row>
    <row r="50" spans="1:9" ht="15.75" customHeight="1">
      <c r="A50" s="36">
        <v>22</v>
      </c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8"/>
        <v>5.0035903999999993</v>
      </c>
      <c r="I50" s="16">
        <f t="shared" si="9"/>
        <v>2501.7951999999996</v>
      </c>
    </row>
    <row r="51" spans="1:9" ht="15.75" customHeight="1">
      <c r="A51" s="36">
        <v>23</v>
      </c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8"/>
        <v>0.15212377599999999</v>
      </c>
      <c r="I51" s="16">
        <f>F51/2*G51</f>
        <v>76.061887999999996</v>
      </c>
    </row>
    <row r="52" spans="1:9" ht="15.75" customHeight="1">
      <c r="A52" s="36">
        <v>24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customHeight="1">
      <c r="A53" s="36">
        <v>25</v>
      </c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8"/>
        <v>2.8721490479999998</v>
      </c>
      <c r="I53" s="16">
        <f>F53/2*G53</f>
        <v>1436.0745239999999</v>
      </c>
    </row>
    <row r="54" spans="1:9" ht="31.5" customHeight="1">
      <c r="A54" s="36">
        <v>26</v>
      </c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8"/>
        <v>1.407824</v>
      </c>
      <c r="I54" s="16">
        <f t="shared" ref="I54:I55" si="10">F54/2*G54</f>
        <v>703.91200000000003</v>
      </c>
    </row>
    <row r="55" spans="1:9" ht="15.75" customHeight="1">
      <c r="A55" s="36">
        <v>27</v>
      </c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8"/>
        <v>0.12857640000000001</v>
      </c>
      <c r="I55" s="16">
        <f t="shared" si="10"/>
        <v>64.288200000000003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8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8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hidden="1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hidden="1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28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11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11"/>
        <v>8.6739999999999994E-3</v>
      </c>
      <c r="I66" s="16">
        <v>0</v>
      </c>
    </row>
    <row r="67" spans="1:9" ht="15.75" customHeight="1">
      <c r="A67" s="36">
        <v>29</v>
      </c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11"/>
        <v>42.306469200000002</v>
      </c>
      <c r="I67" s="16">
        <f>F67*G67</f>
        <v>42306.4692</v>
      </c>
    </row>
    <row r="68" spans="1:9" ht="15.75" customHeight="1">
      <c r="A68" s="36">
        <v>30</v>
      </c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11"/>
        <v>3.2944381199999997</v>
      </c>
      <c r="I68" s="16">
        <f>F68*G68</f>
        <v>3294.4381199999998</v>
      </c>
    </row>
    <row r="69" spans="1:9" ht="15.75" customHeight="1">
      <c r="A69" s="36">
        <v>31</v>
      </c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11"/>
        <v>32.210177999999999</v>
      </c>
      <c r="I69" s="16">
        <f t="shared" ref="I69:I72" si="12">F69*G69</f>
        <v>32210.178</v>
      </c>
    </row>
    <row r="70" spans="1:9" ht="15.75" customHeight="1">
      <c r="A70" s="36">
        <v>32</v>
      </c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11"/>
        <v>0.70823999999999998</v>
      </c>
      <c r="I70" s="16">
        <f t="shared" si="12"/>
        <v>708.24</v>
      </c>
    </row>
    <row r="71" spans="1:9" ht="15.75" customHeight="1">
      <c r="A71" s="36">
        <v>33</v>
      </c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11"/>
        <v>0.66065999999999991</v>
      </c>
      <c r="I71" s="16">
        <f t="shared" si="12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11"/>
        <v>0.22696</v>
      </c>
      <c r="I72" s="16">
        <f t="shared" si="12"/>
        <v>226.96</v>
      </c>
    </row>
    <row r="73" spans="1:9" ht="15.75" customHeight="1">
      <c r="A73" s="36">
        <v>34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11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11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11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11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11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13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13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13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13"/>
        <v>1.82952</v>
      </c>
      <c r="I88" s="16">
        <v>0</v>
      </c>
    </row>
    <row r="89" spans="1:9" ht="31.5" customHeight="1">
      <c r="A89" s="36">
        <v>35</v>
      </c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13"/>
        <v>1.0895599999999999</v>
      </c>
      <c r="I89" s="16">
        <f>G89</f>
        <v>272.39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13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13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13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13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13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13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13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13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13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36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37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I16+I17+I18+I19+I20+I21+I22+I23+I24+I25+I26+I27+I28+I31+I32+I33+I34+I35+I47+I48+I49+I50+I51+I52+I53+I54+I55+I63+I67+I68+I69+I70+I71+I73+I89+I100+I101</f>
        <v>143401.36867311114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38</v>
      </c>
      <c r="B104" s="76" t="s">
        <v>91</v>
      </c>
      <c r="C104" s="122" t="s">
        <v>119</v>
      </c>
      <c r="D104" s="67"/>
      <c r="E104" s="16"/>
      <c r="F104" s="16">
        <v>5</v>
      </c>
      <c r="G104" s="16">
        <v>79.09</v>
      </c>
      <c r="H104" s="134">
        <f>G104*F104/1000</f>
        <v>0.39545000000000002</v>
      </c>
      <c r="I104" s="16">
        <f>G104</f>
        <v>79.09</v>
      </c>
    </row>
    <row r="105" spans="1:9" ht="31.5" customHeight="1">
      <c r="A105" s="36">
        <v>39</v>
      </c>
      <c r="B105" s="76" t="s">
        <v>210</v>
      </c>
      <c r="C105" s="122" t="s">
        <v>40</v>
      </c>
      <c r="D105" s="67"/>
      <c r="E105" s="16"/>
      <c r="F105" s="16">
        <f>3/100</f>
        <v>0.03</v>
      </c>
      <c r="G105" s="16">
        <v>3397.65</v>
      </c>
      <c r="H105" s="134">
        <f t="shared" ref="H105:H107" si="14">G105*F105/1000</f>
        <v>0.10192950000000001</v>
      </c>
      <c r="I105" s="16">
        <f>G105*0.01</f>
        <v>33.976500000000001</v>
      </c>
    </row>
    <row r="106" spans="1:9" ht="15.75" customHeight="1">
      <c r="A106" s="36">
        <v>40</v>
      </c>
      <c r="B106" s="76" t="s">
        <v>212</v>
      </c>
      <c r="C106" s="122" t="s">
        <v>213</v>
      </c>
      <c r="D106" s="67"/>
      <c r="E106" s="16"/>
      <c r="F106" s="16">
        <f>4/100</f>
        <v>0.04</v>
      </c>
      <c r="G106" s="16">
        <v>7033.13</v>
      </c>
      <c r="H106" s="134">
        <f t="shared" si="14"/>
        <v>0.2813252</v>
      </c>
      <c r="I106" s="16">
        <f>G106*0.04</f>
        <v>281.3252</v>
      </c>
    </row>
    <row r="107" spans="1:9" ht="15.75" customHeight="1">
      <c r="A107" s="36">
        <v>41</v>
      </c>
      <c r="B107" s="76" t="s">
        <v>214</v>
      </c>
      <c r="C107" s="122" t="s">
        <v>215</v>
      </c>
      <c r="D107" s="67"/>
      <c r="E107" s="16"/>
      <c r="F107" s="16">
        <v>1</v>
      </c>
      <c r="G107" s="16">
        <v>3046</v>
      </c>
      <c r="H107" s="134">
        <f t="shared" si="14"/>
        <v>3.0459999999999998</v>
      </c>
      <c r="I107" s="16">
        <f>G107</f>
        <v>3046</v>
      </c>
    </row>
    <row r="108" spans="1:9">
      <c r="A108" s="36"/>
      <c r="B108" s="61" t="s">
        <v>54</v>
      </c>
      <c r="C108" s="57"/>
      <c r="D108" s="70"/>
      <c r="E108" s="57">
        <v>1</v>
      </c>
      <c r="F108" s="57"/>
      <c r="G108" s="57"/>
      <c r="H108" s="57"/>
      <c r="I108" s="39">
        <f>SUM(I104:I107)</f>
        <v>3440.3917000000001</v>
      </c>
    </row>
    <row r="109" spans="1:9">
      <c r="A109" s="36"/>
      <c r="B109" s="67" t="s">
        <v>89</v>
      </c>
      <c r="C109" s="19"/>
      <c r="D109" s="19"/>
      <c r="E109" s="58"/>
      <c r="F109" s="58"/>
      <c r="G109" s="59"/>
      <c r="H109" s="59"/>
      <c r="I109" s="22">
        <v>0</v>
      </c>
    </row>
    <row r="110" spans="1:9" ht="15.75" customHeight="1">
      <c r="A110" s="71"/>
      <c r="B110" s="62" t="s">
        <v>55</v>
      </c>
      <c r="C110" s="45"/>
      <c r="D110" s="45"/>
      <c r="E110" s="45"/>
      <c r="F110" s="45"/>
      <c r="G110" s="45"/>
      <c r="H110" s="45"/>
      <c r="I110" s="60">
        <f>I102+I108</f>
        <v>146841.76037311114</v>
      </c>
    </row>
    <row r="111" spans="1:9" ht="15.75">
      <c r="A111" s="163" t="s">
        <v>239</v>
      </c>
      <c r="B111" s="163"/>
      <c r="C111" s="163"/>
      <c r="D111" s="163"/>
      <c r="E111" s="163"/>
      <c r="F111" s="163"/>
      <c r="G111" s="163"/>
      <c r="H111" s="163"/>
      <c r="I111" s="163"/>
    </row>
    <row r="112" spans="1:9" ht="15.75">
      <c r="A112" s="113"/>
      <c r="B112" s="152" t="s">
        <v>240</v>
      </c>
      <c r="C112" s="152"/>
      <c r="D112" s="152"/>
      <c r="E112" s="152"/>
      <c r="F112" s="152"/>
      <c r="G112" s="152"/>
      <c r="H112" s="119"/>
      <c r="I112" s="3"/>
    </row>
    <row r="113" spans="1:9">
      <c r="A113" s="107"/>
      <c r="B113" s="148" t="s">
        <v>6</v>
      </c>
      <c r="C113" s="148"/>
      <c r="D113" s="148"/>
      <c r="E113" s="148"/>
      <c r="F113" s="148"/>
      <c r="G113" s="148"/>
      <c r="H113" s="31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 customHeight="1">
      <c r="A115" s="153" t="s">
        <v>7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.75" customHeight="1">
      <c r="A116" s="153" t="s">
        <v>8</v>
      </c>
      <c r="B116" s="153"/>
      <c r="C116" s="153"/>
      <c r="D116" s="153"/>
      <c r="E116" s="153"/>
      <c r="F116" s="153"/>
      <c r="G116" s="153"/>
      <c r="H116" s="153"/>
      <c r="I116" s="153"/>
    </row>
    <row r="117" spans="1:9" ht="15.75" customHeight="1">
      <c r="A117" s="154" t="s">
        <v>66</v>
      </c>
      <c r="B117" s="154"/>
      <c r="C117" s="154"/>
      <c r="D117" s="154"/>
      <c r="E117" s="154"/>
      <c r="F117" s="154"/>
      <c r="G117" s="154"/>
      <c r="H117" s="154"/>
      <c r="I117" s="154"/>
    </row>
    <row r="118" spans="1:9" ht="15.75" customHeight="1">
      <c r="A118" s="11"/>
    </row>
    <row r="119" spans="1:9" ht="15.75" customHeight="1">
      <c r="A119" s="155" t="s">
        <v>9</v>
      </c>
      <c r="B119" s="155"/>
      <c r="C119" s="155"/>
      <c r="D119" s="155"/>
      <c r="E119" s="155"/>
      <c r="F119" s="155"/>
      <c r="G119" s="155"/>
      <c r="H119" s="155"/>
      <c r="I119" s="155"/>
    </row>
    <row r="120" spans="1:9" ht="15.75" customHeight="1">
      <c r="A120" s="4"/>
    </row>
    <row r="121" spans="1:9" ht="15.75" customHeight="1">
      <c r="B121" s="109" t="s">
        <v>10</v>
      </c>
      <c r="C121" s="147" t="s">
        <v>192</v>
      </c>
      <c r="D121" s="147"/>
      <c r="E121" s="147"/>
      <c r="F121" s="117"/>
      <c r="I121" s="111"/>
    </row>
    <row r="122" spans="1:9">
      <c r="A122" s="107"/>
      <c r="C122" s="148" t="s">
        <v>11</v>
      </c>
      <c r="D122" s="148"/>
      <c r="E122" s="148"/>
      <c r="F122" s="31"/>
      <c r="I122" s="112" t="s">
        <v>12</v>
      </c>
    </row>
    <row r="123" spans="1:9" ht="15.75">
      <c r="A123" s="32"/>
      <c r="C123" s="12"/>
      <c r="D123" s="12"/>
      <c r="G123" s="12"/>
      <c r="H123" s="12"/>
    </row>
    <row r="124" spans="1:9" ht="15.75">
      <c r="B124" s="109" t="s">
        <v>13</v>
      </c>
      <c r="C124" s="149"/>
      <c r="D124" s="149"/>
      <c r="E124" s="149"/>
      <c r="F124" s="118"/>
      <c r="I124" s="111"/>
    </row>
    <row r="125" spans="1:9">
      <c r="A125" s="107"/>
      <c r="C125" s="150" t="s">
        <v>11</v>
      </c>
      <c r="D125" s="150"/>
      <c r="E125" s="150"/>
      <c r="F125" s="107"/>
      <c r="I125" s="112" t="s">
        <v>12</v>
      </c>
    </row>
    <row r="126" spans="1:9" ht="15.75">
      <c r="A126" s="4" t="s">
        <v>14</v>
      </c>
    </row>
    <row r="127" spans="1:9">
      <c r="A127" s="151" t="s">
        <v>15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45" customHeight="1">
      <c r="A128" s="146" t="s">
        <v>16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30" customHeight="1">
      <c r="A129" s="146" t="s">
        <v>17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30" customHeight="1">
      <c r="A130" s="146" t="s">
        <v>21</v>
      </c>
      <c r="B130" s="146"/>
      <c r="C130" s="146"/>
      <c r="D130" s="146"/>
      <c r="E130" s="146"/>
      <c r="F130" s="146"/>
      <c r="G130" s="146"/>
      <c r="H130" s="146"/>
      <c r="I130" s="146"/>
    </row>
    <row r="131" spans="1:9" ht="15" customHeight="1">
      <c r="A131" s="146" t="s">
        <v>20</v>
      </c>
      <c r="B131" s="146"/>
      <c r="C131" s="146"/>
      <c r="D131" s="146"/>
      <c r="E131" s="146"/>
      <c r="F131" s="146"/>
      <c r="G131" s="146"/>
      <c r="H131" s="146"/>
      <c r="I131" s="146"/>
    </row>
  </sheetData>
  <mergeCells count="27">
    <mergeCell ref="A14:I14"/>
    <mergeCell ref="A3:I3"/>
    <mergeCell ref="A4:I4"/>
    <mergeCell ref="A5:I5"/>
    <mergeCell ref="A8:I8"/>
    <mergeCell ref="A10:I10"/>
    <mergeCell ref="A119:I119"/>
    <mergeCell ref="A15:I15"/>
    <mergeCell ref="A29:I29"/>
    <mergeCell ref="A46:I46"/>
    <mergeCell ref="A58:I58"/>
    <mergeCell ref="A99:I99"/>
    <mergeCell ref="A111:I111"/>
    <mergeCell ref="B112:G112"/>
    <mergeCell ref="B113:G113"/>
    <mergeCell ref="A115:I115"/>
    <mergeCell ref="A116:I116"/>
    <mergeCell ref="A117:I117"/>
    <mergeCell ref="A129:I129"/>
    <mergeCell ref="A130:I130"/>
    <mergeCell ref="A131:I131"/>
    <mergeCell ref="C121:E121"/>
    <mergeCell ref="C122:E122"/>
    <mergeCell ref="C124:E124"/>
    <mergeCell ref="C125:E125"/>
    <mergeCell ref="A127:I127"/>
    <mergeCell ref="A128:I12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241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60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42551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f>F31/6*G31</f>
        <v>881.39376000000016</v>
      </c>
    </row>
    <row r="32" spans="1:9" ht="31.5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f t="shared" ref="I32:I35" si="3">F32/6*G32</f>
        <v>764.8420000000001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f t="shared" si="3"/>
        <v>328.42041600000005</v>
      </c>
    </row>
    <row r="34" spans="1:9" ht="15.75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3"/>
        <v>382.57616666666672</v>
      </c>
    </row>
    <row r="35" spans="1:9" ht="15.75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3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hidden="1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hidden="1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4">SUM(F39*G39/1000)</f>
        <v>13.89664</v>
      </c>
      <c r="I39" s="16">
        <f>F39/6*G39</f>
        <v>2316.1066666666666</v>
      </c>
    </row>
    <row r="40" spans="1:9" ht="15.75" hidden="1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4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4"/>
        <v>29.4892</v>
      </c>
      <c r="I41" s="16">
        <v>0</v>
      </c>
    </row>
    <row r="42" spans="1:9" ht="15.75" hidden="1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4"/>
        <v>3.7102349999999999</v>
      </c>
      <c r="I42" s="16">
        <f t="shared" ref="I42:I45" si="5">F42/6*G42</f>
        <v>618.37249999999995</v>
      </c>
    </row>
    <row r="43" spans="1:9" ht="47.25" hidden="1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4"/>
        <v>9.4489593099999993</v>
      </c>
      <c r="I43" s="16">
        <f t="shared" si="5"/>
        <v>1574.8265516666668</v>
      </c>
    </row>
    <row r="44" spans="1:9" ht="15.75" hidden="1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4"/>
        <v>1.3165470000000001</v>
      </c>
      <c r="I44" s="16">
        <f t="shared" si="5"/>
        <v>219.42450000000002</v>
      </c>
    </row>
    <row r="45" spans="1:9" ht="15.75" hidden="1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4"/>
        <v>0.81688499999999997</v>
      </c>
      <c r="I45" s="16">
        <f t="shared" si="5"/>
        <v>136.14749999999998</v>
      </c>
    </row>
    <row r="46" spans="1:9" ht="15.75" hidden="1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6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6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6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6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6"/>
        <v>0.15212377599999999</v>
      </c>
      <c r="I51" s="16">
        <v>0</v>
      </c>
    </row>
    <row r="52" spans="1:9" ht="15.75" hidden="1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6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6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6"/>
        <v>0.12857640000000001</v>
      </c>
      <c r="I55" s="16">
        <v>0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6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6"/>
        <v>25.102559999999997</v>
      </c>
      <c r="I57" s="16">
        <f>E57*G57</f>
        <v>8367.5199999999986</v>
      </c>
    </row>
    <row r="58" spans="1:9" ht="15.75" customHeight="1">
      <c r="A58" s="157" t="s">
        <v>198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hidden="1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hidden="1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10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7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7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7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7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7"/>
        <v>32.210177999999999</v>
      </c>
      <c r="I69" s="16">
        <f t="shared" ref="I69:I72" si="8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7"/>
        <v>0.70823999999999998</v>
      </c>
      <c r="I70" s="16">
        <f t="shared" si="8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7"/>
        <v>0.66065999999999991</v>
      </c>
      <c r="I71" s="16">
        <f t="shared" si="8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7"/>
        <v>0.22696</v>
      </c>
      <c r="I72" s="16">
        <f t="shared" si="8"/>
        <v>226.96</v>
      </c>
    </row>
    <row r="73" spans="1:9" ht="15.75" customHeight="1">
      <c r="A73" s="36">
        <v>11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7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7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7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7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7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9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9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9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9"/>
        <v>1.82952</v>
      </c>
      <c r="I88" s="16">
        <v>0</v>
      </c>
    </row>
    <row r="89" spans="1:9" ht="31.5" customHeight="1">
      <c r="A89" s="36">
        <v>12</v>
      </c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9"/>
        <v>1.0895599999999999</v>
      </c>
      <c r="I89" s="16">
        <f>G89*0.3</f>
        <v>81.716999999999999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9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9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9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9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9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9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9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9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9"/>
        <v>3.0228432000000001</v>
      </c>
      <c r="I98" s="16">
        <v>0</v>
      </c>
    </row>
    <row r="99" spans="1:9" ht="15.75" customHeight="1">
      <c r="A99" s="160" t="s">
        <v>199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13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14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I16+I17+I18+I27+I28+I31+I32+I34+I35+I63+I73+I89+I100+I101</f>
        <v>50109.269291111108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15.75" hidden="1" customHeight="1">
      <c r="A104" s="36"/>
      <c r="B104" s="67" t="s">
        <v>147</v>
      </c>
      <c r="C104" s="20" t="s">
        <v>183</v>
      </c>
      <c r="D104" s="67"/>
      <c r="E104" s="16"/>
      <c r="F104" s="16">
        <v>8</v>
      </c>
      <c r="G104" s="16">
        <v>1501</v>
      </c>
      <c r="H104" s="134">
        <f>G104*F104/1000</f>
        <v>12.007999999999999</v>
      </c>
      <c r="I104" s="16">
        <v>0</v>
      </c>
    </row>
    <row r="105" spans="1:9" ht="15.75" hidden="1" customHeight="1">
      <c r="A105" s="36"/>
      <c r="B105" s="142" t="s">
        <v>102</v>
      </c>
      <c r="C105" s="122" t="s">
        <v>119</v>
      </c>
      <c r="D105" s="67"/>
      <c r="E105" s="16"/>
      <c r="F105" s="16">
        <v>3</v>
      </c>
      <c r="G105" s="16">
        <v>179.96</v>
      </c>
      <c r="H105" s="134">
        <f>G105*F105/1000</f>
        <v>0.53988000000000003</v>
      </c>
      <c r="I105" s="16">
        <v>0</v>
      </c>
    </row>
    <row r="106" spans="1:9" ht="15.75" hidden="1" customHeight="1">
      <c r="A106" s="36"/>
      <c r="B106" s="141" t="s">
        <v>209</v>
      </c>
      <c r="C106" s="36" t="s">
        <v>139</v>
      </c>
      <c r="D106" s="67"/>
      <c r="E106" s="16"/>
      <c r="F106" s="16">
        <f>0.96/10</f>
        <v>9.6000000000000002E-2</v>
      </c>
      <c r="G106" s="16">
        <v>3113.97</v>
      </c>
      <c r="H106" s="134">
        <f t="shared" ref="H106:H118" si="10">G106*F106/1000</f>
        <v>0.29894112</v>
      </c>
      <c r="I106" s="16">
        <v>0</v>
      </c>
    </row>
    <row r="107" spans="1:9" ht="31.5" hidden="1" customHeight="1">
      <c r="A107" s="36"/>
      <c r="B107" s="76" t="s">
        <v>210</v>
      </c>
      <c r="C107" s="122" t="s">
        <v>40</v>
      </c>
      <c r="D107" s="67"/>
      <c r="E107" s="16"/>
      <c r="F107" s="16">
        <f>3/100</f>
        <v>0.03</v>
      </c>
      <c r="G107" s="16">
        <v>3397.65</v>
      </c>
      <c r="H107" s="134">
        <f t="shared" si="10"/>
        <v>0.10192950000000001</v>
      </c>
      <c r="I107" s="16">
        <v>0</v>
      </c>
    </row>
    <row r="108" spans="1:9" ht="31.5" hidden="1" customHeight="1">
      <c r="A108" s="36"/>
      <c r="B108" s="76" t="s">
        <v>211</v>
      </c>
      <c r="C108" s="122" t="s">
        <v>94</v>
      </c>
      <c r="D108" s="67"/>
      <c r="E108" s="16"/>
      <c r="F108" s="16">
        <v>5</v>
      </c>
      <c r="G108" s="16">
        <v>1187</v>
      </c>
      <c r="H108" s="134">
        <f t="shared" si="10"/>
        <v>5.9349999999999996</v>
      </c>
      <c r="I108" s="16">
        <v>0</v>
      </c>
    </row>
    <row r="109" spans="1:9" ht="15.75" hidden="1" customHeight="1">
      <c r="A109" s="36"/>
      <c r="B109" s="76" t="s">
        <v>212</v>
      </c>
      <c r="C109" s="122" t="s">
        <v>213</v>
      </c>
      <c r="D109" s="67"/>
      <c r="E109" s="16"/>
      <c r="F109" s="16">
        <f>4/100</f>
        <v>0.04</v>
      </c>
      <c r="G109" s="16">
        <v>7033.13</v>
      </c>
      <c r="H109" s="134">
        <f t="shared" si="10"/>
        <v>0.2813252</v>
      </c>
      <c r="I109" s="16">
        <v>0</v>
      </c>
    </row>
    <row r="110" spans="1:9" ht="15.75" hidden="1" customHeight="1">
      <c r="A110" s="36"/>
      <c r="B110" s="76" t="s">
        <v>214</v>
      </c>
      <c r="C110" s="122" t="s">
        <v>215</v>
      </c>
      <c r="D110" s="67"/>
      <c r="E110" s="16"/>
      <c r="F110" s="16">
        <v>1</v>
      </c>
      <c r="G110" s="16">
        <v>3046</v>
      </c>
      <c r="H110" s="134">
        <f t="shared" si="10"/>
        <v>3.0459999999999998</v>
      </c>
      <c r="I110" s="16">
        <v>0</v>
      </c>
    </row>
    <row r="111" spans="1:9" ht="31.5" hidden="1" customHeight="1">
      <c r="A111" s="36"/>
      <c r="B111" s="76" t="s">
        <v>216</v>
      </c>
      <c r="C111" s="122" t="s">
        <v>217</v>
      </c>
      <c r="D111" s="67"/>
      <c r="E111" s="16"/>
      <c r="F111" s="16">
        <v>1</v>
      </c>
      <c r="G111" s="16">
        <v>51.39</v>
      </c>
      <c r="H111" s="134">
        <f>G111*F111/1000</f>
        <v>5.1389999999999998E-2</v>
      </c>
      <c r="I111" s="16">
        <v>0</v>
      </c>
    </row>
    <row r="112" spans="1:9" ht="15.75" hidden="1" customHeight="1">
      <c r="A112" s="36"/>
      <c r="B112" s="76" t="s">
        <v>97</v>
      </c>
      <c r="C112" s="122" t="s">
        <v>119</v>
      </c>
      <c r="D112" s="67"/>
      <c r="E112" s="16"/>
      <c r="F112" s="16">
        <v>6</v>
      </c>
      <c r="G112" s="16">
        <v>180.15</v>
      </c>
      <c r="H112" s="134">
        <f t="shared" si="10"/>
        <v>1.0809000000000002</v>
      </c>
      <c r="I112" s="16">
        <v>0</v>
      </c>
    </row>
    <row r="113" spans="1:9" ht="31.5" hidden="1" customHeight="1">
      <c r="A113" s="36"/>
      <c r="B113" s="76" t="s">
        <v>218</v>
      </c>
      <c r="C113" s="122" t="s">
        <v>94</v>
      </c>
      <c r="D113" s="67"/>
      <c r="E113" s="16"/>
      <c r="F113" s="16">
        <v>4</v>
      </c>
      <c r="G113" s="16">
        <v>771.29</v>
      </c>
      <c r="H113" s="134">
        <f t="shared" si="10"/>
        <v>3.0851599999999997</v>
      </c>
      <c r="I113" s="16">
        <v>0</v>
      </c>
    </row>
    <row r="114" spans="1:9" ht="15.75" hidden="1" customHeight="1">
      <c r="A114" s="36"/>
      <c r="B114" s="76" t="s">
        <v>219</v>
      </c>
      <c r="C114" s="122" t="s">
        <v>119</v>
      </c>
      <c r="D114" s="67"/>
      <c r="E114" s="16"/>
      <c r="F114" s="16">
        <v>1</v>
      </c>
      <c r="G114" s="16">
        <v>48.69</v>
      </c>
      <c r="H114" s="134">
        <f t="shared" si="10"/>
        <v>4.8689999999999997E-2</v>
      </c>
      <c r="I114" s="16">
        <v>0</v>
      </c>
    </row>
    <row r="115" spans="1:9" ht="15.75" hidden="1" customHeight="1">
      <c r="A115" s="36"/>
      <c r="B115" s="76" t="s">
        <v>220</v>
      </c>
      <c r="C115" s="122" t="s">
        <v>221</v>
      </c>
      <c r="D115" s="18"/>
      <c r="E115" s="23"/>
      <c r="F115" s="16">
        <v>2</v>
      </c>
      <c r="G115" s="16">
        <v>195.95</v>
      </c>
      <c r="H115" s="134">
        <f t="shared" si="10"/>
        <v>0.39189999999999997</v>
      </c>
      <c r="I115" s="16">
        <v>0</v>
      </c>
    </row>
    <row r="116" spans="1:9" ht="31.5" hidden="1" customHeight="1">
      <c r="A116" s="36"/>
      <c r="B116" s="76" t="s">
        <v>222</v>
      </c>
      <c r="C116" s="122" t="s">
        <v>94</v>
      </c>
      <c r="D116" s="67"/>
      <c r="E116" s="16"/>
      <c r="F116" s="16">
        <v>8</v>
      </c>
      <c r="G116" s="16">
        <v>1272</v>
      </c>
      <c r="H116" s="134">
        <f t="shared" si="10"/>
        <v>10.176</v>
      </c>
      <c r="I116" s="16">
        <v>0</v>
      </c>
    </row>
    <row r="117" spans="1:9" ht="15.75" hidden="1" customHeight="1">
      <c r="A117" s="36"/>
      <c r="B117" s="76" t="s">
        <v>223</v>
      </c>
      <c r="C117" s="122" t="s">
        <v>213</v>
      </c>
      <c r="D117" s="67"/>
      <c r="E117" s="16"/>
      <c r="F117" s="16">
        <f>1/100</f>
        <v>0.01</v>
      </c>
      <c r="G117" s="16">
        <v>7033.13</v>
      </c>
      <c r="H117" s="134">
        <f t="shared" si="10"/>
        <v>7.0331299999999999E-2</v>
      </c>
      <c r="I117" s="16">
        <v>0</v>
      </c>
    </row>
    <row r="118" spans="1:9" ht="15.75" hidden="1" customHeight="1">
      <c r="A118" s="36"/>
      <c r="B118" s="100" t="s">
        <v>224</v>
      </c>
      <c r="C118" s="101" t="s">
        <v>119</v>
      </c>
      <c r="D118" s="67"/>
      <c r="E118" s="16"/>
      <c r="F118" s="16">
        <v>1</v>
      </c>
      <c r="G118" s="16">
        <v>81.73</v>
      </c>
      <c r="H118" s="134">
        <f t="shared" si="10"/>
        <v>8.1729999999999997E-2</v>
      </c>
      <c r="I118" s="16">
        <v>0</v>
      </c>
    </row>
    <row r="119" spans="1:9">
      <c r="A119" s="36"/>
      <c r="B119" s="61" t="s">
        <v>54</v>
      </c>
      <c r="C119" s="57"/>
      <c r="D119" s="70"/>
      <c r="E119" s="57">
        <v>1</v>
      </c>
      <c r="F119" s="57"/>
      <c r="G119" s="57"/>
      <c r="H119" s="57"/>
      <c r="I119" s="39">
        <f>SUM(I104:I118)</f>
        <v>0</v>
      </c>
    </row>
    <row r="120" spans="1:9">
      <c r="A120" s="36"/>
      <c r="B120" s="67" t="s">
        <v>89</v>
      </c>
      <c r="C120" s="19"/>
      <c r="D120" s="19"/>
      <c r="E120" s="58"/>
      <c r="F120" s="58"/>
      <c r="G120" s="59"/>
      <c r="H120" s="59"/>
      <c r="I120" s="22">
        <v>0</v>
      </c>
    </row>
    <row r="121" spans="1:9" ht="15.75" customHeight="1">
      <c r="A121" s="71"/>
      <c r="B121" s="62" t="s">
        <v>55</v>
      </c>
      <c r="C121" s="45"/>
      <c r="D121" s="45"/>
      <c r="E121" s="45"/>
      <c r="F121" s="45"/>
      <c r="G121" s="45"/>
      <c r="H121" s="45"/>
      <c r="I121" s="60">
        <f>I102+I119</f>
        <v>50109.269291111108</v>
      </c>
    </row>
    <row r="122" spans="1:9" ht="15.75">
      <c r="A122" s="163" t="s">
        <v>242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15.75">
      <c r="A123" s="113"/>
      <c r="B123" s="152" t="s">
        <v>243</v>
      </c>
      <c r="C123" s="152"/>
      <c r="D123" s="152"/>
      <c r="E123" s="152"/>
      <c r="F123" s="152"/>
      <c r="G123" s="152"/>
      <c r="H123" s="119"/>
      <c r="I123" s="3"/>
    </row>
    <row r="124" spans="1:9">
      <c r="A124" s="107"/>
      <c r="B124" s="148" t="s">
        <v>6</v>
      </c>
      <c r="C124" s="148"/>
      <c r="D124" s="148"/>
      <c r="E124" s="148"/>
      <c r="F124" s="148"/>
      <c r="G124" s="148"/>
      <c r="H124" s="31"/>
      <c r="I124" s="5"/>
    </row>
    <row r="125" spans="1:9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ht="15.75" customHeight="1">
      <c r="A126" s="153" t="s">
        <v>7</v>
      </c>
      <c r="B126" s="153"/>
      <c r="C126" s="153"/>
      <c r="D126" s="153"/>
      <c r="E126" s="153"/>
      <c r="F126" s="153"/>
      <c r="G126" s="153"/>
      <c r="H126" s="153"/>
      <c r="I126" s="153"/>
    </row>
    <row r="127" spans="1:9" ht="15.75" customHeight="1">
      <c r="A127" s="153" t="s">
        <v>8</v>
      </c>
      <c r="B127" s="153"/>
      <c r="C127" s="153"/>
      <c r="D127" s="153"/>
      <c r="E127" s="153"/>
      <c r="F127" s="153"/>
      <c r="G127" s="153"/>
      <c r="H127" s="153"/>
      <c r="I127" s="153"/>
    </row>
    <row r="128" spans="1:9" ht="15.75" customHeight="1">
      <c r="A128" s="154" t="s">
        <v>66</v>
      </c>
      <c r="B128" s="154"/>
      <c r="C128" s="154"/>
      <c r="D128" s="154"/>
      <c r="E128" s="154"/>
      <c r="F128" s="154"/>
      <c r="G128" s="154"/>
      <c r="H128" s="154"/>
      <c r="I128" s="154"/>
    </row>
    <row r="129" spans="1:9" ht="15.75" customHeight="1">
      <c r="A129" s="11"/>
    </row>
    <row r="130" spans="1:9" ht="15.75" customHeight="1">
      <c r="A130" s="155" t="s">
        <v>9</v>
      </c>
      <c r="B130" s="155"/>
      <c r="C130" s="155"/>
      <c r="D130" s="155"/>
      <c r="E130" s="155"/>
      <c r="F130" s="155"/>
      <c r="G130" s="155"/>
      <c r="H130" s="155"/>
      <c r="I130" s="155"/>
    </row>
    <row r="131" spans="1:9" ht="15.75" customHeight="1">
      <c r="A131" s="4"/>
    </row>
    <row r="132" spans="1:9" ht="15.75" customHeight="1">
      <c r="B132" s="109" t="s">
        <v>10</v>
      </c>
      <c r="C132" s="147" t="s">
        <v>192</v>
      </c>
      <c r="D132" s="147"/>
      <c r="E132" s="147"/>
      <c r="F132" s="117"/>
      <c r="I132" s="111"/>
    </row>
    <row r="133" spans="1:9">
      <c r="A133" s="107"/>
      <c r="C133" s="148" t="s">
        <v>11</v>
      </c>
      <c r="D133" s="148"/>
      <c r="E133" s="148"/>
      <c r="F133" s="31"/>
      <c r="I133" s="112" t="s">
        <v>12</v>
      </c>
    </row>
    <row r="134" spans="1:9" ht="15.75">
      <c r="A134" s="32"/>
      <c r="C134" s="12"/>
      <c r="D134" s="12"/>
      <c r="G134" s="12"/>
      <c r="H134" s="12"/>
    </row>
    <row r="135" spans="1:9" ht="15.75">
      <c r="B135" s="109" t="s">
        <v>13</v>
      </c>
      <c r="C135" s="149"/>
      <c r="D135" s="149"/>
      <c r="E135" s="149"/>
      <c r="F135" s="118"/>
      <c r="I135" s="111"/>
    </row>
    <row r="136" spans="1:9">
      <c r="A136" s="107"/>
      <c r="C136" s="150" t="s">
        <v>11</v>
      </c>
      <c r="D136" s="150"/>
      <c r="E136" s="150"/>
      <c r="F136" s="107"/>
      <c r="I136" s="112" t="s">
        <v>12</v>
      </c>
    </row>
    <row r="137" spans="1:9" ht="15.75">
      <c r="A137" s="4" t="s">
        <v>14</v>
      </c>
    </row>
    <row r="138" spans="1:9">
      <c r="A138" s="151" t="s">
        <v>15</v>
      </c>
      <c r="B138" s="151"/>
      <c r="C138" s="151"/>
      <c r="D138" s="151"/>
      <c r="E138" s="151"/>
      <c r="F138" s="151"/>
      <c r="G138" s="151"/>
      <c r="H138" s="151"/>
      <c r="I138" s="151"/>
    </row>
    <row r="139" spans="1:9" ht="45" customHeight="1">
      <c r="A139" s="146" t="s">
        <v>16</v>
      </c>
      <c r="B139" s="146"/>
      <c r="C139" s="146"/>
      <c r="D139" s="146"/>
      <c r="E139" s="146"/>
      <c r="F139" s="146"/>
      <c r="G139" s="146"/>
      <c r="H139" s="146"/>
      <c r="I139" s="146"/>
    </row>
    <row r="140" spans="1:9" ht="30" customHeight="1">
      <c r="A140" s="146" t="s">
        <v>17</v>
      </c>
      <c r="B140" s="146"/>
      <c r="C140" s="146"/>
      <c r="D140" s="146"/>
      <c r="E140" s="146"/>
      <c r="F140" s="146"/>
      <c r="G140" s="146"/>
      <c r="H140" s="146"/>
      <c r="I140" s="146"/>
    </row>
    <row r="141" spans="1:9" ht="30" customHeight="1">
      <c r="A141" s="146" t="s">
        <v>21</v>
      </c>
      <c r="B141" s="146"/>
      <c r="C141" s="146"/>
      <c r="D141" s="146"/>
      <c r="E141" s="146"/>
      <c r="F141" s="146"/>
      <c r="G141" s="146"/>
      <c r="H141" s="146"/>
      <c r="I141" s="146"/>
    </row>
    <row r="142" spans="1:9" ht="15" customHeight="1">
      <c r="A142" s="146" t="s">
        <v>20</v>
      </c>
      <c r="B142" s="146"/>
      <c r="C142" s="146"/>
      <c r="D142" s="146"/>
      <c r="E142" s="146"/>
      <c r="F142" s="146"/>
      <c r="G142" s="146"/>
      <c r="H142" s="146"/>
      <c r="I142" s="146"/>
    </row>
  </sheetData>
  <mergeCells count="27">
    <mergeCell ref="A14:I14"/>
    <mergeCell ref="A3:I3"/>
    <mergeCell ref="A4:I4"/>
    <mergeCell ref="A5:I5"/>
    <mergeCell ref="A8:I8"/>
    <mergeCell ref="A10:I10"/>
    <mergeCell ref="A130:I130"/>
    <mergeCell ref="A15:I15"/>
    <mergeCell ref="A29:I29"/>
    <mergeCell ref="A46:I46"/>
    <mergeCell ref="A58:I58"/>
    <mergeCell ref="A99:I99"/>
    <mergeCell ref="A122:I122"/>
    <mergeCell ref="B123:G123"/>
    <mergeCell ref="B124:G124"/>
    <mergeCell ref="A126:I126"/>
    <mergeCell ref="A127:I127"/>
    <mergeCell ref="A128:I128"/>
    <mergeCell ref="A140:I140"/>
    <mergeCell ref="A141:I141"/>
    <mergeCell ref="A142:I142"/>
    <mergeCell ref="C132:E132"/>
    <mergeCell ref="C133:E133"/>
    <mergeCell ref="C135:E135"/>
    <mergeCell ref="C136:E136"/>
    <mergeCell ref="A138:I138"/>
    <mergeCell ref="A139:I139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244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99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42582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f>F31/6*G31</f>
        <v>881.39376000000016</v>
      </c>
    </row>
    <row r="32" spans="1:9" ht="31.5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f t="shared" ref="I32:I35" si="3">F32/6*G32</f>
        <v>764.8420000000001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f t="shared" si="3"/>
        <v>328.42041600000005</v>
      </c>
    </row>
    <row r="34" spans="1:9" ht="15.75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3"/>
        <v>382.57616666666672</v>
      </c>
    </row>
    <row r="35" spans="1:9" ht="15.75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3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hidden="1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hidden="1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4">SUM(F39*G39/1000)</f>
        <v>13.89664</v>
      </c>
      <c r="I39" s="16">
        <f>F39/6*G39</f>
        <v>2316.1066666666666</v>
      </c>
    </row>
    <row r="40" spans="1:9" ht="15.75" hidden="1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4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4"/>
        <v>29.4892</v>
      </c>
      <c r="I41" s="16">
        <v>0</v>
      </c>
    </row>
    <row r="42" spans="1:9" ht="15.75" hidden="1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4"/>
        <v>3.7102349999999999</v>
      </c>
      <c r="I42" s="16">
        <f t="shared" ref="I42:I45" si="5">F42/6*G42</f>
        <v>618.37249999999995</v>
      </c>
    </row>
    <row r="43" spans="1:9" ht="47.25" hidden="1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4"/>
        <v>9.4489593099999993</v>
      </c>
      <c r="I43" s="16">
        <f t="shared" si="5"/>
        <v>1574.8265516666668</v>
      </c>
    </row>
    <row r="44" spans="1:9" ht="15.75" hidden="1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4"/>
        <v>1.3165470000000001</v>
      </c>
      <c r="I44" s="16">
        <f t="shared" si="5"/>
        <v>219.42450000000002</v>
      </c>
    </row>
    <row r="45" spans="1:9" ht="15.75" hidden="1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4"/>
        <v>0.81688499999999997</v>
      </c>
      <c r="I45" s="16">
        <f t="shared" si="5"/>
        <v>136.14749999999998</v>
      </c>
    </row>
    <row r="46" spans="1:9" ht="15.75" hidden="1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6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6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6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6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6"/>
        <v>0.15212377599999999</v>
      </c>
      <c r="I51" s="16">
        <v>0</v>
      </c>
    </row>
    <row r="52" spans="1:9" ht="15.75" hidden="1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6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6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6"/>
        <v>0.12857640000000001</v>
      </c>
      <c r="I55" s="16">
        <v>0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6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6"/>
        <v>25.102559999999997</v>
      </c>
      <c r="I57" s="16">
        <f>E57*G57</f>
        <v>8367.5199999999986</v>
      </c>
    </row>
    <row r="58" spans="1:9" ht="15.75" customHeight="1">
      <c r="A58" s="157" t="s">
        <v>198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hidden="1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hidden="1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10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7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7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7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7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7"/>
        <v>32.210177999999999</v>
      </c>
      <c r="I69" s="16">
        <f t="shared" ref="I69:I72" si="8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7"/>
        <v>0.70823999999999998</v>
      </c>
      <c r="I70" s="16">
        <f t="shared" si="8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7"/>
        <v>0.66065999999999991</v>
      </c>
      <c r="I71" s="16">
        <f t="shared" si="8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7"/>
        <v>0.22696</v>
      </c>
      <c r="I72" s="16">
        <f t="shared" si="8"/>
        <v>226.96</v>
      </c>
    </row>
    <row r="73" spans="1:9" ht="15.75" customHeight="1">
      <c r="A73" s="36">
        <v>11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7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7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7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7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7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hidden="1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9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9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9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9"/>
        <v>1.82952</v>
      </c>
      <c r="I88" s="16">
        <v>0</v>
      </c>
    </row>
    <row r="89" spans="1:9" ht="31.5" hidden="1" customHeight="1">
      <c r="A89" s="36"/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9"/>
        <v>1.0895599999999999</v>
      </c>
      <c r="I89" s="16">
        <v>0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9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9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9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9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9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9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9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9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9"/>
        <v>3.0228432000000001</v>
      </c>
      <c r="I98" s="16">
        <v>0</v>
      </c>
    </row>
    <row r="99" spans="1:9" ht="15.75" customHeight="1">
      <c r="A99" s="160" t="s">
        <v>199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12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13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I16+I17+I18+I27+I28+I31+I32+I34+I35+I63+I73+I100+I101</f>
        <v>50027.552291111111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14</v>
      </c>
      <c r="B104" s="76" t="s">
        <v>91</v>
      </c>
      <c r="C104" s="122" t="s">
        <v>119</v>
      </c>
      <c r="D104" s="67"/>
      <c r="E104" s="16"/>
      <c r="F104" s="16">
        <v>5</v>
      </c>
      <c r="G104" s="16">
        <v>79.09</v>
      </c>
      <c r="H104" s="134">
        <f>G104*F104/1000</f>
        <v>0.39545000000000002</v>
      </c>
      <c r="I104" s="16">
        <f>G104</f>
        <v>79.09</v>
      </c>
    </row>
    <row r="105" spans="1:9" ht="31.5" customHeight="1">
      <c r="A105" s="36">
        <v>15</v>
      </c>
      <c r="B105" s="76" t="s">
        <v>210</v>
      </c>
      <c r="C105" s="122" t="s">
        <v>40</v>
      </c>
      <c r="D105" s="67"/>
      <c r="E105" s="16"/>
      <c r="F105" s="16">
        <f>3/100</f>
        <v>0.03</v>
      </c>
      <c r="G105" s="16">
        <v>3397.65</v>
      </c>
      <c r="H105" s="134">
        <f t="shared" ref="H105" si="10">G105*F105/1000</f>
        <v>0.10192950000000001</v>
      </c>
      <c r="I105" s="16">
        <f>G105*0.01</f>
        <v>33.976500000000001</v>
      </c>
    </row>
    <row r="106" spans="1:9">
      <c r="A106" s="36"/>
      <c r="B106" s="61" t="s">
        <v>54</v>
      </c>
      <c r="C106" s="57"/>
      <c r="D106" s="70"/>
      <c r="E106" s="57">
        <v>1</v>
      </c>
      <c r="F106" s="57"/>
      <c r="G106" s="57"/>
      <c r="H106" s="57"/>
      <c r="I106" s="39">
        <f>SUM(I104:I105)</f>
        <v>113.0665</v>
      </c>
    </row>
    <row r="107" spans="1:9">
      <c r="A107" s="36"/>
      <c r="B107" s="67" t="s">
        <v>89</v>
      </c>
      <c r="C107" s="19"/>
      <c r="D107" s="19"/>
      <c r="E107" s="58"/>
      <c r="F107" s="58"/>
      <c r="G107" s="59"/>
      <c r="H107" s="59"/>
      <c r="I107" s="22">
        <v>0</v>
      </c>
    </row>
    <row r="108" spans="1:9" ht="15.75" customHeight="1">
      <c r="A108" s="71"/>
      <c r="B108" s="62" t="s">
        <v>55</v>
      </c>
      <c r="C108" s="45"/>
      <c r="D108" s="45"/>
      <c r="E108" s="45"/>
      <c r="F108" s="45"/>
      <c r="G108" s="45"/>
      <c r="H108" s="45"/>
      <c r="I108" s="60">
        <f>I102+I106</f>
        <v>50140.618791111112</v>
      </c>
    </row>
    <row r="109" spans="1:9" ht="15.75">
      <c r="A109" s="163" t="s">
        <v>245</v>
      </c>
      <c r="B109" s="163"/>
      <c r="C109" s="163"/>
      <c r="D109" s="163"/>
      <c r="E109" s="163"/>
      <c r="F109" s="163"/>
      <c r="G109" s="163"/>
      <c r="H109" s="163"/>
      <c r="I109" s="163"/>
    </row>
    <row r="110" spans="1:9" ht="15.75">
      <c r="A110" s="113"/>
      <c r="B110" s="152" t="s">
        <v>246</v>
      </c>
      <c r="C110" s="152"/>
      <c r="D110" s="152"/>
      <c r="E110" s="152"/>
      <c r="F110" s="152"/>
      <c r="G110" s="152"/>
      <c r="H110" s="119"/>
      <c r="I110" s="3"/>
    </row>
    <row r="111" spans="1:9">
      <c r="A111" s="107"/>
      <c r="B111" s="148" t="s">
        <v>6</v>
      </c>
      <c r="C111" s="148"/>
      <c r="D111" s="148"/>
      <c r="E111" s="148"/>
      <c r="F111" s="148"/>
      <c r="G111" s="148"/>
      <c r="H111" s="31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153" t="s">
        <v>7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.75" customHeight="1">
      <c r="A114" s="153" t="s">
        <v>8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15.75" customHeight="1">
      <c r="A115" s="154" t="s">
        <v>66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15.75" customHeight="1">
      <c r="A116" s="11"/>
    </row>
    <row r="117" spans="1:9" ht="15.75" customHeight="1">
      <c r="A117" s="155" t="s">
        <v>9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 customHeight="1">
      <c r="A118" s="4"/>
    </row>
    <row r="119" spans="1:9" ht="15.75" customHeight="1">
      <c r="B119" s="109" t="s">
        <v>10</v>
      </c>
      <c r="C119" s="147" t="s">
        <v>192</v>
      </c>
      <c r="D119" s="147"/>
      <c r="E119" s="147"/>
      <c r="F119" s="117"/>
      <c r="I119" s="111"/>
    </row>
    <row r="120" spans="1:9">
      <c r="A120" s="107"/>
      <c r="C120" s="148" t="s">
        <v>11</v>
      </c>
      <c r="D120" s="148"/>
      <c r="E120" s="148"/>
      <c r="F120" s="31"/>
      <c r="I120" s="112" t="s">
        <v>12</v>
      </c>
    </row>
    <row r="121" spans="1:9" ht="15.75">
      <c r="A121" s="32"/>
      <c r="C121" s="12"/>
      <c r="D121" s="12"/>
      <c r="G121" s="12"/>
      <c r="H121" s="12"/>
    </row>
    <row r="122" spans="1:9" ht="15.75">
      <c r="B122" s="109" t="s">
        <v>13</v>
      </c>
      <c r="C122" s="149"/>
      <c r="D122" s="149"/>
      <c r="E122" s="149"/>
      <c r="F122" s="118"/>
      <c r="I122" s="111"/>
    </row>
    <row r="123" spans="1:9">
      <c r="A123" s="107"/>
      <c r="C123" s="150" t="s">
        <v>11</v>
      </c>
      <c r="D123" s="150"/>
      <c r="E123" s="150"/>
      <c r="F123" s="107"/>
      <c r="I123" s="112" t="s">
        <v>12</v>
      </c>
    </row>
    <row r="124" spans="1:9" ht="15.75">
      <c r="A124" s="4" t="s">
        <v>14</v>
      </c>
    </row>
    <row r="125" spans="1:9">
      <c r="A125" s="151" t="s">
        <v>15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45" customHeight="1">
      <c r="A126" s="146" t="s">
        <v>16</v>
      </c>
      <c r="B126" s="146"/>
      <c r="C126" s="146"/>
      <c r="D126" s="146"/>
      <c r="E126" s="146"/>
      <c r="F126" s="146"/>
      <c r="G126" s="146"/>
      <c r="H126" s="146"/>
      <c r="I126" s="146"/>
    </row>
    <row r="127" spans="1:9" ht="30" customHeight="1">
      <c r="A127" s="146" t="s">
        <v>17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30" customHeight="1">
      <c r="A128" s="146" t="s">
        <v>21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15" customHeight="1">
      <c r="A129" s="146" t="s">
        <v>20</v>
      </c>
      <c r="B129" s="146"/>
      <c r="C129" s="146"/>
      <c r="D129" s="146"/>
      <c r="E129" s="146"/>
      <c r="F129" s="146"/>
      <c r="G129" s="146"/>
      <c r="H129" s="146"/>
      <c r="I129" s="146"/>
    </row>
  </sheetData>
  <mergeCells count="27">
    <mergeCell ref="A14:I14"/>
    <mergeCell ref="A3:I3"/>
    <mergeCell ref="A4:I4"/>
    <mergeCell ref="A5:I5"/>
    <mergeCell ref="A8:I8"/>
    <mergeCell ref="A10:I10"/>
    <mergeCell ref="A117:I117"/>
    <mergeCell ref="A15:I15"/>
    <mergeCell ref="A29:I29"/>
    <mergeCell ref="A46:I46"/>
    <mergeCell ref="A58:I58"/>
    <mergeCell ref="A99:I99"/>
    <mergeCell ref="A109:I109"/>
    <mergeCell ref="B110:G110"/>
    <mergeCell ref="B111:G111"/>
    <mergeCell ref="A113:I113"/>
    <mergeCell ref="A114:I114"/>
    <mergeCell ref="A115:I115"/>
    <mergeCell ref="A127:I127"/>
    <mergeCell ref="A128:I128"/>
    <mergeCell ref="A129:I129"/>
    <mergeCell ref="C119:E119"/>
    <mergeCell ref="C120:E120"/>
    <mergeCell ref="C122:E122"/>
    <mergeCell ref="C123:E123"/>
    <mergeCell ref="A125:I125"/>
    <mergeCell ref="A126:I12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247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67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42613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f>F31/6*G31</f>
        <v>881.39376000000016</v>
      </c>
    </row>
    <row r="32" spans="1:9" ht="31.5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f t="shared" ref="I32:I35" si="3">F32/6*G32</f>
        <v>764.8420000000001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3"/>
        <v>382.57616666666672</v>
      </c>
    </row>
    <row r="35" spans="1:9" ht="15.75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3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hidden="1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hidden="1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4">SUM(F39*G39/1000)</f>
        <v>13.89664</v>
      </c>
      <c r="I39" s="16">
        <f>F39/6*G39</f>
        <v>2316.1066666666666</v>
      </c>
    </row>
    <row r="40" spans="1:9" ht="15.75" hidden="1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4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4"/>
        <v>29.4892</v>
      </c>
      <c r="I41" s="16">
        <v>0</v>
      </c>
    </row>
    <row r="42" spans="1:9" ht="15.75" hidden="1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4"/>
        <v>3.7102349999999999</v>
      </c>
      <c r="I42" s="16">
        <f t="shared" ref="I42:I45" si="5">F42/6*G42</f>
        <v>618.37249999999995</v>
      </c>
    </row>
    <row r="43" spans="1:9" ht="47.25" hidden="1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4"/>
        <v>9.4489593099999993</v>
      </c>
      <c r="I43" s="16">
        <f t="shared" si="5"/>
        <v>1574.8265516666668</v>
      </c>
    </row>
    <row r="44" spans="1:9" ht="15.75" hidden="1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4"/>
        <v>1.3165470000000001</v>
      </c>
      <c r="I44" s="16">
        <f t="shared" si="5"/>
        <v>219.42450000000002</v>
      </c>
    </row>
    <row r="45" spans="1:9" ht="15.75" hidden="1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4"/>
        <v>0.81688499999999997</v>
      </c>
      <c r="I45" s="16">
        <f t="shared" si="5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6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6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6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6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6"/>
        <v>0.15212377599999999</v>
      </c>
      <c r="I51" s="16">
        <v>0</v>
      </c>
    </row>
    <row r="52" spans="1:9" ht="15.75" hidden="1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6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6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6"/>
        <v>0.12857640000000001</v>
      </c>
      <c r="I55" s="16">
        <v>0</v>
      </c>
    </row>
    <row r="56" spans="1:9" ht="15.75" customHeight="1">
      <c r="A56" s="36">
        <v>10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6"/>
        <v>26.965679999999999</v>
      </c>
      <c r="I56" s="16">
        <f>E56*G56</f>
        <v>8988.56</v>
      </c>
    </row>
    <row r="57" spans="1:9" ht="15.75" customHeight="1">
      <c r="A57" s="36">
        <v>11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6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hidden="1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hidden="1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12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7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7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7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7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7"/>
        <v>32.210177999999999</v>
      </c>
      <c r="I69" s="16">
        <f t="shared" ref="I69:I72" si="8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7"/>
        <v>0.70823999999999998</v>
      </c>
      <c r="I70" s="16">
        <f t="shared" si="8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7"/>
        <v>0.66065999999999991</v>
      </c>
      <c r="I71" s="16">
        <f t="shared" si="8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7"/>
        <v>0.22696</v>
      </c>
      <c r="I72" s="16">
        <f t="shared" si="8"/>
        <v>226.96</v>
      </c>
    </row>
    <row r="73" spans="1:9" ht="15.75" customHeight="1">
      <c r="A73" s="36">
        <v>13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7"/>
        <v>9.0779999999999994</v>
      </c>
      <c r="I73" s="16">
        <f>G73</f>
        <v>756.5</v>
      </c>
    </row>
    <row r="74" spans="1:9" ht="15.75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customHeight="1">
      <c r="A77" s="36">
        <v>14</v>
      </c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7"/>
        <v>0.114108</v>
      </c>
      <c r="I77" s="16">
        <f>G77*0.4</f>
        <v>228.21600000000001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7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7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7"/>
        <v>1.8831900000000001</v>
      </c>
      <c r="I81" s="16">
        <v>0</v>
      </c>
    </row>
    <row r="82" spans="1:9" ht="15.75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customHeight="1">
      <c r="A83" s="36">
        <v>15</v>
      </c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f>G83</f>
        <v>21095</v>
      </c>
    </row>
    <row r="84" spans="1:9" ht="15.75" hidden="1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9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9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9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9"/>
        <v>1.82952</v>
      </c>
      <c r="I88" s="16">
        <v>0</v>
      </c>
    </row>
    <row r="89" spans="1:9" ht="31.5" hidden="1" customHeight="1">
      <c r="A89" s="36"/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9"/>
        <v>1.0895599999999999</v>
      </c>
      <c r="I89" s="16">
        <v>0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9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9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9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9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9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9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9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9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9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16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17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I16+I17+I18+I27+I28+I31+I32+I34+I35+I56+I57+I63+I73+I77+I83+I100+I101</f>
        <v>88706.848291111091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18</v>
      </c>
      <c r="B104" s="76" t="s">
        <v>216</v>
      </c>
      <c r="C104" s="122" t="s">
        <v>217</v>
      </c>
      <c r="D104" s="67"/>
      <c r="E104" s="16"/>
      <c r="F104" s="16">
        <v>1</v>
      </c>
      <c r="G104" s="16">
        <v>51.39</v>
      </c>
      <c r="H104" s="134">
        <f>G104*F104/1000</f>
        <v>5.1389999999999998E-2</v>
      </c>
      <c r="I104" s="16">
        <f>G104</f>
        <v>51.39</v>
      </c>
    </row>
    <row r="105" spans="1:9" ht="15.75" customHeight="1">
      <c r="A105" s="36">
        <v>19</v>
      </c>
      <c r="B105" s="76" t="s">
        <v>97</v>
      </c>
      <c r="C105" s="122" t="s">
        <v>119</v>
      </c>
      <c r="D105" s="67"/>
      <c r="E105" s="16"/>
      <c r="F105" s="16">
        <v>6</v>
      </c>
      <c r="G105" s="16">
        <v>180.15</v>
      </c>
      <c r="H105" s="134">
        <f t="shared" ref="H105" si="10">G105*F105/1000</f>
        <v>1.0809000000000002</v>
      </c>
      <c r="I105" s="16">
        <f>G105</f>
        <v>180.15</v>
      </c>
    </row>
    <row r="106" spans="1:9">
      <c r="A106" s="36"/>
      <c r="B106" s="61" t="s">
        <v>54</v>
      </c>
      <c r="C106" s="57"/>
      <c r="D106" s="70"/>
      <c r="E106" s="57">
        <v>1</v>
      </c>
      <c r="F106" s="57"/>
      <c r="G106" s="57"/>
      <c r="H106" s="57"/>
      <c r="I106" s="39">
        <f>SUM(I104:I105)</f>
        <v>231.54000000000002</v>
      </c>
    </row>
    <row r="107" spans="1:9">
      <c r="A107" s="36"/>
      <c r="B107" s="67" t="s">
        <v>89</v>
      </c>
      <c r="C107" s="19"/>
      <c r="D107" s="19"/>
      <c r="E107" s="58"/>
      <c r="F107" s="58"/>
      <c r="G107" s="59"/>
      <c r="H107" s="59"/>
      <c r="I107" s="22">
        <v>0</v>
      </c>
    </row>
    <row r="108" spans="1:9" ht="15.75" customHeight="1">
      <c r="A108" s="71"/>
      <c r="B108" s="62" t="s">
        <v>55</v>
      </c>
      <c r="C108" s="45"/>
      <c r="D108" s="45"/>
      <c r="E108" s="45"/>
      <c r="F108" s="45"/>
      <c r="G108" s="45"/>
      <c r="H108" s="45"/>
      <c r="I108" s="60">
        <f>I102+I106</f>
        <v>88938.388291111085</v>
      </c>
    </row>
    <row r="109" spans="1:9" ht="15.75">
      <c r="A109" s="163" t="s">
        <v>248</v>
      </c>
      <c r="B109" s="163"/>
      <c r="C109" s="163"/>
      <c r="D109" s="163"/>
      <c r="E109" s="163"/>
      <c r="F109" s="163"/>
      <c r="G109" s="163"/>
      <c r="H109" s="163"/>
      <c r="I109" s="163"/>
    </row>
    <row r="110" spans="1:9" ht="15.75">
      <c r="A110" s="113"/>
      <c r="B110" s="152" t="s">
        <v>249</v>
      </c>
      <c r="C110" s="152"/>
      <c r="D110" s="152"/>
      <c r="E110" s="152"/>
      <c r="F110" s="152"/>
      <c r="G110" s="152"/>
      <c r="H110" s="119"/>
      <c r="I110" s="3"/>
    </row>
    <row r="111" spans="1:9">
      <c r="A111" s="107"/>
      <c r="B111" s="148" t="s">
        <v>6</v>
      </c>
      <c r="C111" s="148"/>
      <c r="D111" s="148"/>
      <c r="E111" s="148"/>
      <c r="F111" s="148"/>
      <c r="G111" s="148"/>
      <c r="H111" s="31"/>
      <c r="I111" s="5"/>
    </row>
    <row r="112" spans="1:9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153" t="s">
        <v>7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.75" customHeight="1">
      <c r="A114" s="153" t="s">
        <v>8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15.75" customHeight="1">
      <c r="A115" s="154" t="s">
        <v>66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7.5" customHeight="1">
      <c r="A116" s="11"/>
    </row>
    <row r="117" spans="1:9" ht="15.75" customHeight="1">
      <c r="A117" s="155" t="s">
        <v>9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 customHeight="1">
      <c r="A118" s="4"/>
    </row>
    <row r="119" spans="1:9" ht="15.75" customHeight="1">
      <c r="B119" s="109" t="s">
        <v>10</v>
      </c>
      <c r="C119" s="147" t="s">
        <v>192</v>
      </c>
      <c r="D119" s="147"/>
      <c r="E119" s="147"/>
      <c r="F119" s="117"/>
      <c r="I119" s="111"/>
    </row>
    <row r="120" spans="1:9">
      <c r="A120" s="107"/>
      <c r="C120" s="148" t="s">
        <v>11</v>
      </c>
      <c r="D120" s="148"/>
      <c r="E120" s="148"/>
      <c r="F120" s="31"/>
      <c r="I120" s="112" t="s">
        <v>12</v>
      </c>
    </row>
    <row r="121" spans="1:9" ht="15.75">
      <c r="A121" s="32"/>
      <c r="C121" s="12"/>
      <c r="D121" s="12"/>
      <c r="G121" s="12"/>
      <c r="H121" s="12"/>
    </row>
    <row r="122" spans="1:9" ht="15.75">
      <c r="B122" s="109" t="s">
        <v>13</v>
      </c>
      <c r="C122" s="149"/>
      <c r="D122" s="149"/>
      <c r="E122" s="149"/>
      <c r="F122" s="118"/>
      <c r="I122" s="111"/>
    </row>
    <row r="123" spans="1:9">
      <c r="A123" s="107"/>
      <c r="C123" s="150" t="s">
        <v>11</v>
      </c>
      <c r="D123" s="150"/>
      <c r="E123" s="150"/>
      <c r="F123" s="107"/>
      <c r="I123" s="112" t="s">
        <v>12</v>
      </c>
    </row>
    <row r="124" spans="1:9" ht="15.75">
      <c r="A124" s="4" t="s">
        <v>14</v>
      </c>
    </row>
    <row r="125" spans="1:9">
      <c r="A125" s="151" t="s">
        <v>15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45" customHeight="1">
      <c r="A126" s="146" t="s">
        <v>16</v>
      </c>
      <c r="B126" s="146"/>
      <c r="C126" s="146"/>
      <c r="D126" s="146"/>
      <c r="E126" s="146"/>
      <c r="F126" s="146"/>
      <c r="G126" s="146"/>
      <c r="H126" s="146"/>
      <c r="I126" s="146"/>
    </row>
    <row r="127" spans="1:9" ht="30" customHeight="1">
      <c r="A127" s="146" t="s">
        <v>17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30" customHeight="1">
      <c r="A128" s="146" t="s">
        <v>21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15" customHeight="1">
      <c r="A129" s="146" t="s">
        <v>20</v>
      </c>
      <c r="B129" s="146"/>
      <c r="C129" s="146"/>
      <c r="D129" s="146"/>
      <c r="E129" s="146"/>
      <c r="F129" s="146"/>
      <c r="G129" s="146"/>
      <c r="H129" s="146"/>
      <c r="I129" s="146"/>
    </row>
  </sheetData>
  <mergeCells count="27">
    <mergeCell ref="A14:I14"/>
    <mergeCell ref="A3:I3"/>
    <mergeCell ref="A4:I4"/>
    <mergeCell ref="A5:I5"/>
    <mergeCell ref="A8:I8"/>
    <mergeCell ref="A10:I10"/>
    <mergeCell ref="A117:I117"/>
    <mergeCell ref="A15:I15"/>
    <mergeCell ref="A29:I29"/>
    <mergeCell ref="A46:I46"/>
    <mergeCell ref="A58:I58"/>
    <mergeCell ref="A99:I99"/>
    <mergeCell ref="A109:I109"/>
    <mergeCell ref="B110:G110"/>
    <mergeCell ref="B111:G111"/>
    <mergeCell ref="A113:I113"/>
    <mergeCell ref="A114:I114"/>
    <mergeCell ref="A115:I115"/>
    <mergeCell ref="A127:I127"/>
    <mergeCell ref="A128:I128"/>
    <mergeCell ref="A129:I129"/>
    <mergeCell ref="C119:E119"/>
    <mergeCell ref="C120:E120"/>
    <mergeCell ref="C122:E122"/>
    <mergeCell ref="C123:E123"/>
    <mergeCell ref="A125:I125"/>
    <mergeCell ref="A126:I12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250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100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42643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9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f t="shared" si="1"/>
        <v>64.516666666666666</v>
      </c>
    </row>
    <row r="20" spans="1:9" ht="15.75" customHeight="1">
      <c r="A20" s="36">
        <v>5</v>
      </c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f>F20/2*G20</f>
        <v>26.021099999999997</v>
      </c>
    </row>
    <row r="21" spans="1:9" ht="15.75" customHeight="1">
      <c r="A21" s="36">
        <v>6</v>
      </c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f>F21/2*G21</f>
        <v>6.6368700000000009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7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8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customHeight="1">
      <c r="A31" s="36">
        <v>9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f>F31/6*G31</f>
        <v>881.39376000000016</v>
      </c>
    </row>
    <row r="32" spans="1:9" ht="31.5" customHeight="1">
      <c r="A32" s="36">
        <v>10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f t="shared" ref="I32:I35" si="3">F32/6*G32</f>
        <v>764.8420000000001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customHeight="1">
      <c r="A34" s="36">
        <v>11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3"/>
        <v>382.57616666666672</v>
      </c>
    </row>
    <row r="35" spans="1:9" ht="15.75" customHeight="1">
      <c r="A35" s="36">
        <v>12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3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hidden="1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hidden="1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4">SUM(F39*G39/1000)</f>
        <v>13.89664</v>
      </c>
      <c r="I39" s="16">
        <f>F39/6*G39</f>
        <v>2316.1066666666666</v>
      </c>
    </row>
    <row r="40" spans="1:9" ht="15.75" hidden="1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4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4"/>
        <v>29.4892</v>
      </c>
      <c r="I41" s="16">
        <v>0</v>
      </c>
    </row>
    <row r="42" spans="1:9" ht="15.75" hidden="1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4"/>
        <v>3.7102349999999999</v>
      </c>
      <c r="I42" s="16">
        <f t="shared" ref="I42:I45" si="5">F42/6*G42</f>
        <v>618.37249999999995</v>
      </c>
    </row>
    <row r="43" spans="1:9" ht="47.25" hidden="1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4"/>
        <v>9.4489593099999993</v>
      </c>
      <c r="I43" s="16">
        <f t="shared" si="5"/>
        <v>1574.8265516666668</v>
      </c>
    </row>
    <row r="44" spans="1:9" ht="15.75" hidden="1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4"/>
        <v>1.3165470000000001</v>
      </c>
      <c r="I44" s="16">
        <f t="shared" si="5"/>
        <v>219.42450000000002</v>
      </c>
    </row>
    <row r="45" spans="1:9" ht="15.75" hidden="1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4"/>
        <v>0.81688499999999997</v>
      </c>
      <c r="I45" s="16">
        <f t="shared" si="5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customHeight="1">
      <c r="A47" s="36">
        <v>13</v>
      </c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6">SUM(F47*G47/1000)</f>
        <v>3.0514411800000003</v>
      </c>
      <c r="I47" s="16">
        <f>F47/2*G47</f>
        <v>1525.7205900000001</v>
      </c>
    </row>
    <row r="48" spans="1:9" ht="15.75" customHeight="1">
      <c r="A48" s="36">
        <v>14</v>
      </c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6"/>
        <v>6.854536E-2</v>
      </c>
      <c r="I48" s="16">
        <f t="shared" ref="I48:I51" si="7">F48/2*G48</f>
        <v>34.272680000000001</v>
      </c>
    </row>
    <row r="49" spans="1:9" ht="15.75" customHeight="1">
      <c r="A49" s="36">
        <v>15</v>
      </c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6"/>
        <v>4.6398486879999998</v>
      </c>
      <c r="I49" s="16">
        <f t="shared" si="7"/>
        <v>2319.924344</v>
      </c>
    </row>
    <row r="50" spans="1:9" ht="15.75" customHeight="1">
      <c r="A50" s="36">
        <v>16</v>
      </c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6"/>
        <v>5.0035903999999993</v>
      </c>
      <c r="I50" s="16">
        <f t="shared" si="7"/>
        <v>2501.7951999999996</v>
      </c>
    </row>
    <row r="51" spans="1:9" ht="15.75" customHeight="1">
      <c r="A51" s="36">
        <v>17</v>
      </c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6"/>
        <v>0.15212377599999999</v>
      </c>
      <c r="I51" s="16">
        <f t="shared" si="7"/>
        <v>76.061887999999996</v>
      </c>
    </row>
    <row r="52" spans="1:9" ht="15.75" customHeight="1">
      <c r="A52" s="36">
        <v>18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hidden="1" customHeight="1">
      <c r="A53" s="36"/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6"/>
        <v>2.8721490479999998</v>
      </c>
      <c r="I53" s="16">
        <v>0</v>
      </c>
    </row>
    <row r="54" spans="1:9" ht="31.5" hidden="1" customHeight="1">
      <c r="A54" s="36"/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6"/>
        <v>1.407824</v>
      </c>
      <c r="I54" s="16">
        <v>0</v>
      </c>
    </row>
    <row r="55" spans="1:9" ht="15.75" hidden="1" customHeight="1">
      <c r="A55" s="36"/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6"/>
        <v>0.12857640000000001</v>
      </c>
      <c r="I55" s="16">
        <v>0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6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6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hidden="1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hidden="1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19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hidden="1" customHeight="1">
      <c r="A65" s="36">
        <v>17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8">SUM(F65*G65/1000)</f>
        <v>3.7944000000000006E-2</v>
      </c>
      <c r="I65" s="16">
        <f>G65*5</f>
        <v>1264.8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8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8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8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8"/>
        <v>32.210177999999999</v>
      </c>
      <c r="I69" s="16">
        <f t="shared" ref="I69:I72" si="9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8"/>
        <v>0.70823999999999998</v>
      </c>
      <c r="I70" s="16">
        <f t="shared" si="9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8"/>
        <v>0.66065999999999991</v>
      </c>
      <c r="I71" s="16">
        <f t="shared" si="9"/>
        <v>660.66</v>
      </c>
    </row>
    <row r="72" spans="1:9" ht="15.75" customHeight="1">
      <c r="A72" s="36">
        <v>20</v>
      </c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8"/>
        <v>0.22696</v>
      </c>
      <c r="I72" s="16">
        <f t="shared" si="9"/>
        <v>226.96</v>
      </c>
    </row>
    <row r="73" spans="1:9" ht="15.75" customHeight="1">
      <c r="A73" s="36">
        <v>21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8"/>
        <v>9.0779999999999994</v>
      </c>
      <c r="I73" s="16">
        <f>G73</f>
        <v>756.5</v>
      </c>
    </row>
    <row r="74" spans="1:9" ht="15.75" hidden="1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8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8"/>
        <v>0.97021000000000002</v>
      </c>
      <c r="I78" s="16">
        <v>0</v>
      </c>
    </row>
    <row r="79" spans="1:9" ht="15.75" hidden="1" customHeight="1">
      <c r="A79" s="36"/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8"/>
        <v>0.40779000000000004</v>
      </c>
      <c r="I79" s="16">
        <v>0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8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10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10"/>
        <v>11.183999999999999</v>
      </c>
      <c r="I86" s="16">
        <v>0</v>
      </c>
    </row>
    <row r="87" spans="1:9" ht="15.75" customHeight="1">
      <c r="A87" s="36">
        <v>22</v>
      </c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10"/>
        <v>9.7209000000000003</v>
      </c>
      <c r="I87" s="16">
        <f>G87*4</f>
        <v>3888.36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10"/>
        <v>1.82952</v>
      </c>
      <c r="I88" s="16">
        <v>0</v>
      </c>
    </row>
    <row r="89" spans="1:9" ht="31.5" hidden="1" customHeight="1">
      <c r="A89" s="36"/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10"/>
        <v>1.0895599999999999</v>
      </c>
      <c r="I89" s="16">
        <v>0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10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10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10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10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10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10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10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10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10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23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24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I16+I17+I18+I20+I21+I27+I28+I31+I32+I34+I35+I47+I48+I49+I50+I51+I52+I63+I72+I73+I87+I100+I101</f>
        <v>62260.740259111102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15.75" customHeight="1">
      <c r="A104" s="36">
        <v>25</v>
      </c>
      <c r="B104" s="142" t="s">
        <v>102</v>
      </c>
      <c r="C104" s="122" t="s">
        <v>119</v>
      </c>
      <c r="D104" s="67"/>
      <c r="E104" s="16"/>
      <c r="F104" s="16">
        <v>3</v>
      </c>
      <c r="G104" s="16">
        <v>179.96</v>
      </c>
      <c r="H104" s="134">
        <f>G104*F104/1000</f>
        <v>0.53988000000000003</v>
      </c>
      <c r="I104" s="16">
        <f>G104</f>
        <v>179.96</v>
      </c>
    </row>
    <row r="105" spans="1:9" ht="31.5" customHeight="1">
      <c r="A105" s="36">
        <v>26</v>
      </c>
      <c r="B105" s="76" t="s">
        <v>218</v>
      </c>
      <c r="C105" s="122" t="s">
        <v>94</v>
      </c>
      <c r="D105" s="67"/>
      <c r="E105" s="16"/>
      <c r="F105" s="16">
        <v>4</v>
      </c>
      <c r="G105" s="16">
        <v>771.29</v>
      </c>
      <c r="H105" s="134">
        <f t="shared" ref="H105:H107" si="11">G105*F105/1000</f>
        <v>3.0851599999999997</v>
      </c>
      <c r="I105" s="16">
        <f>G105*4</f>
        <v>3085.16</v>
      </c>
    </row>
    <row r="106" spans="1:9" ht="15.75" customHeight="1">
      <c r="A106" s="36">
        <v>27</v>
      </c>
      <c r="B106" s="76" t="s">
        <v>219</v>
      </c>
      <c r="C106" s="122" t="s">
        <v>119</v>
      </c>
      <c r="D106" s="67"/>
      <c r="E106" s="16"/>
      <c r="F106" s="16">
        <v>1</v>
      </c>
      <c r="G106" s="16">
        <v>48.69</v>
      </c>
      <c r="H106" s="134">
        <f t="shared" si="11"/>
        <v>4.8689999999999997E-2</v>
      </c>
      <c r="I106" s="16">
        <f>G106</f>
        <v>48.69</v>
      </c>
    </row>
    <row r="107" spans="1:9" ht="15.75" customHeight="1">
      <c r="A107" s="36">
        <v>28</v>
      </c>
      <c r="B107" s="76" t="s">
        <v>220</v>
      </c>
      <c r="C107" s="122" t="s">
        <v>221</v>
      </c>
      <c r="D107" s="18"/>
      <c r="E107" s="23"/>
      <c r="F107" s="16">
        <v>2</v>
      </c>
      <c r="G107" s="16">
        <v>195.95</v>
      </c>
      <c r="H107" s="134">
        <f t="shared" si="11"/>
        <v>0.39189999999999997</v>
      </c>
      <c r="I107" s="16">
        <f>G107*2</f>
        <v>391.9</v>
      </c>
    </row>
    <row r="108" spans="1:9">
      <c r="A108" s="36"/>
      <c r="B108" s="61" t="s">
        <v>54</v>
      </c>
      <c r="C108" s="57"/>
      <c r="D108" s="70"/>
      <c r="E108" s="57">
        <v>1</v>
      </c>
      <c r="F108" s="57"/>
      <c r="G108" s="57"/>
      <c r="H108" s="57"/>
      <c r="I108" s="39">
        <f>SUM(I104:I107)</f>
        <v>3705.71</v>
      </c>
    </row>
    <row r="109" spans="1:9">
      <c r="A109" s="36"/>
      <c r="B109" s="67" t="s">
        <v>89</v>
      </c>
      <c r="C109" s="19"/>
      <c r="D109" s="19"/>
      <c r="E109" s="58"/>
      <c r="F109" s="58"/>
      <c r="G109" s="59"/>
      <c r="H109" s="59"/>
      <c r="I109" s="22">
        <v>0</v>
      </c>
    </row>
    <row r="110" spans="1:9" ht="15.75" customHeight="1">
      <c r="A110" s="71"/>
      <c r="B110" s="62" t="s">
        <v>55</v>
      </c>
      <c r="C110" s="45"/>
      <c r="D110" s="45"/>
      <c r="E110" s="45"/>
      <c r="F110" s="45"/>
      <c r="G110" s="45"/>
      <c r="H110" s="45"/>
      <c r="I110" s="60">
        <f>I102+I108</f>
        <v>65966.450259111109</v>
      </c>
    </row>
    <row r="111" spans="1:9" ht="15.75">
      <c r="A111" s="163" t="s">
        <v>251</v>
      </c>
      <c r="B111" s="163"/>
      <c r="C111" s="163"/>
      <c r="D111" s="163"/>
      <c r="E111" s="163"/>
      <c r="F111" s="163"/>
      <c r="G111" s="163"/>
      <c r="H111" s="163"/>
      <c r="I111" s="163"/>
    </row>
    <row r="112" spans="1:9" ht="15.75">
      <c r="A112" s="113"/>
      <c r="B112" s="152" t="s">
        <v>252</v>
      </c>
      <c r="C112" s="152"/>
      <c r="D112" s="152"/>
      <c r="E112" s="152"/>
      <c r="F112" s="152"/>
      <c r="G112" s="152"/>
      <c r="H112" s="119"/>
      <c r="I112" s="3"/>
    </row>
    <row r="113" spans="1:9">
      <c r="A113" s="107"/>
      <c r="B113" s="148" t="s">
        <v>6</v>
      </c>
      <c r="C113" s="148"/>
      <c r="D113" s="148"/>
      <c r="E113" s="148"/>
      <c r="F113" s="148"/>
      <c r="G113" s="148"/>
      <c r="H113" s="31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 customHeight="1">
      <c r="A115" s="153" t="s">
        <v>7</v>
      </c>
      <c r="B115" s="153"/>
      <c r="C115" s="153"/>
      <c r="D115" s="153"/>
      <c r="E115" s="153"/>
      <c r="F115" s="153"/>
      <c r="G115" s="153"/>
      <c r="H115" s="153"/>
      <c r="I115" s="153"/>
    </row>
    <row r="116" spans="1:9" ht="15.75" customHeight="1">
      <c r="A116" s="153" t="s">
        <v>8</v>
      </c>
      <c r="B116" s="153"/>
      <c r="C116" s="153"/>
      <c r="D116" s="153"/>
      <c r="E116" s="153"/>
      <c r="F116" s="153"/>
      <c r="G116" s="153"/>
      <c r="H116" s="153"/>
      <c r="I116" s="153"/>
    </row>
    <row r="117" spans="1:9" ht="15.75" customHeight="1">
      <c r="A117" s="154" t="s">
        <v>66</v>
      </c>
      <c r="B117" s="154"/>
      <c r="C117" s="154"/>
      <c r="D117" s="154"/>
      <c r="E117" s="154"/>
      <c r="F117" s="154"/>
      <c r="G117" s="154"/>
      <c r="H117" s="154"/>
      <c r="I117" s="154"/>
    </row>
    <row r="118" spans="1:9" ht="15.75" customHeight="1">
      <c r="A118" s="11"/>
    </row>
    <row r="119" spans="1:9" ht="15.75" customHeight="1">
      <c r="A119" s="155" t="s">
        <v>9</v>
      </c>
      <c r="B119" s="155"/>
      <c r="C119" s="155"/>
      <c r="D119" s="155"/>
      <c r="E119" s="155"/>
      <c r="F119" s="155"/>
      <c r="G119" s="155"/>
      <c r="H119" s="155"/>
      <c r="I119" s="155"/>
    </row>
    <row r="120" spans="1:9" ht="15.75" customHeight="1">
      <c r="A120" s="4"/>
    </row>
    <row r="121" spans="1:9" ht="15.75" customHeight="1">
      <c r="B121" s="109" t="s">
        <v>10</v>
      </c>
      <c r="C121" s="147" t="s">
        <v>192</v>
      </c>
      <c r="D121" s="147"/>
      <c r="E121" s="147"/>
      <c r="F121" s="117"/>
      <c r="I121" s="111"/>
    </row>
    <row r="122" spans="1:9">
      <c r="A122" s="107"/>
      <c r="C122" s="148" t="s">
        <v>11</v>
      </c>
      <c r="D122" s="148"/>
      <c r="E122" s="148"/>
      <c r="F122" s="31"/>
      <c r="I122" s="112" t="s">
        <v>12</v>
      </c>
    </row>
    <row r="123" spans="1:9" ht="15.75">
      <c r="A123" s="32"/>
      <c r="C123" s="12"/>
      <c r="D123" s="12"/>
      <c r="G123" s="12"/>
      <c r="H123" s="12"/>
    </row>
    <row r="124" spans="1:9" ht="15.75">
      <c r="B124" s="109" t="s">
        <v>13</v>
      </c>
      <c r="C124" s="149"/>
      <c r="D124" s="149"/>
      <c r="E124" s="149"/>
      <c r="F124" s="118"/>
      <c r="I124" s="111"/>
    </row>
    <row r="125" spans="1:9">
      <c r="A125" s="107"/>
      <c r="C125" s="150" t="s">
        <v>11</v>
      </c>
      <c r="D125" s="150"/>
      <c r="E125" s="150"/>
      <c r="F125" s="107"/>
      <c r="I125" s="112" t="s">
        <v>12</v>
      </c>
    </row>
    <row r="126" spans="1:9" ht="15.75">
      <c r="A126" s="4" t="s">
        <v>14</v>
      </c>
    </row>
    <row r="127" spans="1:9">
      <c r="A127" s="151" t="s">
        <v>15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45" customHeight="1">
      <c r="A128" s="146" t="s">
        <v>16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30" customHeight="1">
      <c r="A129" s="146" t="s">
        <v>17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30" customHeight="1">
      <c r="A130" s="146" t="s">
        <v>21</v>
      </c>
      <c r="B130" s="146"/>
      <c r="C130" s="146"/>
      <c r="D130" s="146"/>
      <c r="E130" s="146"/>
      <c r="F130" s="146"/>
      <c r="G130" s="146"/>
      <c r="H130" s="146"/>
      <c r="I130" s="146"/>
    </row>
    <row r="131" spans="1:9" ht="15" customHeight="1">
      <c r="A131" s="146" t="s">
        <v>20</v>
      </c>
      <c r="B131" s="146"/>
      <c r="C131" s="146"/>
      <c r="D131" s="146"/>
      <c r="E131" s="146"/>
      <c r="F131" s="146"/>
      <c r="G131" s="146"/>
      <c r="H131" s="146"/>
      <c r="I131" s="146"/>
    </row>
  </sheetData>
  <mergeCells count="27">
    <mergeCell ref="A14:I14"/>
    <mergeCell ref="A3:I3"/>
    <mergeCell ref="A4:I4"/>
    <mergeCell ref="A5:I5"/>
    <mergeCell ref="A8:I8"/>
    <mergeCell ref="A10:I10"/>
    <mergeCell ref="A119:I119"/>
    <mergeCell ref="A15:I15"/>
    <mergeCell ref="A29:I29"/>
    <mergeCell ref="A46:I46"/>
    <mergeCell ref="A58:I58"/>
    <mergeCell ref="A99:I99"/>
    <mergeCell ref="A111:I111"/>
    <mergeCell ref="B112:G112"/>
    <mergeCell ref="B113:G113"/>
    <mergeCell ref="A115:I115"/>
    <mergeCell ref="A116:I116"/>
    <mergeCell ref="A117:I117"/>
    <mergeCell ref="A129:I129"/>
    <mergeCell ref="A130:I130"/>
    <mergeCell ref="A131:I131"/>
    <mergeCell ref="C121:E121"/>
    <mergeCell ref="C122:E122"/>
    <mergeCell ref="C124:E124"/>
    <mergeCell ref="C125:E125"/>
    <mergeCell ref="A127:I127"/>
    <mergeCell ref="A128:I12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104</v>
      </c>
      <c r="I1" s="33"/>
    </row>
    <row r="2" spans="1:9" ht="15.75">
      <c r="A2" s="35" t="s">
        <v>70</v>
      </c>
    </row>
    <row r="3" spans="1:9" ht="15.75">
      <c r="A3" s="164" t="s">
        <v>253</v>
      </c>
      <c r="B3" s="164"/>
      <c r="C3" s="164"/>
      <c r="D3" s="164"/>
      <c r="E3" s="164"/>
      <c r="F3" s="164"/>
      <c r="G3" s="164"/>
      <c r="H3" s="164"/>
      <c r="I3" s="164"/>
    </row>
    <row r="4" spans="1:9" ht="31.5" customHeight="1">
      <c r="A4" s="165" t="s">
        <v>184</v>
      </c>
      <c r="B4" s="165"/>
      <c r="C4" s="165"/>
      <c r="D4" s="165"/>
      <c r="E4" s="165"/>
      <c r="F4" s="165"/>
      <c r="G4" s="165"/>
      <c r="H4" s="165"/>
      <c r="I4" s="165"/>
    </row>
    <row r="5" spans="1:9" ht="15.75">
      <c r="A5" s="164" t="s">
        <v>69</v>
      </c>
      <c r="B5" s="166"/>
      <c r="C5" s="166"/>
      <c r="D5" s="166"/>
      <c r="E5" s="166"/>
      <c r="F5" s="166"/>
      <c r="G5" s="166"/>
      <c r="H5" s="166"/>
      <c r="I5" s="166"/>
    </row>
    <row r="6" spans="1:9" ht="15.75">
      <c r="A6" s="2"/>
      <c r="B6" s="110"/>
      <c r="C6" s="110"/>
      <c r="D6" s="110"/>
      <c r="E6" s="110"/>
      <c r="F6" s="110"/>
      <c r="G6" s="110"/>
      <c r="H6" s="110"/>
      <c r="I6" s="37">
        <v>42674</v>
      </c>
    </row>
    <row r="7" spans="1:9" ht="15.75">
      <c r="B7" s="109"/>
      <c r="C7" s="109"/>
      <c r="D7" s="109"/>
      <c r="E7" s="3"/>
      <c r="F7" s="3"/>
      <c r="G7" s="3"/>
      <c r="H7" s="3"/>
    </row>
    <row r="8" spans="1:9" ht="78.75" customHeight="1">
      <c r="A8" s="167" t="s">
        <v>193</v>
      </c>
      <c r="B8" s="167"/>
      <c r="C8" s="167"/>
      <c r="D8" s="167"/>
      <c r="E8" s="167"/>
      <c r="F8" s="167"/>
      <c r="G8" s="167"/>
      <c r="H8" s="167"/>
      <c r="I8" s="167"/>
    </row>
    <row r="9" spans="1:9" ht="15.75">
      <c r="A9" s="4"/>
    </row>
    <row r="10" spans="1:9" ht="47.25" customHeight="1">
      <c r="A10" s="168" t="s">
        <v>194</v>
      </c>
      <c r="B10" s="168"/>
      <c r="C10" s="168"/>
      <c r="D10" s="168"/>
      <c r="E10" s="168"/>
      <c r="F10" s="168"/>
      <c r="G10" s="168"/>
      <c r="H10" s="168"/>
      <c r="I10" s="168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9" t="s">
        <v>64</v>
      </c>
      <c r="B14" s="169"/>
      <c r="C14" s="169"/>
      <c r="D14" s="169"/>
      <c r="E14" s="169"/>
      <c r="F14" s="169"/>
      <c r="G14" s="169"/>
      <c r="H14" s="169"/>
      <c r="I14" s="169"/>
    </row>
    <row r="15" spans="1:9" ht="15" customHeight="1">
      <c r="A15" s="156" t="s">
        <v>4</v>
      </c>
      <c r="B15" s="156"/>
      <c r="C15" s="156"/>
      <c r="D15" s="156"/>
      <c r="E15" s="156"/>
      <c r="F15" s="156"/>
      <c r="G15" s="156"/>
      <c r="H15" s="156"/>
      <c r="I15" s="156"/>
    </row>
    <row r="16" spans="1:9" ht="31.5" customHeight="1">
      <c r="A16" s="36">
        <v>1</v>
      </c>
      <c r="B16" s="100" t="s">
        <v>135</v>
      </c>
      <c r="C16" s="101" t="s">
        <v>107</v>
      </c>
      <c r="D16" s="100" t="s">
        <v>136</v>
      </c>
      <c r="E16" s="120">
        <v>70.7</v>
      </c>
      <c r="F16" s="102">
        <f>SUM(E16*156/100)</f>
        <v>110.292</v>
      </c>
      <c r="G16" s="102">
        <v>199.46</v>
      </c>
      <c r="H16" s="121">
        <f t="shared" ref="H16:H26" si="0">SUM(F16*G16/1000)</f>
        <v>21.998842320000001</v>
      </c>
      <c r="I16" s="16">
        <f>F16/12*G16</f>
        <v>1833.2368600000002</v>
      </c>
    </row>
    <row r="17" spans="1:9" ht="31.5" customHeight="1">
      <c r="A17" s="36">
        <v>2</v>
      </c>
      <c r="B17" s="100" t="s">
        <v>149</v>
      </c>
      <c r="C17" s="101" t="s">
        <v>107</v>
      </c>
      <c r="D17" s="100" t="s">
        <v>137</v>
      </c>
      <c r="E17" s="120">
        <v>282.8</v>
      </c>
      <c r="F17" s="102">
        <f>SUM(E17*104/100)</f>
        <v>294.11200000000002</v>
      </c>
      <c r="G17" s="102">
        <v>199.46</v>
      </c>
      <c r="H17" s="121">
        <f t="shared" si="0"/>
        <v>58.663579520000006</v>
      </c>
      <c r="I17" s="16">
        <f t="shared" ref="I17:I18" si="1">F17/12*G17</f>
        <v>4888.6316266666672</v>
      </c>
    </row>
    <row r="18" spans="1:9" ht="31.5" customHeight="1">
      <c r="A18" s="36">
        <v>3</v>
      </c>
      <c r="B18" s="100" t="s">
        <v>150</v>
      </c>
      <c r="C18" s="101" t="s">
        <v>107</v>
      </c>
      <c r="D18" s="100" t="s">
        <v>154</v>
      </c>
      <c r="E18" s="120">
        <f>SUM(E16+E17)</f>
        <v>353.5</v>
      </c>
      <c r="F18" s="102">
        <f>SUM(E18*24/100)</f>
        <v>84.84</v>
      </c>
      <c r="G18" s="102">
        <v>573.83000000000004</v>
      </c>
      <c r="H18" s="121">
        <f t="shared" si="0"/>
        <v>48.683737200000003</v>
      </c>
      <c r="I18" s="16">
        <f t="shared" si="1"/>
        <v>4056.9781000000003</v>
      </c>
    </row>
    <row r="19" spans="1:9" ht="15.75" hidden="1" customHeight="1">
      <c r="A19" s="36"/>
      <c r="B19" s="100" t="s">
        <v>138</v>
      </c>
      <c r="C19" s="101" t="s">
        <v>139</v>
      </c>
      <c r="D19" s="100" t="s">
        <v>140</v>
      </c>
      <c r="E19" s="120">
        <v>40</v>
      </c>
      <c r="F19" s="102">
        <f>SUM(E19/10)</f>
        <v>4</v>
      </c>
      <c r="G19" s="102">
        <v>193.55</v>
      </c>
      <c r="H19" s="121">
        <f t="shared" si="0"/>
        <v>0.7742</v>
      </c>
      <c r="I19" s="16">
        <v>0</v>
      </c>
    </row>
    <row r="20" spans="1:9" ht="15.75" hidden="1" customHeight="1">
      <c r="A20" s="36"/>
      <c r="B20" s="100" t="s">
        <v>141</v>
      </c>
      <c r="C20" s="101" t="s">
        <v>107</v>
      </c>
      <c r="D20" s="100" t="s">
        <v>44</v>
      </c>
      <c r="E20" s="120">
        <v>10.5</v>
      </c>
      <c r="F20" s="102">
        <f>E20*2/100</f>
        <v>0.21</v>
      </c>
      <c r="G20" s="102">
        <v>247.82</v>
      </c>
      <c r="H20" s="121">
        <f t="shared" si="0"/>
        <v>5.2042199999999997E-2</v>
      </c>
      <c r="I20" s="16">
        <v>0</v>
      </c>
    </row>
    <row r="21" spans="1:9" ht="15.75" hidden="1" customHeight="1">
      <c r="A21" s="36"/>
      <c r="B21" s="100" t="s">
        <v>142</v>
      </c>
      <c r="C21" s="101" t="s">
        <v>107</v>
      </c>
      <c r="D21" s="100" t="s">
        <v>44</v>
      </c>
      <c r="E21" s="120">
        <v>2.7</v>
      </c>
      <c r="F21" s="102">
        <f>SUM(E21*2/100)</f>
        <v>5.4000000000000006E-2</v>
      </c>
      <c r="G21" s="102">
        <v>245.81</v>
      </c>
      <c r="H21" s="121">
        <f t="shared" si="0"/>
        <v>1.3273740000000003E-2</v>
      </c>
      <c r="I21" s="16">
        <v>0</v>
      </c>
    </row>
    <row r="22" spans="1:9" ht="15.75" hidden="1" customHeight="1">
      <c r="A22" s="36"/>
      <c r="B22" s="100" t="s">
        <v>143</v>
      </c>
      <c r="C22" s="101" t="s">
        <v>56</v>
      </c>
      <c r="D22" s="100" t="s">
        <v>140</v>
      </c>
      <c r="E22" s="120">
        <v>357</v>
      </c>
      <c r="F22" s="102">
        <f>SUM(E22/100)</f>
        <v>3.57</v>
      </c>
      <c r="G22" s="102">
        <v>306.26</v>
      </c>
      <c r="H22" s="121">
        <f t="shared" si="0"/>
        <v>1.0933481999999999</v>
      </c>
      <c r="I22" s="16">
        <v>0</v>
      </c>
    </row>
    <row r="23" spans="1:9" ht="15.75" hidden="1" customHeight="1">
      <c r="A23" s="36"/>
      <c r="B23" s="100" t="s">
        <v>144</v>
      </c>
      <c r="C23" s="101" t="s">
        <v>56</v>
      </c>
      <c r="D23" s="100" t="s">
        <v>140</v>
      </c>
      <c r="E23" s="123">
        <v>38.64</v>
      </c>
      <c r="F23" s="102">
        <f>SUM(E23/100)</f>
        <v>0.38640000000000002</v>
      </c>
      <c r="G23" s="102">
        <v>50.37</v>
      </c>
      <c r="H23" s="121">
        <f t="shared" si="0"/>
        <v>1.9462968000000001E-2</v>
      </c>
      <c r="I23" s="16">
        <v>0</v>
      </c>
    </row>
    <row r="24" spans="1:9" ht="15.75" hidden="1" customHeight="1">
      <c r="A24" s="36"/>
      <c r="B24" s="100" t="s">
        <v>145</v>
      </c>
      <c r="C24" s="101" t="s">
        <v>56</v>
      </c>
      <c r="D24" s="100" t="s">
        <v>151</v>
      </c>
      <c r="E24" s="120">
        <v>15</v>
      </c>
      <c r="F24" s="102">
        <f>E24/100</f>
        <v>0.15</v>
      </c>
      <c r="G24" s="102">
        <v>443.27</v>
      </c>
      <c r="H24" s="121">
        <f t="shared" si="0"/>
        <v>6.6490499999999994E-2</v>
      </c>
      <c r="I24" s="16">
        <v>0</v>
      </c>
    </row>
    <row r="25" spans="1:9" ht="15.75" hidden="1" customHeight="1">
      <c r="A25" s="36"/>
      <c r="B25" s="100" t="s">
        <v>152</v>
      </c>
      <c r="C25" s="101" t="s">
        <v>107</v>
      </c>
      <c r="D25" s="100" t="s">
        <v>57</v>
      </c>
      <c r="E25" s="120">
        <v>14.25</v>
      </c>
      <c r="F25" s="102">
        <v>0.1</v>
      </c>
      <c r="G25" s="102">
        <v>245.81</v>
      </c>
      <c r="H25" s="121">
        <v>3.1E-2</v>
      </c>
      <c r="I25" s="16">
        <v>0</v>
      </c>
    </row>
    <row r="26" spans="1:9" ht="15.75" hidden="1" customHeight="1">
      <c r="A26" s="36"/>
      <c r="B26" s="100" t="s">
        <v>153</v>
      </c>
      <c r="C26" s="101" t="s">
        <v>56</v>
      </c>
      <c r="D26" s="100" t="s">
        <v>140</v>
      </c>
      <c r="E26" s="120">
        <v>6.38</v>
      </c>
      <c r="F26" s="102">
        <f>SUM(E26/100)</f>
        <v>6.3799999999999996E-2</v>
      </c>
      <c r="G26" s="102">
        <v>592.37</v>
      </c>
      <c r="H26" s="121">
        <f t="shared" si="0"/>
        <v>3.7793205999999996E-2</v>
      </c>
      <c r="I26" s="16">
        <v>0</v>
      </c>
    </row>
    <row r="27" spans="1:9" ht="15.75" customHeight="1">
      <c r="A27" s="36">
        <v>4</v>
      </c>
      <c r="B27" s="100" t="s">
        <v>72</v>
      </c>
      <c r="C27" s="101" t="s">
        <v>34</v>
      </c>
      <c r="D27" s="100" t="s">
        <v>202</v>
      </c>
      <c r="E27" s="120">
        <v>0.1</v>
      </c>
      <c r="F27" s="102">
        <f>SUM(E27*365)</f>
        <v>36.5</v>
      </c>
      <c r="G27" s="102">
        <v>167.24</v>
      </c>
      <c r="H27" s="121">
        <f>SUM(F27*G27/1000)</f>
        <v>6.10426</v>
      </c>
      <c r="I27" s="16">
        <f>F27/12*G27</f>
        <v>508.68833333333333</v>
      </c>
    </row>
    <row r="28" spans="1:9" ht="15.75" customHeight="1">
      <c r="A28" s="36">
        <v>5</v>
      </c>
      <c r="B28" s="127" t="s">
        <v>23</v>
      </c>
      <c r="C28" s="101" t="s">
        <v>24</v>
      </c>
      <c r="D28" s="127" t="s">
        <v>203</v>
      </c>
      <c r="E28" s="120">
        <v>2661.7</v>
      </c>
      <c r="F28" s="102">
        <f>SUM(E28*12)</f>
        <v>31940.399999999998</v>
      </c>
      <c r="G28" s="102">
        <v>5.58</v>
      </c>
      <c r="H28" s="121">
        <f>SUM(F28*G28/1000)</f>
        <v>178.22743199999999</v>
      </c>
      <c r="I28" s="16">
        <f>F28/12*G28</f>
        <v>14852.286</v>
      </c>
    </row>
    <row r="29" spans="1:9" ht="15.75" customHeight="1">
      <c r="A29" s="156" t="s">
        <v>103</v>
      </c>
      <c r="B29" s="156"/>
      <c r="C29" s="156"/>
      <c r="D29" s="156"/>
      <c r="E29" s="156"/>
      <c r="F29" s="156"/>
      <c r="G29" s="156"/>
      <c r="H29" s="156"/>
      <c r="I29" s="156"/>
    </row>
    <row r="30" spans="1:9" ht="15.75" customHeight="1">
      <c r="A30" s="36"/>
      <c r="B30" s="143" t="s">
        <v>29</v>
      </c>
      <c r="C30" s="101"/>
      <c r="D30" s="100"/>
      <c r="E30" s="120"/>
      <c r="F30" s="102"/>
      <c r="G30" s="102"/>
      <c r="H30" s="121"/>
      <c r="I30" s="125"/>
    </row>
    <row r="31" spans="1:9" ht="31.5" customHeight="1">
      <c r="A31" s="36">
        <v>6</v>
      </c>
      <c r="B31" s="100" t="s">
        <v>116</v>
      </c>
      <c r="C31" s="101" t="s">
        <v>109</v>
      </c>
      <c r="D31" s="100" t="s">
        <v>155</v>
      </c>
      <c r="E31" s="102">
        <v>573.6</v>
      </c>
      <c r="F31" s="102">
        <f>SUM(E31*52/1000)</f>
        <v>29.827200000000001</v>
      </c>
      <c r="G31" s="102">
        <v>177.3</v>
      </c>
      <c r="H31" s="121">
        <f t="shared" ref="H31:H37" si="2">SUM(F31*G31/1000)</f>
        <v>5.2883625600000004</v>
      </c>
      <c r="I31" s="16">
        <f>F31/6*G31</f>
        <v>881.39376000000016</v>
      </c>
    </row>
    <row r="32" spans="1:9" ht="31.5" customHeight="1">
      <c r="A32" s="36">
        <v>7</v>
      </c>
      <c r="B32" s="100" t="s">
        <v>225</v>
      </c>
      <c r="C32" s="101" t="s">
        <v>109</v>
      </c>
      <c r="D32" s="100" t="s">
        <v>156</v>
      </c>
      <c r="E32" s="102">
        <v>200</v>
      </c>
      <c r="F32" s="102">
        <f>SUM(E32*78/1000)</f>
        <v>15.6</v>
      </c>
      <c r="G32" s="102">
        <v>294.17</v>
      </c>
      <c r="H32" s="121">
        <f t="shared" si="2"/>
        <v>4.5890520000000006</v>
      </c>
      <c r="I32" s="16">
        <f t="shared" ref="I32:I35" si="3">F32/6*G32</f>
        <v>764.8420000000001</v>
      </c>
    </row>
    <row r="33" spans="1:9" ht="15.75" hidden="1" customHeight="1">
      <c r="A33" s="36">
        <v>16</v>
      </c>
      <c r="B33" s="100" t="s">
        <v>28</v>
      </c>
      <c r="C33" s="101" t="s">
        <v>109</v>
      </c>
      <c r="D33" s="100" t="s">
        <v>57</v>
      </c>
      <c r="E33" s="102">
        <v>573.6</v>
      </c>
      <c r="F33" s="102">
        <f>SUM(E33/1000)</f>
        <v>0.5736</v>
      </c>
      <c r="G33" s="102">
        <v>3435.36</v>
      </c>
      <c r="H33" s="121">
        <f t="shared" si="2"/>
        <v>1.9705224960000001</v>
      </c>
      <c r="I33" s="16">
        <v>0</v>
      </c>
    </row>
    <row r="34" spans="1:9" ht="15.75" customHeight="1">
      <c r="A34" s="36">
        <v>8</v>
      </c>
      <c r="B34" s="100" t="s">
        <v>157</v>
      </c>
      <c r="C34" s="101" t="s">
        <v>42</v>
      </c>
      <c r="D34" s="100" t="s">
        <v>71</v>
      </c>
      <c r="E34" s="102">
        <v>1</v>
      </c>
      <c r="F34" s="102">
        <v>1.55</v>
      </c>
      <c r="G34" s="102">
        <v>1480.94</v>
      </c>
      <c r="H34" s="121">
        <f>G34*F34/1000</f>
        <v>2.2954570000000003</v>
      </c>
      <c r="I34" s="16">
        <f t="shared" si="3"/>
        <v>382.57616666666672</v>
      </c>
    </row>
    <row r="35" spans="1:9" ht="15.75" customHeight="1">
      <c r="A35" s="36">
        <v>9</v>
      </c>
      <c r="B35" s="100" t="s">
        <v>201</v>
      </c>
      <c r="C35" s="101" t="s">
        <v>32</v>
      </c>
      <c r="D35" s="100" t="s">
        <v>71</v>
      </c>
      <c r="E35" s="126">
        <v>0.33333333333333331</v>
      </c>
      <c r="F35" s="102">
        <f>155/3</f>
        <v>51.666666666666664</v>
      </c>
      <c r="G35" s="102">
        <v>64.48</v>
      </c>
      <c r="H35" s="121">
        <f>SUM(G35*155/3/1000)</f>
        <v>3.331466666666667</v>
      </c>
      <c r="I35" s="16">
        <f t="shared" si="3"/>
        <v>555.24444444444441</v>
      </c>
    </row>
    <row r="36" spans="1:9" ht="15.75" hidden="1" customHeight="1">
      <c r="A36" s="36"/>
      <c r="B36" s="100" t="s">
        <v>73</v>
      </c>
      <c r="C36" s="101" t="s">
        <v>34</v>
      </c>
      <c r="D36" s="100" t="s">
        <v>75</v>
      </c>
      <c r="E36" s="120"/>
      <c r="F36" s="102">
        <v>3</v>
      </c>
      <c r="G36" s="102">
        <v>217.61</v>
      </c>
      <c r="H36" s="121">
        <f t="shared" si="2"/>
        <v>0.65283000000000002</v>
      </c>
      <c r="I36" s="16">
        <v>0</v>
      </c>
    </row>
    <row r="37" spans="1:9" ht="15.75" hidden="1" customHeight="1">
      <c r="A37" s="36"/>
      <c r="B37" s="100" t="s">
        <v>74</v>
      </c>
      <c r="C37" s="101" t="s">
        <v>33</v>
      </c>
      <c r="D37" s="100" t="s">
        <v>75</v>
      </c>
      <c r="E37" s="120"/>
      <c r="F37" s="102">
        <v>2</v>
      </c>
      <c r="G37" s="102">
        <v>1292.47</v>
      </c>
      <c r="H37" s="121">
        <f t="shared" si="2"/>
        <v>2.58494</v>
      </c>
      <c r="I37" s="16">
        <v>0</v>
      </c>
    </row>
    <row r="38" spans="1:9" ht="15.75" hidden="1" customHeight="1">
      <c r="A38" s="36"/>
      <c r="B38" s="143" t="s">
        <v>5</v>
      </c>
      <c r="C38" s="101"/>
      <c r="D38" s="100"/>
      <c r="E38" s="120"/>
      <c r="F38" s="102"/>
      <c r="G38" s="102"/>
      <c r="H38" s="121" t="s">
        <v>203</v>
      </c>
      <c r="I38" s="125"/>
    </row>
    <row r="39" spans="1:9" ht="15.75" hidden="1" customHeight="1">
      <c r="A39" s="36">
        <v>6</v>
      </c>
      <c r="B39" s="100" t="s">
        <v>27</v>
      </c>
      <c r="C39" s="101" t="s">
        <v>33</v>
      </c>
      <c r="D39" s="100"/>
      <c r="E39" s="120"/>
      <c r="F39" s="102">
        <v>8</v>
      </c>
      <c r="G39" s="102">
        <v>1737.08</v>
      </c>
      <c r="H39" s="121">
        <f t="shared" ref="H39:H45" si="4">SUM(F39*G39/1000)</f>
        <v>13.89664</v>
      </c>
      <c r="I39" s="16">
        <f>F39/6*G39</f>
        <v>2316.1066666666666</v>
      </c>
    </row>
    <row r="40" spans="1:9" ht="15.75" hidden="1" customHeight="1">
      <c r="A40" s="36">
        <v>7</v>
      </c>
      <c r="B40" s="100" t="s">
        <v>76</v>
      </c>
      <c r="C40" s="101" t="s">
        <v>30</v>
      </c>
      <c r="D40" s="100" t="s">
        <v>129</v>
      </c>
      <c r="E40" s="102">
        <v>200</v>
      </c>
      <c r="F40" s="102">
        <f>SUM(E40*30/1000)</f>
        <v>6</v>
      </c>
      <c r="G40" s="102">
        <v>2391.67</v>
      </c>
      <c r="H40" s="121">
        <f t="shared" si="4"/>
        <v>14.350020000000001</v>
      </c>
      <c r="I40" s="16">
        <f>F40/6*G40</f>
        <v>2391.67</v>
      </c>
    </row>
    <row r="41" spans="1:9" ht="15.75" hidden="1" customHeight="1">
      <c r="A41" s="36"/>
      <c r="B41" s="100" t="s">
        <v>158</v>
      </c>
      <c r="C41" s="101" t="s">
        <v>58</v>
      </c>
      <c r="D41" s="100"/>
      <c r="E41" s="120"/>
      <c r="F41" s="102">
        <v>130</v>
      </c>
      <c r="G41" s="102">
        <v>226.84</v>
      </c>
      <c r="H41" s="121">
        <f t="shared" si="4"/>
        <v>29.4892</v>
      </c>
      <c r="I41" s="16">
        <v>0</v>
      </c>
    </row>
    <row r="42" spans="1:9" ht="15.75" hidden="1" customHeight="1">
      <c r="A42" s="36">
        <v>8</v>
      </c>
      <c r="B42" s="100" t="s">
        <v>77</v>
      </c>
      <c r="C42" s="101" t="s">
        <v>30</v>
      </c>
      <c r="D42" s="100" t="s">
        <v>108</v>
      </c>
      <c r="E42" s="102">
        <v>60</v>
      </c>
      <c r="F42" s="102">
        <f>SUM(E42*155/1000)</f>
        <v>9.3000000000000007</v>
      </c>
      <c r="G42" s="102">
        <v>398.95</v>
      </c>
      <c r="H42" s="121">
        <f t="shared" si="4"/>
        <v>3.7102349999999999</v>
      </c>
      <c r="I42" s="16">
        <f t="shared" ref="I42:I45" si="5">F42/6*G42</f>
        <v>618.37249999999995</v>
      </c>
    </row>
    <row r="43" spans="1:9" ht="47.25" hidden="1" customHeight="1">
      <c r="A43" s="36">
        <v>9</v>
      </c>
      <c r="B43" s="100" t="s">
        <v>101</v>
      </c>
      <c r="C43" s="101" t="s">
        <v>109</v>
      </c>
      <c r="D43" s="100" t="s">
        <v>159</v>
      </c>
      <c r="E43" s="102">
        <v>40.9</v>
      </c>
      <c r="F43" s="102">
        <f>SUM(E43*35/1000)</f>
        <v>1.4315</v>
      </c>
      <c r="G43" s="102">
        <v>6600.74</v>
      </c>
      <c r="H43" s="121">
        <f t="shared" si="4"/>
        <v>9.4489593099999993</v>
      </c>
      <c r="I43" s="16">
        <f t="shared" si="5"/>
        <v>1574.8265516666668</v>
      </c>
    </row>
    <row r="44" spans="1:9" ht="15.75" hidden="1" customHeight="1">
      <c r="A44" s="36">
        <v>10</v>
      </c>
      <c r="B44" s="100" t="s">
        <v>110</v>
      </c>
      <c r="C44" s="101" t="s">
        <v>109</v>
      </c>
      <c r="D44" s="100" t="s">
        <v>78</v>
      </c>
      <c r="E44" s="102">
        <v>60</v>
      </c>
      <c r="F44" s="102">
        <f>SUM(E44*45/1000)</f>
        <v>2.7</v>
      </c>
      <c r="G44" s="102">
        <v>487.61</v>
      </c>
      <c r="H44" s="121">
        <f t="shared" si="4"/>
        <v>1.3165470000000001</v>
      </c>
      <c r="I44" s="16">
        <f t="shared" si="5"/>
        <v>219.42450000000002</v>
      </c>
    </row>
    <row r="45" spans="1:9" ht="15.75" hidden="1" customHeight="1">
      <c r="A45" s="36">
        <v>11</v>
      </c>
      <c r="B45" s="100" t="s">
        <v>79</v>
      </c>
      <c r="C45" s="101" t="s">
        <v>34</v>
      </c>
      <c r="D45" s="100"/>
      <c r="E45" s="120"/>
      <c r="F45" s="102">
        <v>0.9</v>
      </c>
      <c r="G45" s="102">
        <v>907.65</v>
      </c>
      <c r="H45" s="121">
        <f t="shared" si="4"/>
        <v>0.81688499999999997</v>
      </c>
      <c r="I45" s="16">
        <f t="shared" si="5"/>
        <v>136.14749999999998</v>
      </c>
    </row>
    <row r="46" spans="1:9" ht="15.75" customHeight="1">
      <c r="A46" s="157" t="s">
        <v>195</v>
      </c>
      <c r="B46" s="158"/>
      <c r="C46" s="158"/>
      <c r="D46" s="158"/>
      <c r="E46" s="158"/>
      <c r="F46" s="158"/>
      <c r="G46" s="158"/>
      <c r="H46" s="158"/>
      <c r="I46" s="159"/>
    </row>
    <row r="47" spans="1:9" ht="15.75" hidden="1" customHeight="1">
      <c r="A47" s="36"/>
      <c r="B47" s="100" t="s">
        <v>204</v>
      </c>
      <c r="C47" s="101" t="s">
        <v>109</v>
      </c>
      <c r="D47" s="100" t="s">
        <v>44</v>
      </c>
      <c r="E47" s="120">
        <v>1300.5</v>
      </c>
      <c r="F47" s="102">
        <f>SUM(E47/1000)*2</f>
        <v>2.601</v>
      </c>
      <c r="G47" s="16">
        <v>1173.18</v>
      </c>
      <c r="H47" s="121">
        <f t="shared" ref="H47:H57" si="6">SUM(F47*G47/1000)</f>
        <v>3.0514411800000003</v>
      </c>
      <c r="I47" s="16">
        <v>0</v>
      </c>
    </row>
    <row r="48" spans="1:9" ht="15.75" hidden="1" customHeight="1">
      <c r="A48" s="36"/>
      <c r="B48" s="100" t="s">
        <v>37</v>
      </c>
      <c r="C48" s="101" t="s">
        <v>109</v>
      </c>
      <c r="D48" s="100" t="s">
        <v>44</v>
      </c>
      <c r="E48" s="120">
        <v>52</v>
      </c>
      <c r="F48" s="102">
        <f>SUM(E48*2/1000)</f>
        <v>0.104</v>
      </c>
      <c r="G48" s="16">
        <v>659.09</v>
      </c>
      <c r="H48" s="121">
        <f t="shared" si="6"/>
        <v>6.854536E-2</v>
      </c>
      <c r="I48" s="16">
        <v>0</v>
      </c>
    </row>
    <row r="49" spans="1:9" ht="15.75" hidden="1" customHeight="1">
      <c r="A49" s="36"/>
      <c r="B49" s="100" t="s">
        <v>38</v>
      </c>
      <c r="C49" s="101" t="s">
        <v>109</v>
      </c>
      <c r="D49" s="100" t="s">
        <v>44</v>
      </c>
      <c r="E49" s="120">
        <v>1483.1</v>
      </c>
      <c r="F49" s="102">
        <f>SUM(E49*2/1000)</f>
        <v>2.9661999999999997</v>
      </c>
      <c r="G49" s="16">
        <v>1564.24</v>
      </c>
      <c r="H49" s="121">
        <f t="shared" si="6"/>
        <v>4.6398486879999998</v>
      </c>
      <c r="I49" s="16">
        <v>0</v>
      </c>
    </row>
    <row r="50" spans="1:9" ht="15.75" hidden="1" customHeight="1">
      <c r="A50" s="36"/>
      <c r="B50" s="100" t="s">
        <v>39</v>
      </c>
      <c r="C50" s="101" t="s">
        <v>109</v>
      </c>
      <c r="D50" s="100" t="s">
        <v>44</v>
      </c>
      <c r="E50" s="120">
        <v>2320</v>
      </c>
      <c r="F50" s="102">
        <f>SUM(E50*2/1000)</f>
        <v>4.6399999999999997</v>
      </c>
      <c r="G50" s="16">
        <v>1078.3599999999999</v>
      </c>
      <c r="H50" s="121">
        <f t="shared" si="6"/>
        <v>5.0035903999999993</v>
      </c>
      <c r="I50" s="16">
        <v>0</v>
      </c>
    </row>
    <row r="51" spans="1:9" ht="15.75" hidden="1" customHeight="1">
      <c r="A51" s="36"/>
      <c r="B51" s="100" t="s">
        <v>35</v>
      </c>
      <c r="C51" s="101" t="s">
        <v>36</v>
      </c>
      <c r="D51" s="100" t="s">
        <v>44</v>
      </c>
      <c r="E51" s="120">
        <v>91.84</v>
      </c>
      <c r="F51" s="102">
        <f>SUM(E51*2/100)</f>
        <v>1.8368</v>
      </c>
      <c r="G51" s="16">
        <v>82.82</v>
      </c>
      <c r="H51" s="121">
        <f t="shared" si="6"/>
        <v>0.15212377599999999</v>
      </c>
      <c r="I51" s="16">
        <v>0</v>
      </c>
    </row>
    <row r="52" spans="1:9" ht="15.75" hidden="1" customHeight="1">
      <c r="A52" s="36">
        <v>12</v>
      </c>
      <c r="B52" s="100" t="s">
        <v>61</v>
      </c>
      <c r="C52" s="101" t="s">
        <v>109</v>
      </c>
      <c r="D52" s="100" t="s">
        <v>226</v>
      </c>
      <c r="E52" s="120">
        <v>1040.4000000000001</v>
      </c>
      <c r="F52" s="102">
        <f>SUM(E52*5/1000)</f>
        <v>5.202</v>
      </c>
      <c r="G52" s="16">
        <v>1564.24</v>
      </c>
      <c r="H52" s="121">
        <f>SUM(F52*G52/1000)</f>
        <v>8.1371764800000008</v>
      </c>
      <c r="I52" s="16">
        <f>F52/5*G52</f>
        <v>1627.4352960000001</v>
      </c>
    </row>
    <row r="53" spans="1:9" ht="31.5" customHeight="1">
      <c r="A53" s="36">
        <v>10</v>
      </c>
      <c r="B53" s="100" t="s">
        <v>111</v>
      </c>
      <c r="C53" s="101" t="s">
        <v>109</v>
      </c>
      <c r="D53" s="100" t="s">
        <v>44</v>
      </c>
      <c r="E53" s="120">
        <v>1040.4000000000001</v>
      </c>
      <c r="F53" s="102">
        <f>SUM(E53*2/1000)</f>
        <v>2.0808</v>
      </c>
      <c r="G53" s="16">
        <v>1380.31</v>
      </c>
      <c r="H53" s="121">
        <f t="shared" si="6"/>
        <v>2.8721490479999998</v>
      </c>
      <c r="I53" s="16">
        <f>F53/2*G53</f>
        <v>1436.0745239999999</v>
      </c>
    </row>
    <row r="54" spans="1:9" ht="31.5" customHeight="1">
      <c r="A54" s="36">
        <v>11</v>
      </c>
      <c r="B54" s="100" t="s">
        <v>112</v>
      </c>
      <c r="C54" s="101" t="s">
        <v>40</v>
      </c>
      <c r="D54" s="100" t="s">
        <v>44</v>
      </c>
      <c r="E54" s="120">
        <v>20</v>
      </c>
      <c r="F54" s="102">
        <f>SUM(E54*2/100)</f>
        <v>0.4</v>
      </c>
      <c r="G54" s="16">
        <v>3519.56</v>
      </c>
      <c r="H54" s="121">
        <f t="shared" si="6"/>
        <v>1.407824</v>
      </c>
      <c r="I54" s="16">
        <f t="shared" ref="I54:I55" si="7">F54/2*G54</f>
        <v>703.91200000000003</v>
      </c>
    </row>
    <row r="55" spans="1:9" ht="15.75" customHeight="1">
      <c r="A55" s="36">
        <v>12</v>
      </c>
      <c r="B55" s="100" t="s">
        <v>41</v>
      </c>
      <c r="C55" s="101" t="s">
        <v>42</v>
      </c>
      <c r="D55" s="100" t="s">
        <v>44</v>
      </c>
      <c r="E55" s="120">
        <v>1</v>
      </c>
      <c r="F55" s="102">
        <v>0.02</v>
      </c>
      <c r="G55" s="16">
        <v>6428.82</v>
      </c>
      <c r="H55" s="121">
        <f t="shared" si="6"/>
        <v>0.12857640000000001</v>
      </c>
      <c r="I55" s="16">
        <f t="shared" si="7"/>
        <v>64.288200000000003</v>
      </c>
    </row>
    <row r="56" spans="1:9" ht="15.75" hidden="1" customHeight="1">
      <c r="A56" s="36">
        <v>13</v>
      </c>
      <c r="B56" s="100" t="s">
        <v>127</v>
      </c>
      <c r="C56" s="101" t="s">
        <v>119</v>
      </c>
      <c r="D56" s="100" t="s">
        <v>80</v>
      </c>
      <c r="E56" s="120">
        <v>56</v>
      </c>
      <c r="F56" s="102">
        <f>SUM(E56*3)</f>
        <v>168</v>
      </c>
      <c r="G56" s="16">
        <v>160.51</v>
      </c>
      <c r="H56" s="121">
        <f t="shared" si="6"/>
        <v>26.965679999999999</v>
      </c>
      <c r="I56" s="16">
        <f>E56*G56</f>
        <v>8988.56</v>
      </c>
    </row>
    <row r="57" spans="1:9" ht="15.75" hidden="1" customHeight="1">
      <c r="A57" s="36">
        <v>14</v>
      </c>
      <c r="B57" s="100" t="s">
        <v>43</v>
      </c>
      <c r="C57" s="101" t="s">
        <v>119</v>
      </c>
      <c r="D57" s="100" t="s">
        <v>80</v>
      </c>
      <c r="E57" s="120">
        <v>112</v>
      </c>
      <c r="F57" s="102">
        <f>SUM(E57)*3</f>
        <v>336</v>
      </c>
      <c r="G57" s="16">
        <v>74.709999999999994</v>
      </c>
      <c r="H57" s="121">
        <f t="shared" si="6"/>
        <v>25.102559999999997</v>
      </c>
      <c r="I57" s="16">
        <f>E57*G57</f>
        <v>8367.5199999999986</v>
      </c>
    </row>
    <row r="58" spans="1:9" ht="15.75" customHeight="1">
      <c r="A58" s="157" t="s">
        <v>196</v>
      </c>
      <c r="B58" s="158"/>
      <c r="C58" s="158"/>
      <c r="D58" s="158"/>
      <c r="E58" s="158"/>
      <c r="F58" s="158"/>
      <c r="G58" s="158"/>
      <c r="H58" s="158"/>
      <c r="I58" s="159"/>
    </row>
    <row r="59" spans="1:9" ht="15.75" hidden="1" customHeight="1">
      <c r="A59" s="36"/>
      <c r="B59" s="143" t="s">
        <v>45</v>
      </c>
      <c r="C59" s="101"/>
      <c r="D59" s="100"/>
      <c r="E59" s="120"/>
      <c r="F59" s="102"/>
      <c r="G59" s="102"/>
      <c r="H59" s="121"/>
      <c r="I59" s="125"/>
    </row>
    <row r="60" spans="1:9" ht="31.5" hidden="1" customHeight="1">
      <c r="A60" s="36">
        <v>15</v>
      </c>
      <c r="B60" s="100" t="s">
        <v>130</v>
      </c>
      <c r="C60" s="101" t="s">
        <v>107</v>
      </c>
      <c r="D60" s="100" t="s">
        <v>205</v>
      </c>
      <c r="E60" s="120">
        <v>142.05000000000001</v>
      </c>
      <c r="F60" s="102">
        <f>SUM(E60*6/100)</f>
        <v>8.5230000000000015</v>
      </c>
      <c r="G60" s="16">
        <v>2108.4299999999998</v>
      </c>
      <c r="H60" s="121">
        <f>SUM(F60*G60/1000)</f>
        <v>17.970148890000001</v>
      </c>
      <c r="I60" s="16">
        <f>F60/6*G60</f>
        <v>2995.0248150000002</v>
      </c>
    </row>
    <row r="61" spans="1:9" ht="15.75" customHeight="1">
      <c r="A61" s="36"/>
      <c r="B61" s="143" t="s">
        <v>46</v>
      </c>
      <c r="C61" s="101"/>
      <c r="D61" s="100"/>
      <c r="E61" s="120"/>
      <c r="F61" s="121"/>
      <c r="G61" s="16"/>
      <c r="H61" s="128"/>
      <c r="I61" s="125"/>
    </row>
    <row r="62" spans="1:9" ht="15.75" hidden="1" customHeight="1">
      <c r="A62" s="36"/>
      <c r="B62" s="100" t="s">
        <v>206</v>
      </c>
      <c r="C62" s="101" t="s">
        <v>107</v>
      </c>
      <c r="D62" s="100" t="s">
        <v>57</v>
      </c>
      <c r="E62" s="120">
        <v>1040.4000000000001</v>
      </c>
      <c r="F62" s="121">
        <f>E62/100</f>
        <v>10.404000000000002</v>
      </c>
      <c r="G62" s="16">
        <v>902.66</v>
      </c>
      <c r="H62" s="128">
        <f>G62*F62/1000</f>
        <v>9.3912746400000007</v>
      </c>
      <c r="I62" s="16">
        <v>0</v>
      </c>
    </row>
    <row r="63" spans="1:9" ht="15.75" customHeight="1">
      <c r="A63" s="36">
        <v>13</v>
      </c>
      <c r="B63" s="100" t="s">
        <v>160</v>
      </c>
      <c r="C63" s="101" t="s">
        <v>26</v>
      </c>
      <c r="D63" s="100" t="s">
        <v>161</v>
      </c>
      <c r="E63" s="120">
        <v>240</v>
      </c>
      <c r="F63" s="102">
        <v>2880</v>
      </c>
      <c r="G63" s="115">
        <v>2.83</v>
      </c>
      <c r="H63" s="121">
        <f>F63*G63/1000</f>
        <v>8.1504000000000012</v>
      </c>
      <c r="I63" s="16">
        <f>F63/12*G63</f>
        <v>679.2</v>
      </c>
    </row>
    <row r="64" spans="1:9" ht="15.75" customHeight="1">
      <c r="A64" s="36"/>
      <c r="B64" s="144" t="s">
        <v>48</v>
      </c>
      <c r="C64" s="129"/>
      <c r="D64" s="130"/>
      <c r="E64" s="131"/>
      <c r="F64" s="132"/>
      <c r="G64" s="132"/>
      <c r="H64" s="133" t="s">
        <v>203</v>
      </c>
      <c r="I64" s="125"/>
    </row>
    <row r="65" spans="1:9" ht="15.75" customHeight="1">
      <c r="A65" s="36">
        <v>14</v>
      </c>
      <c r="B65" s="18" t="s">
        <v>49</v>
      </c>
      <c r="C65" s="20" t="s">
        <v>42</v>
      </c>
      <c r="D65" s="100" t="s">
        <v>75</v>
      </c>
      <c r="E65" s="23">
        <v>15</v>
      </c>
      <c r="F65" s="102">
        <f>15/100</f>
        <v>0.15</v>
      </c>
      <c r="G65" s="16">
        <v>252.96</v>
      </c>
      <c r="H65" s="134">
        <f t="shared" ref="H65:H81" si="8">SUM(F65*G65/1000)</f>
        <v>3.7944000000000006E-2</v>
      </c>
      <c r="I65" s="16">
        <f>G65*6</f>
        <v>1517.76</v>
      </c>
    </row>
    <row r="66" spans="1:9" ht="15.75" hidden="1" customHeight="1">
      <c r="A66" s="36"/>
      <c r="B66" s="18" t="s">
        <v>50</v>
      </c>
      <c r="C66" s="20" t="s">
        <v>42</v>
      </c>
      <c r="D66" s="100" t="s">
        <v>75</v>
      </c>
      <c r="E66" s="23">
        <v>10</v>
      </c>
      <c r="F66" s="102">
        <f>10/100</f>
        <v>0.1</v>
      </c>
      <c r="G66" s="16">
        <v>86.74</v>
      </c>
      <c r="H66" s="134">
        <f t="shared" si="8"/>
        <v>8.6739999999999994E-3</v>
      </c>
      <c r="I66" s="16">
        <v>0</v>
      </c>
    </row>
    <row r="67" spans="1:9" ht="15.75" hidden="1" customHeight="1">
      <c r="A67" s="36"/>
      <c r="B67" s="18" t="s">
        <v>51</v>
      </c>
      <c r="C67" s="20" t="s">
        <v>120</v>
      </c>
      <c r="D67" s="18" t="s">
        <v>57</v>
      </c>
      <c r="E67" s="120">
        <v>17532</v>
      </c>
      <c r="F67" s="16">
        <f>SUM(E67/100)</f>
        <v>175.32</v>
      </c>
      <c r="G67" s="16">
        <v>241.31</v>
      </c>
      <c r="H67" s="134">
        <f t="shared" si="8"/>
        <v>42.306469200000002</v>
      </c>
      <c r="I67" s="16">
        <f>F67*G67</f>
        <v>42306.4692</v>
      </c>
    </row>
    <row r="68" spans="1:9" ht="15.75" hidden="1" customHeight="1">
      <c r="A68" s="36"/>
      <c r="B68" s="18" t="s">
        <v>52</v>
      </c>
      <c r="C68" s="20" t="s">
        <v>121</v>
      </c>
      <c r="D68" s="18"/>
      <c r="E68" s="120">
        <v>17532</v>
      </c>
      <c r="F68" s="16">
        <f>SUM(E68/1000)</f>
        <v>17.532</v>
      </c>
      <c r="G68" s="16">
        <v>187.91</v>
      </c>
      <c r="H68" s="134">
        <f t="shared" si="8"/>
        <v>3.2944381199999997</v>
      </c>
      <c r="I68" s="16">
        <f>F68*G68</f>
        <v>3294.4381199999998</v>
      </c>
    </row>
    <row r="69" spans="1:9" ht="15.75" hidden="1" customHeight="1">
      <c r="A69" s="36"/>
      <c r="B69" s="18" t="s">
        <v>53</v>
      </c>
      <c r="C69" s="20" t="s">
        <v>87</v>
      </c>
      <c r="D69" s="18" t="s">
        <v>57</v>
      </c>
      <c r="E69" s="120">
        <v>1365</v>
      </c>
      <c r="F69" s="16">
        <f>SUM(E69/100)</f>
        <v>13.65</v>
      </c>
      <c r="G69" s="16">
        <v>2359.7199999999998</v>
      </c>
      <c r="H69" s="134">
        <f t="shared" si="8"/>
        <v>32.210177999999999</v>
      </c>
      <c r="I69" s="16">
        <f t="shared" ref="I69:I72" si="9">F69*G69</f>
        <v>32210.178</v>
      </c>
    </row>
    <row r="70" spans="1:9" ht="15.75" hidden="1" customHeight="1">
      <c r="A70" s="36"/>
      <c r="B70" s="135" t="s">
        <v>81</v>
      </c>
      <c r="C70" s="20" t="s">
        <v>34</v>
      </c>
      <c r="D70" s="18"/>
      <c r="E70" s="120">
        <v>15.6</v>
      </c>
      <c r="F70" s="16">
        <f>SUM(E70)</f>
        <v>15.6</v>
      </c>
      <c r="G70" s="16">
        <v>45.4</v>
      </c>
      <c r="H70" s="134">
        <f t="shared" si="8"/>
        <v>0.70823999999999998</v>
      </c>
      <c r="I70" s="16">
        <f t="shared" si="9"/>
        <v>708.24</v>
      </c>
    </row>
    <row r="71" spans="1:9" ht="15.75" hidden="1" customHeight="1">
      <c r="A71" s="36"/>
      <c r="B71" s="135" t="s">
        <v>227</v>
      </c>
      <c r="C71" s="20" t="s">
        <v>34</v>
      </c>
      <c r="D71" s="18"/>
      <c r="E71" s="120">
        <v>15.6</v>
      </c>
      <c r="F71" s="16">
        <f>SUM(E71)</f>
        <v>15.6</v>
      </c>
      <c r="G71" s="16">
        <v>42.35</v>
      </c>
      <c r="H71" s="134">
        <f t="shared" si="8"/>
        <v>0.66065999999999991</v>
      </c>
      <c r="I71" s="16">
        <f t="shared" si="9"/>
        <v>660.66</v>
      </c>
    </row>
    <row r="72" spans="1:9" ht="15.75" hidden="1" customHeight="1">
      <c r="A72" s="36"/>
      <c r="B72" s="18" t="s">
        <v>62</v>
      </c>
      <c r="C72" s="20" t="s">
        <v>63</v>
      </c>
      <c r="D72" s="18" t="s">
        <v>57</v>
      </c>
      <c r="E72" s="23">
        <v>4</v>
      </c>
      <c r="F72" s="102">
        <f>SUM(E72)</f>
        <v>4</v>
      </c>
      <c r="G72" s="16">
        <v>56.74</v>
      </c>
      <c r="H72" s="134">
        <f t="shared" si="8"/>
        <v>0.22696</v>
      </c>
      <c r="I72" s="16">
        <f t="shared" si="9"/>
        <v>226.96</v>
      </c>
    </row>
    <row r="73" spans="1:9" ht="15.75" customHeight="1">
      <c r="A73" s="36">
        <v>15</v>
      </c>
      <c r="B73" s="18" t="s">
        <v>162</v>
      </c>
      <c r="C73" s="20" t="s">
        <v>63</v>
      </c>
      <c r="D73" s="18" t="s">
        <v>31</v>
      </c>
      <c r="E73" s="23">
        <v>1</v>
      </c>
      <c r="F73" s="115">
        <v>12</v>
      </c>
      <c r="G73" s="16">
        <v>756.5</v>
      </c>
      <c r="H73" s="134">
        <f t="shared" si="8"/>
        <v>9.0779999999999994</v>
      </c>
      <c r="I73" s="16">
        <f>G73</f>
        <v>756.5</v>
      </c>
    </row>
    <row r="74" spans="1:9" ht="15.75" customHeight="1">
      <c r="A74" s="36"/>
      <c r="B74" s="108" t="s">
        <v>82</v>
      </c>
      <c r="C74" s="20"/>
      <c r="D74" s="18"/>
      <c r="E74" s="23"/>
      <c r="F74" s="16"/>
      <c r="G74" s="16"/>
      <c r="H74" s="134" t="s">
        <v>203</v>
      </c>
      <c r="I74" s="125"/>
    </row>
    <row r="75" spans="1:9" ht="15.75" hidden="1" customHeight="1">
      <c r="A75" s="36"/>
      <c r="B75" s="18" t="s">
        <v>163</v>
      </c>
      <c r="C75" s="20" t="s">
        <v>32</v>
      </c>
      <c r="D75" s="100" t="s">
        <v>75</v>
      </c>
      <c r="E75" s="23">
        <v>2</v>
      </c>
      <c r="F75" s="16">
        <v>2</v>
      </c>
      <c r="G75" s="16">
        <v>892.5</v>
      </c>
      <c r="H75" s="134">
        <f>G75*F75/1000</f>
        <v>1.7849999999999999</v>
      </c>
      <c r="I75" s="16">
        <v>0</v>
      </c>
    </row>
    <row r="76" spans="1:9" ht="15.75" hidden="1" customHeight="1">
      <c r="A76" s="36"/>
      <c r="B76" s="18" t="s">
        <v>146</v>
      </c>
      <c r="C76" s="20" t="s">
        <v>164</v>
      </c>
      <c r="D76" s="18"/>
      <c r="E76" s="23">
        <v>1</v>
      </c>
      <c r="F76" s="16">
        <v>1</v>
      </c>
      <c r="G76" s="16">
        <v>750</v>
      </c>
      <c r="H76" s="134">
        <f>G76*F76/1000</f>
        <v>0.75</v>
      </c>
      <c r="I76" s="16">
        <v>0</v>
      </c>
    </row>
    <row r="77" spans="1:9" ht="15.75" hidden="1" customHeight="1">
      <c r="A77" s="36"/>
      <c r="B77" s="18" t="s">
        <v>83</v>
      </c>
      <c r="C77" s="20" t="s">
        <v>85</v>
      </c>
      <c r="D77" s="18"/>
      <c r="E77" s="23">
        <v>2</v>
      </c>
      <c r="F77" s="16">
        <v>0.2</v>
      </c>
      <c r="G77" s="16">
        <v>570.54</v>
      </c>
      <c r="H77" s="134">
        <f t="shared" si="8"/>
        <v>0.114108</v>
      </c>
      <c r="I77" s="16">
        <v>0</v>
      </c>
    </row>
    <row r="78" spans="1:9" ht="15.75" hidden="1" customHeight="1">
      <c r="A78" s="36"/>
      <c r="B78" s="18" t="s">
        <v>84</v>
      </c>
      <c r="C78" s="20" t="s">
        <v>32</v>
      </c>
      <c r="D78" s="18"/>
      <c r="E78" s="23">
        <v>1</v>
      </c>
      <c r="F78" s="115">
        <v>1</v>
      </c>
      <c r="G78" s="16">
        <v>970.21</v>
      </c>
      <c r="H78" s="134">
        <f t="shared" si="8"/>
        <v>0.97021000000000002</v>
      </c>
      <c r="I78" s="16">
        <v>0</v>
      </c>
    </row>
    <row r="79" spans="1:9" ht="15.75" customHeight="1">
      <c r="A79" s="36">
        <v>16</v>
      </c>
      <c r="B79" s="18" t="s">
        <v>165</v>
      </c>
      <c r="C79" s="20" t="s">
        <v>119</v>
      </c>
      <c r="D79" s="18"/>
      <c r="E79" s="23">
        <v>1</v>
      </c>
      <c r="F79" s="102">
        <f>SUM(E79)</f>
        <v>1</v>
      </c>
      <c r="G79" s="16">
        <v>407.79</v>
      </c>
      <c r="H79" s="134">
        <f t="shared" si="8"/>
        <v>0.40779000000000004</v>
      </c>
      <c r="I79" s="16">
        <f>G79</f>
        <v>407.79</v>
      </c>
    </row>
    <row r="80" spans="1:9" ht="15.75" hidden="1" customHeight="1">
      <c r="A80" s="36"/>
      <c r="B80" s="139" t="s">
        <v>86</v>
      </c>
      <c r="C80" s="20"/>
      <c r="D80" s="18"/>
      <c r="E80" s="23"/>
      <c r="F80" s="16"/>
      <c r="G80" s="16" t="s">
        <v>203</v>
      </c>
      <c r="H80" s="134" t="s">
        <v>203</v>
      </c>
      <c r="I80" s="125"/>
    </row>
    <row r="81" spans="1:9" ht="15.75" hidden="1" customHeight="1">
      <c r="A81" s="36"/>
      <c r="B81" s="67" t="s">
        <v>128</v>
      </c>
      <c r="C81" s="20" t="s">
        <v>87</v>
      </c>
      <c r="D81" s="18"/>
      <c r="E81" s="23"/>
      <c r="F81" s="16">
        <v>0.6</v>
      </c>
      <c r="G81" s="16">
        <v>3138.65</v>
      </c>
      <c r="H81" s="134">
        <f t="shared" si="8"/>
        <v>1.8831900000000001</v>
      </c>
      <c r="I81" s="16">
        <v>0</v>
      </c>
    </row>
    <row r="82" spans="1:9" ht="15.75" hidden="1" customHeight="1">
      <c r="A82" s="36"/>
      <c r="B82" s="108" t="s">
        <v>113</v>
      </c>
      <c r="C82" s="20"/>
      <c r="D82" s="18"/>
      <c r="E82" s="116"/>
      <c r="F82" s="16"/>
      <c r="G82" s="16"/>
      <c r="H82" s="134"/>
      <c r="I82" s="16"/>
    </row>
    <row r="83" spans="1:9" ht="15.75" hidden="1" customHeight="1">
      <c r="A83" s="36"/>
      <c r="B83" s="100" t="s">
        <v>124</v>
      </c>
      <c r="C83" s="20"/>
      <c r="D83" s="18"/>
      <c r="E83" s="116"/>
      <c r="F83" s="16">
        <v>1</v>
      </c>
      <c r="G83" s="16">
        <v>21095</v>
      </c>
      <c r="H83" s="134">
        <f>G83*F83/1000</f>
        <v>21.094999999999999</v>
      </c>
      <c r="I83" s="16">
        <v>0</v>
      </c>
    </row>
    <row r="84" spans="1:9" ht="15.75" customHeight="1">
      <c r="A84" s="36"/>
      <c r="B84" s="145" t="s">
        <v>132</v>
      </c>
      <c r="C84" s="139"/>
      <c r="D84" s="38"/>
      <c r="E84" s="39"/>
      <c r="F84" s="138"/>
      <c r="G84" s="138"/>
      <c r="H84" s="136"/>
      <c r="I84" s="124"/>
    </row>
    <row r="85" spans="1:9" ht="31.5" hidden="1" customHeight="1">
      <c r="A85" s="36"/>
      <c r="B85" s="140" t="s">
        <v>166</v>
      </c>
      <c r="C85" s="20" t="s">
        <v>167</v>
      </c>
      <c r="D85" s="100" t="s">
        <v>75</v>
      </c>
      <c r="E85" s="23">
        <v>10</v>
      </c>
      <c r="F85" s="16">
        <v>10</v>
      </c>
      <c r="G85" s="16">
        <v>271.88</v>
      </c>
      <c r="H85" s="134">
        <f t="shared" ref="H85:H98" si="10">F85*G85/1000</f>
        <v>2.7188000000000003</v>
      </c>
      <c r="I85" s="16">
        <v>0</v>
      </c>
    </row>
    <row r="86" spans="1:9" ht="15.75" hidden="1" customHeight="1">
      <c r="A86" s="36"/>
      <c r="B86" s="140" t="s">
        <v>133</v>
      </c>
      <c r="C86" s="20" t="s">
        <v>94</v>
      </c>
      <c r="D86" s="100" t="s">
        <v>75</v>
      </c>
      <c r="E86" s="23">
        <v>100</v>
      </c>
      <c r="F86" s="16">
        <v>100</v>
      </c>
      <c r="G86" s="16">
        <v>111.84</v>
      </c>
      <c r="H86" s="134">
        <f t="shared" si="10"/>
        <v>11.183999999999999</v>
      </c>
      <c r="I86" s="16">
        <v>0</v>
      </c>
    </row>
    <row r="87" spans="1:9" ht="15.75" hidden="1" customHeight="1">
      <c r="A87" s="36"/>
      <c r="B87" s="140" t="s">
        <v>168</v>
      </c>
      <c r="C87" s="20" t="s">
        <v>169</v>
      </c>
      <c r="D87" s="100" t="s">
        <v>75</v>
      </c>
      <c r="E87" s="23">
        <v>30</v>
      </c>
      <c r="F87" s="16">
        <v>10</v>
      </c>
      <c r="G87" s="16">
        <v>972.09</v>
      </c>
      <c r="H87" s="134">
        <f t="shared" si="10"/>
        <v>9.7209000000000003</v>
      </c>
      <c r="I87" s="16">
        <v>0</v>
      </c>
    </row>
    <row r="88" spans="1:9" ht="15.75" hidden="1" customHeight="1">
      <c r="A88" s="36"/>
      <c r="B88" s="140" t="s">
        <v>170</v>
      </c>
      <c r="C88" s="20" t="s">
        <v>56</v>
      </c>
      <c r="D88" s="100" t="s">
        <v>75</v>
      </c>
      <c r="E88" s="23">
        <v>100</v>
      </c>
      <c r="F88" s="16">
        <v>1</v>
      </c>
      <c r="G88" s="16">
        <v>1829.52</v>
      </c>
      <c r="H88" s="134">
        <f t="shared" si="10"/>
        <v>1.82952</v>
      </c>
      <c r="I88" s="16">
        <v>0</v>
      </c>
    </row>
    <row r="89" spans="1:9" ht="31.5" customHeight="1">
      <c r="A89" s="36">
        <v>17</v>
      </c>
      <c r="B89" s="140" t="s">
        <v>171</v>
      </c>
      <c r="C89" s="20" t="s">
        <v>172</v>
      </c>
      <c r="D89" s="100" t="s">
        <v>75</v>
      </c>
      <c r="E89" s="23">
        <v>40</v>
      </c>
      <c r="F89" s="16">
        <v>4</v>
      </c>
      <c r="G89" s="16">
        <v>272.39</v>
      </c>
      <c r="H89" s="134">
        <f t="shared" si="10"/>
        <v>1.0895599999999999</v>
      </c>
      <c r="I89" s="16">
        <f>G89*0.8</f>
        <v>217.91200000000001</v>
      </c>
    </row>
    <row r="90" spans="1:9" ht="31.5" hidden="1" customHeight="1">
      <c r="A90" s="36"/>
      <c r="B90" s="140" t="s">
        <v>173</v>
      </c>
      <c r="C90" s="20" t="s">
        <v>94</v>
      </c>
      <c r="D90" s="100" t="s">
        <v>75</v>
      </c>
      <c r="E90" s="23">
        <v>15</v>
      </c>
      <c r="F90" s="16">
        <v>15</v>
      </c>
      <c r="G90" s="16">
        <v>1430.02</v>
      </c>
      <c r="H90" s="134">
        <f t="shared" si="10"/>
        <v>21.450299999999999</v>
      </c>
      <c r="I90" s="16">
        <v>0</v>
      </c>
    </row>
    <row r="91" spans="1:9" ht="31.5" hidden="1" customHeight="1">
      <c r="A91" s="36"/>
      <c r="B91" s="140" t="s">
        <v>174</v>
      </c>
      <c r="C91" s="20" t="s">
        <v>94</v>
      </c>
      <c r="D91" s="100" t="s">
        <v>75</v>
      </c>
      <c r="E91" s="23">
        <v>10</v>
      </c>
      <c r="F91" s="16">
        <v>10</v>
      </c>
      <c r="G91" s="16">
        <v>1743.04</v>
      </c>
      <c r="H91" s="134">
        <f t="shared" si="10"/>
        <v>17.430400000000002</v>
      </c>
      <c r="I91" s="16">
        <v>0</v>
      </c>
    </row>
    <row r="92" spans="1:9" ht="31.5" hidden="1" customHeight="1">
      <c r="A92" s="36"/>
      <c r="B92" s="140" t="s">
        <v>175</v>
      </c>
      <c r="C92" s="20" t="s">
        <v>94</v>
      </c>
      <c r="D92" s="100" t="s">
        <v>75</v>
      </c>
      <c r="E92" s="23">
        <v>20</v>
      </c>
      <c r="F92" s="16">
        <v>20</v>
      </c>
      <c r="G92" s="16">
        <v>607.27</v>
      </c>
      <c r="H92" s="134">
        <f t="shared" si="10"/>
        <v>12.1454</v>
      </c>
      <c r="I92" s="16">
        <v>0</v>
      </c>
    </row>
    <row r="93" spans="1:9" ht="31.5" hidden="1" customHeight="1">
      <c r="A93" s="36"/>
      <c r="B93" s="140" t="s">
        <v>176</v>
      </c>
      <c r="C93" s="20" t="s">
        <v>94</v>
      </c>
      <c r="D93" s="100" t="s">
        <v>75</v>
      </c>
      <c r="E93" s="23">
        <v>30</v>
      </c>
      <c r="F93" s="16">
        <v>30</v>
      </c>
      <c r="G93" s="16">
        <v>711.93</v>
      </c>
      <c r="H93" s="134">
        <f t="shared" si="10"/>
        <v>21.357899999999997</v>
      </c>
      <c r="I93" s="16">
        <v>0</v>
      </c>
    </row>
    <row r="94" spans="1:9" ht="15.75" hidden="1" customHeight="1">
      <c r="A94" s="36"/>
      <c r="B94" s="140" t="s">
        <v>134</v>
      </c>
      <c r="C94" s="20" t="s">
        <v>32</v>
      </c>
      <c r="D94" s="100" t="s">
        <v>75</v>
      </c>
      <c r="E94" s="23">
        <v>10</v>
      </c>
      <c r="F94" s="16">
        <v>10</v>
      </c>
      <c r="G94" s="16">
        <v>455.31</v>
      </c>
      <c r="H94" s="134">
        <f t="shared" si="10"/>
        <v>4.5531000000000006</v>
      </c>
      <c r="I94" s="16">
        <v>0</v>
      </c>
    </row>
    <row r="95" spans="1:9" ht="31.5" hidden="1" customHeight="1">
      <c r="A95" s="36"/>
      <c r="B95" s="140" t="s">
        <v>177</v>
      </c>
      <c r="C95" s="20" t="s">
        <v>94</v>
      </c>
      <c r="D95" s="100" t="s">
        <v>75</v>
      </c>
      <c r="E95" s="23">
        <v>30</v>
      </c>
      <c r="F95" s="16">
        <v>30</v>
      </c>
      <c r="G95" s="16">
        <v>1155.7</v>
      </c>
      <c r="H95" s="134">
        <f t="shared" si="10"/>
        <v>34.670999999999999</v>
      </c>
      <c r="I95" s="16">
        <v>0</v>
      </c>
    </row>
    <row r="96" spans="1:9" ht="31.5" hidden="1" customHeight="1">
      <c r="A96" s="36"/>
      <c r="B96" s="140" t="s">
        <v>178</v>
      </c>
      <c r="C96" s="20" t="s">
        <v>30</v>
      </c>
      <c r="D96" s="18" t="s">
        <v>44</v>
      </c>
      <c r="E96" s="23">
        <v>1040.4000000000001</v>
      </c>
      <c r="F96" s="16">
        <f>E96*2/1000</f>
        <v>2.0808</v>
      </c>
      <c r="G96" s="16">
        <v>1560.98</v>
      </c>
      <c r="H96" s="134">
        <f t="shared" si="10"/>
        <v>3.2480871840000001</v>
      </c>
      <c r="I96" s="16">
        <v>0</v>
      </c>
    </row>
    <row r="97" spans="1:9" ht="31.5" hidden="1" customHeight="1">
      <c r="A97" s="36"/>
      <c r="B97" s="140" t="s">
        <v>179</v>
      </c>
      <c r="C97" s="36" t="s">
        <v>181</v>
      </c>
      <c r="D97" s="100" t="s">
        <v>75</v>
      </c>
      <c r="E97" s="23">
        <v>100</v>
      </c>
      <c r="F97" s="16">
        <v>1</v>
      </c>
      <c r="G97" s="16">
        <v>12859.93</v>
      </c>
      <c r="H97" s="134">
        <f t="shared" si="10"/>
        <v>12.85993</v>
      </c>
      <c r="I97" s="16">
        <v>0</v>
      </c>
    </row>
    <row r="98" spans="1:9" ht="15.75" hidden="1" customHeight="1">
      <c r="A98" s="36"/>
      <c r="B98" s="140" t="s">
        <v>180</v>
      </c>
      <c r="C98" s="20" t="s">
        <v>30</v>
      </c>
      <c r="D98" s="18" t="s">
        <v>44</v>
      </c>
      <c r="E98" s="23">
        <v>1040.4000000000001</v>
      </c>
      <c r="F98" s="16">
        <v>2.08</v>
      </c>
      <c r="G98" s="16">
        <v>1453.29</v>
      </c>
      <c r="H98" s="134">
        <f t="shared" si="10"/>
        <v>3.0228432000000001</v>
      </c>
      <c r="I98" s="16">
        <v>0</v>
      </c>
    </row>
    <row r="99" spans="1:9" ht="15.75" customHeight="1">
      <c r="A99" s="160" t="s">
        <v>197</v>
      </c>
      <c r="B99" s="161"/>
      <c r="C99" s="161"/>
      <c r="D99" s="161"/>
      <c r="E99" s="161"/>
      <c r="F99" s="161"/>
      <c r="G99" s="161"/>
      <c r="H99" s="161"/>
      <c r="I99" s="162"/>
    </row>
    <row r="100" spans="1:9" ht="15.75" customHeight="1">
      <c r="A100" s="36">
        <v>18</v>
      </c>
      <c r="B100" s="140" t="s">
        <v>125</v>
      </c>
      <c r="C100" s="20" t="s">
        <v>58</v>
      </c>
      <c r="D100" s="114" t="s">
        <v>59</v>
      </c>
      <c r="E100" s="16">
        <v>3455.3</v>
      </c>
      <c r="F100" s="16">
        <v>41463.599999999999</v>
      </c>
      <c r="G100" s="16">
        <v>2.7</v>
      </c>
      <c r="H100" s="134">
        <f>SUM(F100*G100/1000)</f>
        <v>111.95171999999999</v>
      </c>
      <c r="I100" s="16">
        <f>F100/12*G100</f>
        <v>9329.31</v>
      </c>
    </row>
    <row r="101" spans="1:9" ht="31.5" customHeight="1">
      <c r="A101" s="36">
        <v>19</v>
      </c>
      <c r="B101" s="18" t="s">
        <v>88</v>
      </c>
      <c r="C101" s="20"/>
      <c r="D101" s="114" t="s">
        <v>59</v>
      </c>
      <c r="E101" s="120">
        <f>E100</f>
        <v>3455.3</v>
      </c>
      <c r="F101" s="16">
        <f>E101*12</f>
        <v>41463.600000000006</v>
      </c>
      <c r="G101" s="16">
        <v>3.05</v>
      </c>
      <c r="H101" s="134">
        <f>F101*G101/1000</f>
        <v>126.46398000000001</v>
      </c>
      <c r="I101" s="16">
        <f>F101/12*G101</f>
        <v>10538.665000000001</v>
      </c>
    </row>
    <row r="102" spans="1:9" ht="15.75" customHeight="1">
      <c r="A102" s="36"/>
      <c r="B102" s="54" t="s">
        <v>92</v>
      </c>
      <c r="C102" s="139"/>
      <c r="D102" s="137"/>
      <c r="E102" s="138"/>
      <c r="F102" s="138"/>
      <c r="G102" s="138"/>
      <c r="H102" s="136">
        <f>SUM(H101)</f>
        <v>126.46398000000001</v>
      </c>
      <c r="I102" s="138">
        <f>I16+I17+I18+I27+I28+I31+I32+I34+I35+I53+I54+I55+I63+I65+I73+I79+I89+I100+I101</f>
        <v>54375.289015111106</v>
      </c>
    </row>
    <row r="103" spans="1:9" ht="15.75" customHeight="1">
      <c r="A103" s="36"/>
      <c r="B103" s="75" t="s">
        <v>65</v>
      </c>
      <c r="C103" s="20"/>
      <c r="D103" s="67"/>
      <c r="E103" s="16"/>
      <c r="F103" s="16"/>
      <c r="G103" s="16"/>
      <c r="H103" s="16"/>
      <c r="I103" s="125"/>
    </row>
    <row r="104" spans="1:9" ht="31.5" customHeight="1">
      <c r="A104" s="36">
        <v>20</v>
      </c>
      <c r="B104" s="76" t="s">
        <v>91</v>
      </c>
      <c r="C104" s="122" t="s">
        <v>119</v>
      </c>
      <c r="D104" s="67"/>
      <c r="E104" s="16"/>
      <c r="F104" s="16">
        <v>5</v>
      </c>
      <c r="G104" s="16">
        <v>79.09</v>
      </c>
      <c r="H104" s="134">
        <f>G104*F104/1000</f>
        <v>0.39545000000000002</v>
      </c>
      <c r="I104" s="16">
        <f>G104</f>
        <v>79.09</v>
      </c>
    </row>
    <row r="105" spans="1:9" ht="15.75" customHeight="1">
      <c r="A105" s="36">
        <v>21</v>
      </c>
      <c r="B105" s="67" t="s">
        <v>147</v>
      </c>
      <c r="C105" s="20" t="s">
        <v>183</v>
      </c>
      <c r="D105" s="67"/>
      <c r="E105" s="16"/>
      <c r="F105" s="16">
        <v>8</v>
      </c>
      <c r="G105" s="16">
        <v>1501</v>
      </c>
      <c r="H105" s="134">
        <f>G105*F105/1000</f>
        <v>12.007999999999999</v>
      </c>
      <c r="I105" s="16">
        <f>G105*2.5</f>
        <v>3752.5</v>
      </c>
    </row>
    <row r="106" spans="1:9" ht="15.75" customHeight="1">
      <c r="A106" s="36">
        <v>22</v>
      </c>
      <c r="B106" s="76" t="s">
        <v>97</v>
      </c>
      <c r="C106" s="122" t="s">
        <v>119</v>
      </c>
      <c r="D106" s="67"/>
      <c r="E106" s="16"/>
      <c r="F106" s="16">
        <v>6</v>
      </c>
      <c r="G106" s="16">
        <v>180.15</v>
      </c>
      <c r="H106" s="134">
        <f t="shared" ref="H106:H109" si="11">G106*F106/1000</f>
        <v>1.0809000000000002</v>
      </c>
      <c r="I106" s="16">
        <f>G106*2</f>
        <v>360.3</v>
      </c>
    </row>
    <row r="107" spans="1:9" ht="31.5" customHeight="1">
      <c r="A107" s="36">
        <v>23</v>
      </c>
      <c r="B107" s="76" t="s">
        <v>222</v>
      </c>
      <c r="C107" s="122" t="s">
        <v>94</v>
      </c>
      <c r="D107" s="67"/>
      <c r="E107" s="16"/>
      <c r="F107" s="16">
        <v>8</v>
      </c>
      <c r="G107" s="16">
        <v>1272</v>
      </c>
      <c r="H107" s="134">
        <f t="shared" si="11"/>
        <v>10.176</v>
      </c>
      <c r="I107" s="16">
        <f>G107*8</f>
        <v>10176</v>
      </c>
    </row>
    <row r="108" spans="1:9" ht="15.75" customHeight="1">
      <c r="A108" s="36">
        <v>24</v>
      </c>
      <c r="B108" s="76" t="s">
        <v>223</v>
      </c>
      <c r="C108" s="122" t="s">
        <v>213</v>
      </c>
      <c r="D108" s="67"/>
      <c r="E108" s="16"/>
      <c r="F108" s="16">
        <f>1/100</f>
        <v>0.01</v>
      </c>
      <c r="G108" s="16">
        <v>7033.13</v>
      </c>
      <c r="H108" s="134">
        <f t="shared" si="11"/>
        <v>7.0331299999999999E-2</v>
      </c>
      <c r="I108" s="16">
        <f>G108*0.01</f>
        <v>70.331299999999999</v>
      </c>
    </row>
    <row r="109" spans="1:9" ht="15.75" customHeight="1">
      <c r="A109" s="36">
        <v>25</v>
      </c>
      <c r="B109" s="100" t="s">
        <v>224</v>
      </c>
      <c r="C109" s="101" t="s">
        <v>119</v>
      </c>
      <c r="D109" s="67"/>
      <c r="E109" s="16"/>
      <c r="F109" s="16">
        <v>1</v>
      </c>
      <c r="G109" s="16">
        <v>81.73</v>
      </c>
      <c r="H109" s="134">
        <f t="shared" si="11"/>
        <v>8.1729999999999997E-2</v>
      </c>
      <c r="I109" s="16">
        <f>G109</f>
        <v>81.73</v>
      </c>
    </row>
    <row r="110" spans="1:9">
      <c r="A110" s="36"/>
      <c r="B110" s="61" t="s">
        <v>54</v>
      </c>
      <c r="C110" s="57"/>
      <c r="D110" s="70"/>
      <c r="E110" s="57">
        <v>1</v>
      </c>
      <c r="F110" s="57"/>
      <c r="G110" s="57"/>
      <c r="H110" s="57"/>
      <c r="I110" s="39">
        <f>SUM(I104:I109)</f>
        <v>14519.951299999999</v>
      </c>
    </row>
    <row r="111" spans="1:9">
      <c r="A111" s="36"/>
      <c r="B111" s="67" t="s">
        <v>89</v>
      </c>
      <c r="C111" s="19"/>
      <c r="D111" s="19"/>
      <c r="E111" s="58"/>
      <c r="F111" s="58"/>
      <c r="G111" s="59"/>
      <c r="H111" s="59"/>
      <c r="I111" s="22">
        <v>0</v>
      </c>
    </row>
    <row r="112" spans="1:9" ht="15.75" customHeight="1">
      <c r="A112" s="71"/>
      <c r="B112" s="62" t="s">
        <v>55</v>
      </c>
      <c r="C112" s="45"/>
      <c r="D112" s="45"/>
      <c r="E112" s="45"/>
      <c r="F112" s="45"/>
      <c r="G112" s="45"/>
      <c r="H112" s="45"/>
      <c r="I112" s="60">
        <f>I102+I110</f>
        <v>68895.240315111107</v>
      </c>
    </row>
    <row r="113" spans="1:9" ht="15.75">
      <c r="A113" s="163" t="s">
        <v>254</v>
      </c>
      <c r="B113" s="163"/>
      <c r="C113" s="163"/>
      <c r="D113" s="163"/>
      <c r="E113" s="163"/>
      <c r="F113" s="163"/>
      <c r="G113" s="163"/>
      <c r="H113" s="163"/>
      <c r="I113" s="163"/>
    </row>
    <row r="114" spans="1:9" ht="15.75">
      <c r="A114" s="113"/>
      <c r="B114" s="152" t="s">
        <v>255</v>
      </c>
      <c r="C114" s="152"/>
      <c r="D114" s="152"/>
      <c r="E114" s="152"/>
      <c r="F114" s="152"/>
      <c r="G114" s="152"/>
      <c r="H114" s="119"/>
      <c r="I114" s="3"/>
    </row>
    <row r="115" spans="1:9">
      <c r="A115" s="107"/>
      <c r="B115" s="148" t="s">
        <v>6</v>
      </c>
      <c r="C115" s="148"/>
      <c r="D115" s="148"/>
      <c r="E115" s="148"/>
      <c r="F115" s="148"/>
      <c r="G115" s="148"/>
      <c r="H115" s="31"/>
      <c r="I115" s="5"/>
    </row>
    <row r="116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 customHeight="1">
      <c r="A117" s="153" t="s">
        <v>7</v>
      </c>
      <c r="B117" s="153"/>
      <c r="C117" s="153"/>
      <c r="D117" s="153"/>
      <c r="E117" s="153"/>
      <c r="F117" s="153"/>
      <c r="G117" s="153"/>
      <c r="H117" s="153"/>
      <c r="I117" s="153"/>
    </row>
    <row r="118" spans="1:9" ht="15.75" customHeight="1">
      <c r="A118" s="153" t="s">
        <v>8</v>
      </c>
      <c r="B118" s="153"/>
      <c r="C118" s="153"/>
      <c r="D118" s="153"/>
      <c r="E118" s="153"/>
      <c r="F118" s="153"/>
      <c r="G118" s="153"/>
      <c r="H118" s="153"/>
      <c r="I118" s="153"/>
    </row>
    <row r="119" spans="1:9" ht="15.75" customHeight="1">
      <c r="A119" s="154" t="s">
        <v>66</v>
      </c>
      <c r="B119" s="154"/>
      <c r="C119" s="154"/>
      <c r="D119" s="154"/>
      <c r="E119" s="154"/>
      <c r="F119" s="154"/>
      <c r="G119" s="154"/>
      <c r="H119" s="154"/>
      <c r="I119" s="154"/>
    </row>
    <row r="120" spans="1:9" ht="7.5" customHeight="1">
      <c r="A120" s="11"/>
    </row>
    <row r="121" spans="1:9" ht="15.75" customHeight="1">
      <c r="A121" s="155" t="s">
        <v>9</v>
      </c>
      <c r="B121" s="155"/>
      <c r="C121" s="155"/>
      <c r="D121" s="155"/>
      <c r="E121" s="155"/>
      <c r="F121" s="155"/>
      <c r="G121" s="155"/>
      <c r="H121" s="155"/>
      <c r="I121" s="155"/>
    </row>
    <row r="122" spans="1:9" ht="15.75" customHeight="1">
      <c r="A122" s="4"/>
    </row>
    <row r="123" spans="1:9" ht="15.75" customHeight="1">
      <c r="B123" s="109" t="s">
        <v>10</v>
      </c>
      <c r="C123" s="147" t="s">
        <v>192</v>
      </c>
      <c r="D123" s="147"/>
      <c r="E123" s="147"/>
      <c r="F123" s="117"/>
      <c r="I123" s="111"/>
    </row>
    <row r="124" spans="1:9">
      <c r="A124" s="107"/>
      <c r="C124" s="148" t="s">
        <v>11</v>
      </c>
      <c r="D124" s="148"/>
      <c r="E124" s="148"/>
      <c r="F124" s="31"/>
      <c r="I124" s="112" t="s">
        <v>12</v>
      </c>
    </row>
    <row r="125" spans="1:9" ht="8.25" customHeight="1">
      <c r="A125" s="32"/>
      <c r="C125" s="12"/>
      <c r="D125" s="12"/>
      <c r="G125" s="12"/>
      <c r="H125" s="12"/>
    </row>
    <row r="126" spans="1:9" ht="15.75">
      <c r="B126" s="109" t="s">
        <v>13</v>
      </c>
      <c r="C126" s="149"/>
      <c r="D126" s="149"/>
      <c r="E126" s="149"/>
      <c r="F126" s="118"/>
      <c r="I126" s="111"/>
    </row>
    <row r="127" spans="1:9">
      <c r="A127" s="107"/>
      <c r="C127" s="150" t="s">
        <v>11</v>
      </c>
      <c r="D127" s="150"/>
      <c r="E127" s="150"/>
      <c r="F127" s="107"/>
      <c r="I127" s="112" t="s">
        <v>12</v>
      </c>
    </row>
    <row r="128" spans="1:9" ht="15.75">
      <c r="A128" s="4" t="s">
        <v>14</v>
      </c>
    </row>
    <row r="129" spans="1:9">
      <c r="A129" s="151" t="s">
        <v>15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ht="45" customHeight="1">
      <c r="A130" s="146" t="s">
        <v>16</v>
      </c>
      <c r="B130" s="146"/>
      <c r="C130" s="146"/>
      <c r="D130" s="146"/>
      <c r="E130" s="146"/>
      <c r="F130" s="146"/>
      <c r="G130" s="146"/>
      <c r="H130" s="146"/>
      <c r="I130" s="146"/>
    </row>
    <row r="131" spans="1:9" ht="30" customHeight="1">
      <c r="A131" s="146" t="s">
        <v>17</v>
      </c>
      <c r="B131" s="146"/>
      <c r="C131" s="146"/>
      <c r="D131" s="146"/>
      <c r="E131" s="146"/>
      <c r="F131" s="146"/>
      <c r="G131" s="146"/>
      <c r="H131" s="146"/>
      <c r="I131" s="146"/>
    </row>
    <row r="132" spans="1:9" ht="30" customHeight="1">
      <c r="A132" s="146" t="s">
        <v>21</v>
      </c>
      <c r="B132" s="146"/>
      <c r="C132" s="146"/>
      <c r="D132" s="146"/>
      <c r="E132" s="146"/>
      <c r="F132" s="146"/>
      <c r="G132" s="146"/>
      <c r="H132" s="146"/>
      <c r="I132" s="146"/>
    </row>
    <row r="133" spans="1:9" ht="15" customHeight="1">
      <c r="A133" s="146" t="s">
        <v>20</v>
      </c>
      <c r="B133" s="146"/>
      <c r="C133" s="146"/>
      <c r="D133" s="146"/>
      <c r="E133" s="146"/>
      <c r="F133" s="146"/>
      <c r="G133" s="146"/>
      <c r="H133" s="146"/>
      <c r="I133" s="146"/>
    </row>
  </sheetData>
  <mergeCells count="27">
    <mergeCell ref="A14:I14"/>
    <mergeCell ref="A3:I3"/>
    <mergeCell ref="A4:I4"/>
    <mergeCell ref="A5:I5"/>
    <mergeCell ref="A8:I8"/>
    <mergeCell ref="A10:I10"/>
    <mergeCell ref="A121:I121"/>
    <mergeCell ref="A15:I15"/>
    <mergeCell ref="A29:I29"/>
    <mergeCell ref="A46:I46"/>
    <mergeCell ref="A58:I58"/>
    <mergeCell ref="A99:I99"/>
    <mergeCell ref="A113:I113"/>
    <mergeCell ref="B114:G114"/>
    <mergeCell ref="B115:G115"/>
    <mergeCell ref="A117:I117"/>
    <mergeCell ref="A118:I118"/>
    <mergeCell ref="A119:I119"/>
    <mergeCell ref="A131:I131"/>
    <mergeCell ref="A132:I132"/>
    <mergeCell ref="A133:I133"/>
    <mergeCell ref="C123:E123"/>
    <mergeCell ref="C124:E124"/>
    <mergeCell ref="C126:E126"/>
    <mergeCell ref="C127:E127"/>
    <mergeCell ref="A129:I129"/>
    <mergeCell ref="A130:I13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30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4" t="s">
        <v>104</v>
      </c>
      <c r="G1" s="33"/>
      <c r="H1" s="1"/>
      <c r="I1" s="1"/>
      <c r="J1" s="1"/>
      <c r="K1" s="1"/>
    </row>
    <row r="2" spans="1:11" ht="15.75">
      <c r="A2" s="35" t="s">
        <v>70</v>
      </c>
      <c r="H2" s="2"/>
      <c r="I2" s="2"/>
      <c r="J2" s="2"/>
      <c r="K2" s="2"/>
    </row>
    <row r="3" spans="1:11" ht="15.75" customHeight="1">
      <c r="A3" s="164" t="s">
        <v>105</v>
      </c>
      <c r="B3" s="164"/>
      <c r="C3" s="164"/>
      <c r="D3" s="164"/>
      <c r="E3" s="164"/>
      <c r="F3" s="164"/>
      <c r="G3" s="164"/>
      <c r="H3" s="3"/>
      <c r="I3" s="3"/>
      <c r="J3" s="3"/>
    </row>
    <row r="4" spans="1:11" ht="31.5" customHeight="1">
      <c r="A4" s="165" t="s">
        <v>184</v>
      </c>
      <c r="B4" s="165"/>
      <c r="C4" s="165"/>
      <c r="D4" s="165"/>
      <c r="E4" s="165"/>
      <c r="F4" s="165"/>
      <c r="G4" s="165"/>
    </row>
    <row r="5" spans="1:11" ht="15.75">
      <c r="A5" s="164" t="s">
        <v>106</v>
      </c>
      <c r="B5" s="166"/>
      <c r="C5" s="166"/>
      <c r="D5" s="166"/>
      <c r="E5" s="166"/>
      <c r="F5" s="166"/>
      <c r="G5" s="166"/>
      <c r="H5" s="2"/>
      <c r="I5" s="2"/>
      <c r="J5" s="2"/>
      <c r="K5" s="2"/>
    </row>
    <row r="6" spans="1:11" ht="15.75">
      <c r="A6" s="2"/>
      <c r="B6" s="73"/>
      <c r="C6" s="73"/>
      <c r="D6" s="73"/>
      <c r="E6" s="73"/>
      <c r="F6" s="73"/>
      <c r="G6" s="37">
        <v>42704</v>
      </c>
      <c r="H6" s="2"/>
      <c r="I6" s="2"/>
      <c r="J6" s="2"/>
      <c r="K6" s="2"/>
    </row>
    <row r="7" spans="1:11" ht="15.75">
      <c r="B7" s="72"/>
      <c r="C7" s="72"/>
      <c r="D7" s="72"/>
      <c r="E7" s="3"/>
      <c r="F7" s="3"/>
      <c r="H7" s="3"/>
      <c r="I7" s="3"/>
      <c r="J7" s="3"/>
      <c r="K7" s="3"/>
    </row>
    <row r="8" spans="1:11" ht="78.75" customHeight="1">
      <c r="A8" s="167" t="s">
        <v>193</v>
      </c>
      <c r="B8" s="167"/>
      <c r="C8" s="167"/>
      <c r="D8" s="167"/>
      <c r="E8" s="167"/>
      <c r="F8" s="167"/>
      <c r="G8" s="167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168" t="s">
        <v>194</v>
      </c>
      <c r="B10" s="168"/>
      <c r="C10" s="168"/>
      <c r="D10" s="168"/>
      <c r="E10" s="168"/>
      <c r="F10" s="168"/>
      <c r="G10" s="168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69" t="s">
        <v>64</v>
      </c>
      <c r="B14" s="169"/>
      <c r="C14" s="169"/>
      <c r="D14" s="169"/>
      <c r="E14" s="169"/>
      <c r="F14" s="169"/>
      <c r="G14" s="169"/>
      <c r="H14" s="8"/>
      <c r="I14" s="8"/>
      <c r="J14" s="8"/>
      <c r="K14" s="8"/>
    </row>
    <row r="15" spans="1:11" ht="15.75" customHeight="1">
      <c r="A15" s="156" t="s">
        <v>4</v>
      </c>
      <c r="B15" s="156"/>
      <c r="C15" s="156"/>
      <c r="D15" s="156"/>
      <c r="E15" s="156"/>
      <c r="F15" s="156"/>
      <c r="G15" s="156"/>
      <c r="H15" s="8"/>
      <c r="I15" s="8"/>
      <c r="J15" s="8"/>
      <c r="K15" s="8"/>
    </row>
    <row r="16" spans="1:11" ht="31.5" customHeight="1">
      <c r="A16" s="36">
        <v>1</v>
      </c>
      <c r="B16" s="41" t="s">
        <v>135</v>
      </c>
      <c r="C16" s="55" t="s">
        <v>107</v>
      </c>
      <c r="D16" s="41" t="s">
        <v>136</v>
      </c>
      <c r="E16" s="96"/>
      <c r="F16" s="40">
        <v>199.46</v>
      </c>
      <c r="G16" s="85">
        <v>1833.24</v>
      </c>
      <c r="H16" s="8"/>
      <c r="I16" s="8"/>
      <c r="J16" s="8"/>
      <c r="K16" s="8"/>
    </row>
    <row r="17" spans="1:11" ht="31.5" customHeight="1">
      <c r="A17" s="36">
        <v>2</v>
      </c>
      <c r="B17" s="41" t="s">
        <v>149</v>
      </c>
      <c r="C17" s="55" t="s">
        <v>107</v>
      </c>
      <c r="D17" s="41" t="s">
        <v>137</v>
      </c>
      <c r="E17" s="96"/>
      <c r="F17" s="40">
        <v>199.46</v>
      </c>
      <c r="G17" s="85">
        <v>4888.63</v>
      </c>
      <c r="H17" s="8"/>
      <c r="I17" s="8"/>
      <c r="J17" s="8"/>
      <c r="K17" s="8"/>
    </row>
    <row r="18" spans="1:11" ht="31.5" customHeight="1">
      <c r="A18" s="36">
        <v>3</v>
      </c>
      <c r="B18" s="41" t="s">
        <v>150</v>
      </c>
      <c r="C18" s="55" t="s">
        <v>107</v>
      </c>
      <c r="D18" s="41" t="s">
        <v>154</v>
      </c>
      <c r="E18" s="96"/>
      <c r="F18" s="40">
        <v>573.83000000000004</v>
      </c>
      <c r="G18" s="85">
        <v>4056.98</v>
      </c>
      <c r="H18" s="8"/>
      <c r="I18" s="8"/>
      <c r="J18" s="8"/>
      <c r="K18" s="8"/>
    </row>
    <row r="19" spans="1:11" ht="15" hidden="1" customHeight="1">
      <c r="A19" s="36"/>
      <c r="B19" s="41" t="s">
        <v>138</v>
      </c>
      <c r="C19" s="55" t="s">
        <v>139</v>
      </c>
      <c r="D19" s="41" t="s">
        <v>140</v>
      </c>
      <c r="E19" s="96"/>
      <c r="F19" s="40">
        <v>193.55</v>
      </c>
      <c r="G19" s="85">
        <v>0</v>
      </c>
      <c r="H19" s="8"/>
      <c r="I19" s="8"/>
      <c r="J19" s="8"/>
      <c r="K19" s="8"/>
    </row>
    <row r="20" spans="1:11" ht="15" hidden="1" customHeight="1">
      <c r="A20" s="36">
        <v>4</v>
      </c>
      <c r="B20" s="100" t="s">
        <v>141</v>
      </c>
      <c r="C20" s="101" t="s">
        <v>107</v>
      </c>
      <c r="D20" s="100" t="s">
        <v>44</v>
      </c>
      <c r="E20" s="96"/>
      <c r="F20" s="102">
        <v>247.82</v>
      </c>
      <c r="G20" s="85">
        <v>0</v>
      </c>
      <c r="H20" s="8"/>
      <c r="I20" s="8"/>
      <c r="J20" s="8"/>
      <c r="K20" s="8"/>
    </row>
    <row r="21" spans="1:11" ht="15" hidden="1" customHeight="1">
      <c r="A21" s="36">
        <v>5</v>
      </c>
      <c r="B21" s="100" t="s">
        <v>142</v>
      </c>
      <c r="C21" s="101" t="s">
        <v>107</v>
      </c>
      <c r="D21" s="100" t="s">
        <v>44</v>
      </c>
      <c r="E21" s="96"/>
      <c r="F21" s="40">
        <v>245.81</v>
      </c>
      <c r="G21" s="85">
        <v>0</v>
      </c>
      <c r="H21" s="8"/>
      <c r="I21" s="8"/>
      <c r="J21" s="8"/>
      <c r="K21" s="8"/>
    </row>
    <row r="22" spans="1:11" ht="15" hidden="1" customHeight="1">
      <c r="A22" s="36"/>
      <c r="B22" s="41" t="s">
        <v>143</v>
      </c>
      <c r="C22" s="55" t="s">
        <v>56</v>
      </c>
      <c r="D22" s="41" t="s">
        <v>140</v>
      </c>
      <c r="E22" s="96"/>
      <c r="F22" s="40">
        <v>306.26</v>
      </c>
      <c r="G22" s="85">
        <v>0</v>
      </c>
      <c r="H22" s="8"/>
      <c r="I22" s="8"/>
      <c r="J22" s="8"/>
      <c r="K22" s="8"/>
    </row>
    <row r="23" spans="1:11" ht="15" hidden="1" customHeight="1">
      <c r="A23" s="36"/>
      <c r="B23" s="41" t="s">
        <v>144</v>
      </c>
      <c r="C23" s="55" t="s">
        <v>56</v>
      </c>
      <c r="D23" s="41" t="s">
        <v>140</v>
      </c>
      <c r="E23" s="96"/>
      <c r="F23" s="40">
        <v>50.37</v>
      </c>
      <c r="G23" s="85">
        <v>0</v>
      </c>
      <c r="H23" s="8"/>
      <c r="I23" s="8"/>
      <c r="J23" s="8"/>
      <c r="K23" s="8"/>
    </row>
    <row r="24" spans="1:11" ht="15" hidden="1" customHeight="1">
      <c r="A24" s="36"/>
      <c r="B24" s="41" t="s">
        <v>145</v>
      </c>
      <c r="C24" s="55" t="s">
        <v>56</v>
      </c>
      <c r="D24" s="41" t="s">
        <v>151</v>
      </c>
      <c r="E24" s="96"/>
      <c r="F24" s="40">
        <v>443.27</v>
      </c>
      <c r="G24" s="85">
        <v>0</v>
      </c>
      <c r="H24" s="8"/>
      <c r="I24" s="8"/>
      <c r="J24" s="8"/>
      <c r="K24" s="8"/>
    </row>
    <row r="25" spans="1:11" ht="15" hidden="1" customHeight="1">
      <c r="A25" s="36"/>
      <c r="B25" s="41" t="s">
        <v>152</v>
      </c>
      <c r="C25" s="55" t="s">
        <v>107</v>
      </c>
      <c r="D25" s="41" t="s">
        <v>57</v>
      </c>
      <c r="E25" s="96"/>
      <c r="F25" s="40">
        <v>245.81</v>
      </c>
      <c r="G25" s="85">
        <v>0</v>
      </c>
      <c r="H25" s="8"/>
      <c r="I25" s="8"/>
      <c r="J25" s="8"/>
      <c r="K25" s="8"/>
    </row>
    <row r="26" spans="1:11" ht="15" hidden="1" customHeight="1">
      <c r="A26" s="36"/>
      <c r="B26" s="41" t="s">
        <v>153</v>
      </c>
      <c r="C26" s="55" t="s">
        <v>56</v>
      </c>
      <c r="D26" s="41" t="s">
        <v>140</v>
      </c>
      <c r="E26" s="96"/>
      <c r="F26" s="40">
        <v>592.37</v>
      </c>
      <c r="G26" s="85">
        <v>0</v>
      </c>
      <c r="H26" s="8"/>
      <c r="I26" s="8"/>
      <c r="J26" s="8"/>
      <c r="K26" s="8"/>
    </row>
    <row r="27" spans="1:11">
      <c r="A27" s="56">
        <v>6</v>
      </c>
      <c r="B27" s="50" t="s">
        <v>72</v>
      </c>
      <c r="C27" s="51" t="s">
        <v>34</v>
      </c>
      <c r="D27" s="50" t="s">
        <v>25</v>
      </c>
      <c r="E27" s="22">
        <v>506.1</v>
      </c>
      <c r="F27" s="40">
        <v>167.24</v>
      </c>
      <c r="G27" s="23">
        <v>508.69</v>
      </c>
      <c r="H27" s="28"/>
      <c r="I27" s="8"/>
      <c r="J27" s="8"/>
      <c r="K27" s="8"/>
    </row>
    <row r="28" spans="1:11" ht="15.75" customHeight="1">
      <c r="A28" s="56">
        <v>7</v>
      </c>
      <c r="B28" s="13" t="s">
        <v>23</v>
      </c>
      <c r="C28" s="14" t="s">
        <v>24</v>
      </c>
      <c r="D28" s="36"/>
      <c r="E28" s="22">
        <v>506.1</v>
      </c>
      <c r="F28" s="40">
        <v>5.58</v>
      </c>
      <c r="G28" s="23">
        <v>14852.29</v>
      </c>
      <c r="H28" s="29"/>
      <c r="I28" s="8"/>
      <c r="J28" s="8"/>
      <c r="K28" s="8"/>
    </row>
    <row r="29" spans="1:11" ht="15.75" customHeight="1">
      <c r="A29" s="156" t="s">
        <v>103</v>
      </c>
      <c r="B29" s="156"/>
      <c r="C29" s="156"/>
      <c r="D29" s="156"/>
      <c r="E29" s="156"/>
      <c r="F29" s="156"/>
      <c r="G29" s="156"/>
      <c r="H29" s="29"/>
      <c r="I29" s="8"/>
      <c r="J29" s="8"/>
      <c r="K29" s="8"/>
    </row>
    <row r="30" spans="1:11" ht="15.75" hidden="1" customHeight="1">
      <c r="A30" s="56"/>
      <c r="B30" s="66" t="s">
        <v>29</v>
      </c>
      <c r="C30" s="66"/>
      <c r="D30" s="66"/>
      <c r="E30" s="66"/>
      <c r="F30" s="66"/>
      <c r="G30" s="23"/>
      <c r="H30" s="29"/>
      <c r="I30" s="8"/>
      <c r="J30" s="8"/>
      <c r="K30" s="8"/>
    </row>
    <row r="31" spans="1:11" ht="31.5" hidden="1" customHeight="1">
      <c r="A31" s="56">
        <v>2</v>
      </c>
      <c r="B31" s="41" t="s">
        <v>116</v>
      </c>
      <c r="C31" s="55" t="s">
        <v>109</v>
      </c>
      <c r="D31" s="41" t="s">
        <v>155</v>
      </c>
      <c r="E31" s="17">
        <v>2.31</v>
      </c>
      <c r="F31" s="40">
        <v>177.3</v>
      </c>
      <c r="G31" s="16">
        <v>0</v>
      </c>
      <c r="H31" s="29"/>
      <c r="I31" s="8"/>
      <c r="J31" s="8"/>
      <c r="K31" s="8"/>
    </row>
    <row r="32" spans="1:11" ht="31.5" hidden="1" customHeight="1">
      <c r="A32" s="56">
        <v>3</v>
      </c>
      <c r="B32" s="41" t="s">
        <v>115</v>
      </c>
      <c r="C32" s="55" t="s">
        <v>109</v>
      </c>
      <c r="D32" s="41" t="s">
        <v>156</v>
      </c>
      <c r="E32" s="16">
        <f>0.0024*3*4.5</f>
        <v>3.2399999999999998E-2</v>
      </c>
      <c r="F32" s="40">
        <v>294.17</v>
      </c>
      <c r="G32" s="23">
        <v>0</v>
      </c>
      <c r="H32" s="29"/>
      <c r="I32" s="8"/>
      <c r="J32" s="8"/>
      <c r="K32" s="8"/>
    </row>
    <row r="33" spans="1:11" ht="15.75" hidden="1" customHeight="1">
      <c r="A33" s="56">
        <v>4</v>
      </c>
      <c r="B33" s="41" t="s">
        <v>28</v>
      </c>
      <c r="C33" s="55" t="s">
        <v>109</v>
      </c>
      <c r="D33" s="41" t="s">
        <v>57</v>
      </c>
      <c r="E33" s="21">
        <v>0</v>
      </c>
      <c r="F33" s="40">
        <v>3435.36</v>
      </c>
      <c r="G33" s="23">
        <v>0</v>
      </c>
      <c r="H33" s="29"/>
      <c r="I33" s="8"/>
      <c r="J33" s="8"/>
      <c r="K33" s="8"/>
    </row>
    <row r="34" spans="1:11" ht="15.75" hidden="1" customHeight="1">
      <c r="A34" s="56"/>
      <c r="B34" s="41" t="s">
        <v>157</v>
      </c>
      <c r="C34" s="55" t="s">
        <v>42</v>
      </c>
      <c r="D34" s="41" t="s">
        <v>71</v>
      </c>
      <c r="E34" s="21"/>
      <c r="F34" s="40">
        <v>1480.94</v>
      </c>
      <c r="G34" s="23">
        <v>0</v>
      </c>
      <c r="H34" s="29"/>
      <c r="I34" s="8"/>
      <c r="J34" s="8"/>
      <c r="K34" s="8"/>
    </row>
    <row r="35" spans="1:11" ht="15" hidden="1" customHeight="1">
      <c r="A35" s="56">
        <v>5</v>
      </c>
      <c r="B35" s="41" t="s">
        <v>114</v>
      </c>
      <c r="C35" s="55" t="s">
        <v>32</v>
      </c>
      <c r="D35" s="41" t="s">
        <v>71</v>
      </c>
      <c r="E35" s="21">
        <v>0</v>
      </c>
      <c r="F35" s="40">
        <v>64.48</v>
      </c>
      <c r="G35" s="23">
        <v>0</v>
      </c>
      <c r="H35" s="29"/>
      <c r="I35" s="8"/>
      <c r="J35" s="8"/>
      <c r="K35" s="8"/>
    </row>
    <row r="36" spans="1:11" ht="15.75" hidden="1" customHeight="1">
      <c r="A36" s="56">
        <v>4</v>
      </c>
      <c r="B36" s="41" t="s">
        <v>73</v>
      </c>
      <c r="C36" s="55" t="s">
        <v>34</v>
      </c>
      <c r="D36" s="41" t="s">
        <v>75</v>
      </c>
      <c r="E36" s="16">
        <v>3.75</v>
      </c>
      <c r="F36" s="40">
        <v>217.61</v>
      </c>
      <c r="G36" s="16">
        <v>0</v>
      </c>
      <c r="H36" s="29"/>
      <c r="I36" s="8"/>
      <c r="J36" s="8"/>
      <c r="K36" s="8"/>
    </row>
    <row r="37" spans="1:11" ht="16.5" hidden="1" customHeight="1">
      <c r="A37" s="36">
        <v>8</v>
      </c>
      <c r="B37" s="41" t="s">
        <v>74</v>
      </c>
      <c r="C37" s="55" t="s">
        <v>33</v>
      </c>
      <c r="D37" s="41" t="s">
        <v>75</v>
      </c>
      <c r="E37" s="16"/>
      <c r="F37" s="40">
        <v>1292.47</v>
      </c>
      <c r="G37" s="16">
        <v>0</v>
      </c>
      <c r="H37" s="29"/>
      <c r="I37" s="8"/>
      <c r="J37" s="8"/>
      <c r="K37" s="8"/>
    </row>
    <row r="38" spans="1:11" ht="16.5" customHeight="1">
      <c r="A38" s="56"/>
      <c r="B38" s="64" t="s">
        <v>5</v>
      </c>
      <c r="C38" s="64"/>
      <c r="D38" s="64"/>
      <c r="E38" s="16"/>
      <c r="F38" s="17"/>
      <c r="G38" s="23"/>
      <c r="H38" s="29"/>
      <c r="I38" s="8"/>
      <c r="J38" s="8"/>
      <c r="K38" s="8"/>
    </row>
    <row r="39" spans="1:11" ht="16.5" customHeight="1">
      <c r="A39" s="56"/>
      <c r="B39" s="43" t="s">
        <v>27</v>
      </c>
      <c r="C39" s="55" t="s">
        <v>33</v>
      </c>
      <c r="D39" s="41"/>
      <c r="E39" s="16"/>
      <c r="F39" s="40">
        <v>1737.08</v>
      </c>
      <c r="G39" s="23">
        <v>2316.11</v>
      </c>
      <c r="H39" s="29"/>
      <c r="I39" s="8"/>
      <c r="J39" s="8"/>
      <c r="K39" s="8"/>
    </row>
    <row r="40" spans="1:11" ht="16.5" customHeight="1">
      <c r="A40" s="42">
        <v>8</v>
      </c>
      <c r="B40" s="43" t="s">
        <v>76</v>
      </c>
      <c r="C40" s="74" t="s">
        <v>30</v>
      </c>
      <c r="D40" s="43" t="s">
        <v>129</v>
      </c>
      <c r="E40" s="16">
        <v>0</v>
      </c>
      <c r="F40" s="44">
        <v>2391.67</v>
      </c>
      <c r="G40" s="16">
        <v>2391.67</v>
      </c>
      <c r="H40" s="29"/>
      <c r="I40" s="8"/>
      <c r="J40" s="8"/>
      <c r="K40" s="8"/>
    </row>
    <row r="41" spans="1:11" ht="16.5" hidden="1" customHeight="1">
      <c r="A41" s="42"/>
      <c r="B41" s="41" t="s">
        <v>158</v>
      </c>
      <c r="C41" s="55" t="s">
        <v>58</v>
      </c>
      <c r="D41" s="41"/>
      <c r="E41" s="16"/>
      <c r="F41" s="40">
        <v>226.84</v>
      </c>
      <c r="G41" s="16">
        <v>0</v>
      </c>
      <c r="H41" s="29"/>
      <c r="I41" s="8"/>
      <c r="J41" s="8"/>
      <c r="K41" s="8"/>
    </row>
    <row r="42" spans="1:11" ht="15.75" customHeight="1">
      <c r="A42" s="42">
        <v>9</v>
      </c>
      <c r="B42" s="41" t="s">
        <v>77</v>
      </c>
      <c r="C42" s="55" t="s">
        <v>30</v>
      </c>
      <c r="D42" s="41" t="s">
        <v>108</v>
      </c>
      <c r="E42" s="16">
        <v>0</v>
      </c>
      <c r="F42" s="40">
        <v>398.95</v>
      </c>
      <c r="G42" s="16">
        <v>618.37</v>
      </c>
      <c r="H42" s="29"/>
      <c r="I42" s="8"/>
      <c r="J42" s="8"/>
      <c r="K42" s="8"/>
    </row>
    <row r="43" spans="1:11" ht="47.25" customHeight="1">
      <c r="A43" s="42">
        <v>10</v>
      </c>
      <c r="B43" s="41" t="s">
        <v>101</v>
      </c>
      <c r="C43" s="55" t="s">
        <v>109</v>
      </c>
      <c r="D43" s="41" t="s">
        <v>159</v>
      </c>
      <c r="E43" s="16">
        <v>0</v>
      </c>
      <c r="F43" s="40">
        <v>6600.74</v>
      </c>
      <c r="G43" s="16">
        <v>1574.83</v>
      </c>
      <c r="H43" s="29"/>
      <c r="I43" s="8"/>
      <c r="J43" s="8"/>
      <c r="K43" s="8"/>
    </row>
    <row r="44" spans="1:11" ht="13.5" customHeight="1">
      <c r="A44" s="42">
        <v>11</v>
      </c>
      <c r="B44" s="41" t="s">
        <v>110</v>
      </c>
      <c r="C44" s="55" t="s">
        <v>109</v>
      </c>
      <c r="D44" s="41" t="s">
        <v>78</v>
      </c>
      <c r="E44" s="16">
        <v>0</v>
      </c>
      <c r="F44" s="40">
        <v>487.61</v>
      </c>
      <c r="G44" s="16">
        <v>219.42</v>
      </c>
      <c r="H44" s="29"/>
      <c r="I44" s="8"/>
      <c r="J44" s="8"/>
      <c r="K44" s="8"/>
    </row>
    <row r="45" spans="1:11" ht="15.75" customHeight="1">
      <c r="A45" s="42">
        <v>12</v>
      </c>
      <c r="B45" s="43" t="s">
        <v>79</v>
      </c>
      <c r="C45" s="74" t="s">
        <v>34</v>
      </c>
      <c r="D45" s="43"/>
      <c r="E45" s="16">
        <v>0</v>
      </c>
      <c r="F45" s="44">
        <v>907.65</v>
      </c>
      <c r="G45" s="16">
        <v>136.15</v>
      </c>
      <c r="H45" s="29"/>
      <c r="I45" s="8"/>
      <c r="J45" s="8"/>
      <c r="K45" s="8"/>
    </row>
    <row r="46" spans="1:11" ht="15" hidden="1" customHeight="1">
      <c r="A46" s="170" t="s">
        <v>68</v>
      </c>
      <c r="B46" s="171"/>
      <c r="C46" s="171"/>
      <c r="D46" s="171"/>
      <c r="E46" s="171"/>
      <c r="F46" s="171"/>
      <c r="G46" s="172"/>
      <c r="H46" s="29"/>
      <c r="I46" s="8"/>
      <c r="J46" s="8"/>
      <c r="K46" s="8"/>
    </row>
    <row r="47" spans="1:11" ht="15" hidden="1" customHeight="1">
      <c r="A47" s="56">
        <v>15</v>
      </c>
      <c r="B47" s="41" t="s">
        <v>117</v>
      </c>
      <c r="C47" s="55" t="s">
        <v>109</v>
      </c>
      <c r="D47" s="41" t="s">
        <v>44</v>
      </c>
      <c r="E47" s="23">
        <v>0.42</v>
      </c>
      <c r="F47" s="47">
        <v>1173.18</v>
      </c>
      <c r="G47" s="24">
        <v>0</v>
      </c>
      <c r="H47" s="29"/>
      <c r="I47" s="8"/>
    </row>
    <row r="48" spans="1:11" ht="15.75" hidden="1" customHeight="1">
      <c r="A48" s="56">
        <v>16</v>
      </c>
      <c r="B48" s="41" t="s">
        <v>37</v>
      </c>
      <c r="C48" s="55" t="s">
        <v>109</v>
      </c>
      <c r="D48" s="41" t="s">
        <v>44</v>
      </c>
      <c r="E48" s="23">
        <v>1.35</v>
      </c>
      <c r="F48" s="47">
        <v>659.09</v>
      </c>
      <c r="G48" s="24">
        <v>0</v>
      </c>
      <c r="H48" s="30"/>
    </row>
    <row r="49" spans="1:12" ht="15.75" hidden="1" customHeight="1">
      <c r="A49" s="56">
        <v>17</v>
      </c>
      <c r="B49" s="41" t="s">
        <v>38</v>
      </c>
      <c r="C49" s="55" t="s">
        <v>109</v>
      </c>
      <c r="D49" s="41" t="s">
        <v>44</v>
      </c>
      <c r="E49" s="23">
        <v>0.03</v>
      </c>
      <c r="F49" s="47">
        <v>1564.24</v>
      </c>
      <c r="G49" s="24">
        <v>0</v>
      </c>
      <c r="H49" s="30"/>
    </row>
    <row r="50" spans="1:12" ht="15.75" hidden="1" customHeight="1">
      <c r="A50" s="56">
        <v>18</v>
      </c>
      <c r="B50" s="41" t="s">
        <v>39</v>
      </c>
      <c r="C50" s="55" t="s">
        <v>109</v>
      </c>
      <c r="D50" s="41" t="s">
        <v>44</v>
      </c>
      <c r="E50" s="23">
        <v>0.33</v>
      </c>
      <c r="F50" s="47">
        <v>1078.3599999999999</v>
      </c>
      <c r="G50" s="24">
        <v>0</v>
      </c>
      <c r="H50" s="30"/>
    </row>
    <row r="51" spans="1:12" ht="15.75" hidden="1" customHeight="1">
      <c r="A51" s="56">
        <v>19</v>
      </c>
      <c r="B51" s="41" t="s">
        <v>35</v>
      </c>
      <c r="C51" s="55" t="s">
        <v>36</v>
      </c>
      <c r="D51" s="41" t="s">
        <v>44</v>
      </c>
      <c r="E51" s="23">
        <v>0.22</v>
      </c>
      <c r="F51" s="47">
        <v>82.82</v>
      </c>
      <c r="G51" s="16">
        <v>0</v>
      </c>
      <c r="H51" s="30"/>
    </row>
    <row r="52" spans="1:12" ht="31.5" hidden="1" customHeight="1">
      <c r="A52" s="56">
        <v>13</v>
      </c>
      <c r="B52" s="41" t="s">
        <v>61</v>
      </c>
      <c r="C52" s="55" t="s">
        <v>109</v>
      </c>
      <c r="D52" s="41" t="s">
        <v>118</v>
      </c>
      <c r="E52" s="23">
        <v>0.22</v>
      </c>
      <c r="F52" s="47">
        <v>1564.24</v>
      </c>
      <c r="G52" s="24">
        <v>827.32</v>
      </c>
      <c r="H52" s="30"/>
    </row>
    <row r="53" spans="1:12" ht="31.5" hidden="1" customHeight="1">
      <c r="A53" s="56">
        <v>14</v>
      </c>
      <c r="B53" s="41" t="s">
        <v>111</v>
      </c>
      <c r="C53" s="55" t="s">
        <v>109</v>
      </c>
      <c r="D53" s="41" t="s">
        <v>44</v>
      </c>
      <c r="E53" s="23">
        <v>0.02</v>
      </c>
      <c r="F53" s="47">
        <v>1380.31</v>
      </c>
      <c r="G53" s="24">
        <v>0</v>
      </c>
      <c r="H53" s="30"/>
    </row>
    <row r="54" spans="1:12" ht="31.5" hidden="1" customHeight="1">
      <c r="A54" s="56">
        <v>15</v>
      </c>
      <c r="B54" s="41" t="s">
        <v>112</v>
      </c>
      <c r="C54" s="55" t="s">
        <v>40</v>
      </c>
      <c r="D54" s="41" t="s">
        <v>44</v>
      </c>
      <c r="E54" s="23">
        <v>0.01</v>
      </c>
      <c r="F54" s="47">
        <v>3519.56</v>
      </c>
      <c r="G54" s="24">
        <v>0</v>
      </c>
      <c r="H54" s="30"/>
    </row>
    <row r="55" spans="1:12" ht="15.75" hidden="1" customHeight="1">
      <c r="A55" s="56">
        <v>23</v>
      </c>
      <c r="B55" s="41" t="s">
        <v>41</v>
      </c>
      <c r="C55" s="55" t="s">
        <v>42</v>
      </c>
      <c r="D55" s="41" t="s">
        <v>44</v>
      </c>
      <c r="E55" s="23">
        <v>8</v>
      </c>
      <c r="F55" s="47">
        <v>6428.82</v>
      </c>
      <c r="G55" s="16">
        <v>0</v>
      </c>
      <c r="H55" s="30"/>
      <c r="J55" s="25"/>
      <c r="K55" s="26"/>
      <c r="L55" s="27"/>
    </row>
    <row r="56" spans="1:12" ht="15.75" hidden="1" customHeight="1">
      <c r="A56" s="56"/>
      <c r="B56" s="41" t="s">
        <v>127</v>
      </c>
      <c r="C56" s="55" t="s">
        <v>119</v>
      </c>
      <c r="D56" s="41" t="s">
        <v>80</v>
      </c>
      <c r="E56" s="23"/>
      <c r="F56" s="48">
        <v>160.51</v>
      </c>
      <c r="G56" s="16">
        <v>0</v>
      </c>
      <c r="H56" s="30"/>
      <c r="J56" s="25"/>
      <c r="K56" s="26"/>
      <c r="L56" s="27"/>
    </row>
    <row r="57" spans="1:12" ht="14.25" hidden="1" customHeight="1">
      <c r="A57" s="56">
        <v>24</v>
      </c>
      <c r="B57" s="41" t="s">
        <v>43</v>
      </c>
      <c r="C57" s="55" t="s">
        <v>119</v>
      </c>
      <c r="D57" s="41" t="s">
        <v>80</v>
      </c>
      <c r="E57" s="23">
        <v>16</v>
      </c>
      <c r="F57" s="48">
        <v>74.709999999999994</v>
      </c>
      <c r="G57" s="16">
        <v>0</v>
      </c>
      <c r="H57" s="30"/>
      <c r="J57" s="25"/>
      <c r="K57" s="26"/>
      <c r="L57" s="27"/>
    </row>
    <row r="58" spans="1:12" ht="15.75" customHeight="1">
      <c r="A58" s="157" t="s">
        <v>198</v>
      </c>
      <c r="B58" s="158"/>
      <c r="C58" s="158"/>
      <c r="D58" s="158"/>
      <c r="E58" s="158"/>
      <c r="F58" s="158"/>
      <c r="G58" s="159"/>
      <c r="H58" s="30"/>
      <c r="J58" s="25"/>
      <c r="K58" s="26"/>
      <c r="L58" s="27"/>
    </row>
    <row r="59" spans="1:12" ht="15.75" customHeight="1">
      <c r="A59" s="68"/>
      <c r="B59" s="63" t="s">
        <v>45</v>
      </c>
      <c r="C59" s="20"/>
      <c r="D59" s="19"/>
      <c r="E59" s="19"/>
      <c r="F59" s="36"/>
      <c r="G59" s="23"/>
      <c r="H59" s="30"/>
      <c r="J59" s="25"/>
      <c r="K59" s="26"/>
      <c r="L59" s="27"/>
    </row>
    <row r="60" spans="1:12" ht="31.5" customHeight="1">
      <c r="A60" s="56">
        <v>13</v>
      </c>
      <c r="B60" s="41" t="s">
        <v>130</v>
      </c>
      <c r="C60" s="55" t="s">
        <v>107</v>
      </c>
      <c r="D60" s="41" t="s">
        <v>131</v>
      </c>
      <c r="E60" s="23">
        <v>0</v>
      </c>
      <c r="F60" s="47">
        <v>2108.4299999999998</v>
      </c>
      <c r="G60" s="24">
        <v>2995.02</v>
      </c>
      <c r="H60" s="30"/>
      <c r="J60" s="25"/>
      <c r="K60" s="26"/>
      <c r="L60" s="27"/>
    </row>
    <row r="61" spans="1:12" ht="15.75" customHeight="1">
      <c r="A61" s="56"/>
      <c r="B61" s="96" t="s">
        <v>46</v>
      </c>
      <c r="C61" s="96"/>
      <c r="D61" s="96"/>
      <c r="E61" s="96"/>
      <c r="F61" s="96"/>
      <c r="G61" s="46"/>
      <c r="H61" s="30"/>
      <c r="J61" s="25"/>
      <c r="K61" s="26"/>
      <c r="L61" s="27"/>
    </row>
    <row r="62" spans="1:12" ht="15.75" hidden="1" customHeight="1">
      <c r="A62" s="56">
        <v>27</v>
      </c>
      <c r="B62" s="80" t="s">
        <v>47</v>
      </c>
      <c r="C62" s="55" t="s">
        <v>107</v>
      </c>
      <c r="D62" s="41" t="s">
        <v>57</v>
      </c>
      <c r="E62" s="81">
        <v>0</v>
      </c>
      <c r="F62" s="47">
        <v>902.66</v>
      </c>
      <c r="G62" s="24">
        <f>E62/2</f>
        <v>0</v>
      </c>
      <c r="H62" s="30"/>
      <c r="J62" s="25"/>
      <c r="K62" s="26"/>
      <c r="L62" s="27"/>
    </row>
    <row r="63" spans="1:12" ht="15.75" customHeight="1">
      <c r="A63" s="56">
        <v>14</v>
      </c>
      <c r="B63" s="41" t="s">
        <v>160</v>
      </c>
      <c r="C63" s="55" t="s">
        <v>26</v>
      </c>
      <c r="D63" s="41" t="s">
        <v>161</v>
      </c>
      <c r="E63" s="81"/>
      <c r="F63" s="99">
        <v>2.83</v>
      </c>
      <c r="G63" s="24">
        <v>679.2</v>
      </c>
      <c r="H63" s="30"/>
      <c r="J63" s="25"/>
      <c r="K63" s="26"/>
      <c r="L63" s="27"/>
    </row>
    <row r="64" spans="1:12" ht="15.75" customHeight="1">
      <c r="A64" s="56"/>
      <c r="B64" s="96" t="s">
        <v>48</v>
      </c>
      <c r="C64" s="20"/>
      <c r="D64" s="19"/>
      <c r="E64" s="19"/>
      <c r="F64" s="36"/>
      <c r="G64" s="23"/>
      <c r="H64" s="30"/>
      <c r="J64" s="25"/>
      <c r="K64" s="26"/>
      <c r="L64" s="27"/>
    </row>
    <row r="65" spans="1:12" ht="15" customHeight="1">
      <c r="A65" s="56">
        <v>15</v>
      </c>
      <c r="B65" s="77" t="s">
        <v>49</v>
      </c>
      <c r="C65" s="51" t="s">
        <v>119</v>
      </c>
      <c r="D65" s="50" t="s">
        <v>75</v>
      </c>
      <c r="E65" s="23">
        <v>0</v>
      </c>
      <c r="F65" s="47">
        <v>252.96</v>
      </c>
      <c r="G65" s="24">
        <v>758.88</v>
      </c>
      <c r="H65" s="30"/>
      <c r="J65" s="25"/>
      <c r="K65" s="26"/>
      <c r="L65" s="27"/>
    </row>
    <row r="66" spans="1:12" ht="15.75" hidden="1" customHeight="1">
      <c r="A66" s="36">
        <v>29</v>
      </c>
      <c r="B66" s="77" t="s">
        <v>50</v>
      </c>
      <c r="C66" s="51" t="s">
        <v>119</v>
      </c>
      <c r="D66" s="50" t="s">
        <v>75</v>
      </c>
      <c r="E66" s="23">
        <v>0</v>
      </c>
      <c r="F66" s="47">
        <v>86.74</v>
      </c>
      <c r="G66" s="24">
        <v>0</v>
      </c>
      <c r="H66" s="30"/>
      <c r="J66" s="25"/>
      <c r="K66" s="26"/>
      <c r="L66" s="27"/>
    </row>
    <row r="67" spans="1:12" ht="15.75" hidden="1" customHeight="1">
      <c r="A67" s="36">
        <v>8</v>
      </c>
      <c r="B67" s="77" t="s">
        <v>51</v>
      </c>
      <c r="C67" s="53" t="s">
        <v>120</v>
      </c>
      <c r="D67" s="50" t="s">
        <v>57</v>
      </c>
      <c r="E67" s="23">
        <v>13.47</v>
      </c>
      <c r="F67" s="47">
        <v>241.31</v>
      </c>
      <c r="G67" s="23">
        <v>0</v>
      </c>
      <c r="H67" s="30"/>
      <c r="J67" s="25"/>
      <c r="K67" s="26"/>
      <c r="L67" s="27"/>
    </row>
    <row r="68" spans="1:12" ht="15.75" hidden="1" customHeight="1">
      <c r="A68" s="36">
        <v>9</v>
      </c>
      <c r="B68" s="77" t="s">
        <v>52</v>
      </c>
      <c r="C68" s="51" t="s">
        <v>121</v>
      </c>
      <c r="D68" s="50"/>
      <c r="E68" s="23">
        <v>1.35</v>
      </c>
      <c r="F68" s="47">
        <v>187.91</v>
      </c>
      <c r="G68" s="23">
        <v>0</v>
      </c>
      <c r="H68" s="30"/>
      <c r="J68" s="25"/>
      <c r="K68" s="26"/>
      <c r="L68" s="27"/>
    </row>
    <row r="69" spans="1:12" ht="15.75" hidden="1" customHeight="1">
      <c r="A69" s="36">
        <v>10</v>
      </c>
      <c r="B69" s="77" t="s">
        <v>53</v>
      </c>
      <c r="C69" s="51" t="s">
        <v>87</v>
      </c>
      <c r="D69" s="50" t="s">
        <v>57</v>
      </c>
      <c r="E69" s="23">
        <v>0</v>
      </c>
      <c r="F69" s="47">
        <v>2359.7199999999998</v>
      </c>
      <c r="G69" s="23">
        <v>0</v>
      </c>
      <c r="H69" s="30"/>
      <c r="J69" s="25"/>
      <c r="K69" s="26"/>
      <c r="L69" s="27"/>
    </row>
    <row r="70" spans="1:12" ht="15.75" hidden="1" customHeight="1">
      <c r="A70" s="36">
        <v>11</v>
      </c>
      <c r="B70" s="69" t="s">
        <v>122</v>
      </c>
      <c r="C70" s="51" t="s">
        <v>34</v>
      </c>
      <c r="D70" s="50"/>
      <c r="E70" s="15">
        <v>0</v>
      </c>
      <c r="F70" s="47">
        <v>45.4</v>
      </c>
      <c r="G70" s="23">
        <v>0</v>
      </c>
      <c r="H70" s="30"/>
      <c r="J70" s="25"/>
      <c r="K70" s="26"/>
      <c r="L70" s="27"/>
    </row>
    <row r="71" spans="1:12" ht="15.75" hidden="1" customHeight="1">
      <c r="A71" s="36">
        <v>12</v>
      </c>
      <c r="B71" s="69" t="s">
        <v>123</v>
      </c>
      <c r="C71" s="51" t="s">
        <v>34</v>
      </c>
      <c r="D71" s="50"/>
      <c r="E71" s="15"/>
      <c r="F71" s="47">
        <v>42.35</v>
      </c>
      <c r="G71" s="23">
        <v>0</v>
      </c>
      <c r="H71" s="30"/>
      <c r="J71" s="25"/>
      <c r="K71" s="26"/>
      <c r="L71" s="27"/>
    </row>
    <row r="72" spans="1:12" ht="15.75" hidden="1" customHeight="1">
      <c r="A72" s="36">
        <v>13</v>
      </c>
      <c r="B72" s="50" t="s">
        <v>62</v>
      </c>
      <c r="C72" s="51" t="s">
        <v>63</v>
      </c>
      <c r="D72" s="50" t="s">
        <v>57</v>
      </c>
      <c r="E72" s="15"/>
      <c r="F72" s="47">
        <v>56.74</v>
      </c>
      <c r="G72" s="23">
        <v>0</v>
      </c>
      <c r="H72" s="30"/>
      <c r="J72" s="25"/>
      <c r="K72" s="26"/>
      <c r="L72" s="27"/>
    </row>
    <row r="73" spans="1:12" ht="15.75" customHeight="1">
      <c r="A73" s="36">
        <v>16</v>
      </c>
      <c r="B73" s="50" t="s">
        <v>162</v>
      </c>
      <c r="C73" s="51" t="s">
        <v>63</v>
      </c>
      <c r="D73" s="50" t="s">
        <v>31</v>
      </c>
      <c r="E73" s="15"/>
      <c r="F73" s="47">
        <v>756.5</v>
      </c>
      <c r="G73" s="23">
        <v>756.5</v>
      </c>
      <c r="H73" s="30"/>
      <c r="J73" s="25"/>
      <c r="K73" s="26"/>
      <c r="L73" s="27"/>
    </row>
    <row r="74" spans="1:12" ht="15.75" hidden="1" customHeight="1">
      <c r="A74" s="68"/>
      <c r="B74" s="96" t="s">
        <v>113</v>
      </c>
      <c r="C74" s="96"/>
      <c r="D74" s="96"/>
      <c r="E74" s="96"/>
      <c r="F74" s="96"/>
      <c r="G74" s="23"/>
      <c r="H74" s="30"/>
      <c r="J74" s="25"/>
      <c r="K74" s="26"/>
      <c r="L74" s="27"/>
    </row>
    <row r="75" spans="1:12" ht="16.5" hidden="1" customHeight="1">
      <c r="A75" s="36">
        <v>36</v>
      </c>
      <c r="B75" s="80" t="s">
        <v>124</v>
      </c>
      <c r="C75" s="82"/>
      <c r="D75" s="83" t="s">
        <v>57</v>
      </c>
      <c r="E75" s="81">
        <v>0</v>
      </c>
      <c r="F75" s="49">
        <v>21095</v>
      </c>
      <c r="G75" s="23">
        <v>0</v>
      </c>
      <c r="H75" s="30"/>
      <c r="J75" s="25"/>
      <c r="K75" s="26"/>
      <c r="L75" s="27"/>
    </row>
    <row r="76" spans="1:12" ht="15" customHeight="1">
      <c r="A76" s="36"/>
      <c r="B76" s="64" t="s">
        <v>82</v>
      </c>
      <c r="C76" s="64"/>
      <c r="D76" s="64"/>
      <c r="E76" s="23"/>
      <c r="F76" s="36"/>
      <c r="G76" s="23"/>
      <c r="H76" s="30"/>
      <c r="J76" s="25"/>
      <c r="K76" s="26"/>
      <c r="L76" s="27"/>
    </row>
    <row r="77" spans="1:12" ht="15" hidden="1" customHeight="1">
      <c r="A77" s="36"/>
      <c r="B77" s="50" t="s">
        <v>163</v>
      </c>
      <c r="C77" s="51" t="s">
        <v>32</v>
      </c>
      <c r="D77" s="50" t="s">
        <v>75</v>
      </c>
      <c r="E77" s="23"/>
      <c r="F77" s="47">
        <v>892.5</v>
      </c>
      <c r="G77" s="23">
        <v>0</v>
      </c>
      <c r="H77" s="30"/>
      <c r="J77" s="25"/>
      <c r="K77" s="26"/>
      <c r="L77" s="27"/>
    </row>
    <row r="78" spans="1:12" ht="15" hidden="1" customHeight="1">
      <c r="A78" s="36"/>
      <c r="B78" s="50" t="s">
        <v>146</v>
      </c>
      <c r="C78" s="51" t="s">
        <v>164</v>
      </c>
      <c r="D78" s="50" t="s">
        <v>75</v>
      </c>
      <c r="E78" s="23"/>
      <c r="F78" s="47">
        <v>750</v>
      </c>
      <c r="G78" s="23">
        <v>0</v>
      </c>
      <c r="H78" s="30"/>
      <c r="J78" s="25"/>
      <c r="K78" s="26"/>
      <c r="L78" s="27"/>
    </row>
    <row r="79" spans="1:12" ht="15" hidden="1" customHeight="1">
      <c r="A79" s="36"/>
      <c r="B79" s="50" t="s">
        <v>83</v>
      </c>
      <c r="C79" s="51" t="s">
        <v>85</v>
      </c>
      <c r="D79" s="50" t="s">
        <v>75</v>
      </c>
      <c r="E79" s="23"/>
      <c r="F79" s="47">
        <v>570.54</v>
      </c>
      <c r="G79" s="23">
        <v>0</v>
      </c>
      <c r="H79" s="30"/>
      <c r="J79" s="25"/>
      <c r="K79" s="26"/>
      <c r="L79" s="27"/>
    </row>
    <row r="80" spans="1:12" ht="15" hidden="1" customHeight="1">
      <c r="A80" s="36"/>
      <c r="B80" s="50" t="s">
        <v>84</v>
      </c>
      <c r="C80" s="51" t="s">
        <v>32</v>
      </c>
      <c r="D80" s="50" t="s">
        <v>75</v>
      </c>
      <c r="E80" s="23"/>
      <c r="F80" s="47">
        <v>970.21</v>
      </c>
      <c r="G80" s="23">
        <v>0</v>
      </c>
      <c r="H80" s="30"/>
      <c r="J80" s="25"/>
      <c r="K80" s="26"/>
      <c r="L80" s="27"/>
    </row>
    <row r="81" spans="1:10" ht="15.75" customHeight="1">
      <c r="A81" s="36">
        <v>17</v>
      </c>
      <c r="B81" s="50" t="s">
        <v>165</v>
      </c>
      <c r="C81" s="51" t="s">
        <v>119</v>
      </c>
      <c r="D81" s="50" t="s">
        <v>75</v>
      </c>
      <c r="E81" s="23"/>
      <c r="F81" s="47">
        <v>407.79</v>
      </c>
      <c r="G81" s="23">
        <v>815.58</v>
      </c>
      <c r="H81" s="30"/>
      <c r="J81" s="25"/>
    </row>
    <row r="82" spans="1:10" ht="15" hidden="1" customHeight="1">
      <c r="A82" s="36"/>
      <c r="B82" s="65" t="s">
        <v>86</v>
      </c>
      <c r="C82" s="51"/>
      <c r="D82" s="36"/>
      <c r="E82" s="23"/>
      <c r="F82" s="47"/>
      <c r="G82" s="23"/>
    </row>
    <row r="83" spans="1:10" ht="15" hidden="1" customHeight="1">
      <c r="A83" s="36">
        <v>39</v>
      </c>
      <c r="B83" s="52" t="s">
        <v>128</v>
      </c>
      <c r="C83" s="53" t="s">
        <v>87</v>
      </c>
      <c r="D83" s="77"/>
      <c r="E83" s="23"/>
      <c r="F83" s="48">
        <v>3138.65</v>
      </c>
      <c r="G83" s="23">
        <v>0</v>
      </c>
    </row>
    <row r="84" spans="1:10" ht="15" customHeight="1">
      <c r="A84" s="36"/>
      <c r="B84" s="97" t="s">
        <v>132</v>
      </c>
      <c r="C84" s="84"/>
      <c r="D84" s="38"/>
      <c r="E84" s="23"/>
      <c r="F84" s="48"/>
      <c r="G84" s="23"/>
    </row>
    <row r="85" spans="1:10" ht="31.5" hidden="1" customHeight="1">
      <c r="A85" s="36"/>
      <c r="B85" s="103" t="s">
        <v>166</v>
      </c>
      <c r="C85" s="53" t="s">
        <v>167</v>
      </c>
      <c r="D85" s="50" t="s">
        <v>75</v>
      </c>
      <c r="E85" s="23"/>
      <c r="F85" s="48">
        <v>271.88</v>
      </c>
      <c r="G85" s="23">
        <v>0</v>
      </c>
    </row>
    <row r="86" spans="1:10" ht="15" hidden="1" customHeight="1">
      <c r="A86" s="36"/>
      <c r="B86" s="103" t="s">
        <v>133</v>
      </c>
      <c r="C86" s="53" t="s">
        <v>94</v>
      </c>
      <c r="D86" s="50" t="s">
        <v>75</v>
      </c>
      <c r="E86" s="23"/>
      <c r="F86" s="48">
        <v>111.84</v>
      </c>
      <c r="G86" s="23">
        <v>0</v>
      </c>
    </row>
    <row r="87" spans="1:10" ht="15" hidden="1" customHeight="1">
      <c r="A87" s="36"/>
      <c r="B87" s="103" t="s">
        <v>168</v>
      </c>
      <c r="C87" s="53" t="s">
        <v>169</v>
      </c>
      <c r="D87" s="50" t="s">
        <v>75</v>
      </c>
      <c r="E87" s="23"/>
      <c r="F87" s="48">
        <v>972.09</v>
      </c>
      <c r="G87" s="23">
        <v>0</v>
      </c>
    </row>
    <row r="88" spans="1:10" ht="15.75" hidden="1" customHeight="1">
      <c r="A88" s="36"/>
      <c r="B88" s="103" t="s">
        <v>170</v>
      </c>
      <c r="C88" s="53" t="s">
        <v>56</v>
      </c>
      <c r="D88" s="50" t="s">
        <v>75</v>
      </c>
      <c r="E88" s="23"/>
      <c r="F88" s="48">
        <v>1829.52</v>
      </c>
      <c r="G88" s="23">
        <v>0</v>
      </c>
    </row>
    <row r="89" spans="1:10" ht="31.5" customHeight="1">
      <c r="A89" s="36">
        <v>18</v>
      </c>
      <c r="B89" s="103" t="s">
        <v>171</v>
      </c>
      <c r="C89" s="53" t="s">
        <v>172</v>
      </c>
      <c r="D89" s="50" t="s">
        <v>75</v>
      </c>
      <c r="E89" s="23"/>
      <c r="F89" s="48">
        <v>272.39</v>
      </c>
      <c r="G89" s="23">
        <v>108.96</v>
      </c>
    </row>
    <row r="90" spans="1:10" ht="31.5" hidden="1" customHeight="1">
      <c r="A90" s="36"/>
      <c r="B90" s="103" t="s">
        <v>173</v>
      </c>
      <c r="C90" s="53" t="s">
        <v>94</v>
      </c>
      <c r="D90" s="50" t="s">
        <v>75</v>
      </c>
      <c r="E90" s="23"/>
      <c r="F90" s="48">
        <v>1430.02</v>
      </c>
      <c r="G90" s="23">
        <v>0</v>
      </c>
    </row>
    <row r="91" spans="1:10" ht="31.5" hidden="1" customHeight="1">
      <c r="A91" s="36"/>
      <c r="B91" s="103" t="s">
        <v>174</v>
      </c>
      <c r="C91" s="53" t="s">
        <v>94</v>
      </c>
      <c r="D91" s="50" t="s">
        <v>75</v>
      </c>
      <c r="E91" s="23"/>
      <c r="F91" s="48">
        <v>1743.04</v>
      </c>
      <c r="G91" s="23">
        <v>0</v>
      </c>
    </row>
    <row r="92" spans="1:10" ht="31.5" hidden="1" customHeight="1">
      <c r="A92" s="36"/>
      <c r="B92" s="103" t="s">
        <v>175</v>
      </c>
      <c r="C92" s="53" t="s">
        <v>94</v>
      </c>
      <c r="D92" s="50" t="s">
        <v>75</v>
      </c>
      <c r="E92" s="23"/>
      <c r="F92" s="48">
        <v>607.27</v>
      </c>
      <c r="G92" s="23">
        <v>0</v>
      </c>
    </row>
    <row r="93" spans="1:10" ht="31.5" hidden="1" customHeight="1">
      <c r="A93" s="36"/>
      <c r="B93" s="103" t="s">
        <v>176</v>
      </c>
      <c r="C93" s="53" t="s">
        <v>94</v>
      </c>
      <c r="D93" s="50" t="s">
        <v>75</v>
      </c>
      <c r="E93" s="23"/>
      <c r="F93" s="48">
        <v>711.93</v>
      </c>
      <c r="G93" s="23">
        <v>0</v>
      </c>
    </row>
    <row r="94" spans="1:10" ht="15.75" hidden="1" customHeight="1">
      <c r="A94" s="36"/>
      <c r="B94" s="103" t="s">
        <v>134</v>
      </c>
      <c r="C94" s="53" t="s">
        <v>32</v>
      </c>
      <c r="D94" s="50" t="s">
        <v>75</v>
      </c>
      <c r="E94" s="23"/>
      <c r="F94" s="48">
        <v>455.31</v>
      </c>
      <c r="G94" s="23">
        <v>0</v>
      </c>
    </row>
    <row r="95" spans="1:10" ht="31.5" hidden="1" customHeight="1">
      <c r="A95" s="36"/>
      <c r="B95" s="103" t="s">
        <v>177</v>
      </c>
      <c r="C95" s="53" t="s">
        <v>94</v>
      </c>
      <c r="D95" s="50" t="s">
        <v>75</v>
      </c>
      <c r="E95" s="23"/>
      <c r="F95" s="48">
        <v>1155.7</v>
      </c>
      <c r="G95" s="23">
        <v>0</v>
      </c>
    </row>
    <row r="96" spans="1:10" ht="31.5" hidden="1" customHeight="1">
      <c r="A96" s="36"/>
      <c r="B96" s="103" t="s">
        <v>178</v>
      </c>
      <c r="C96" s="53" t="s">
        <v>30</v>
      </c>
      <c r="D96" s="77" t="s">
        <v>44</v>
      </c>
      <c r="E96" s="23"/>
      <c r="F96" s="48">
        <v>1560.98</v>
      </c>
      <c r="G96" s="23">
        <v>0</v>
      </c>
    </row>
    <row r="97" spans="1:20" ht="31.5" hidden="1" customHeight="1">
      <c r="A97" s="36"/>
      <c r="B97" s="103" t="s">
        <v>179</v>
      </c>
      <c r="C97" s="104" t="s">
        <v>181</v>
      </c>
      <c r="D97" s="50" t="s">
        <v>75</v>
      </c>
      <c r="E97" s="23"/>
      <c r="F97" s="48">
        <v>12859.93</v>
      </c>
      <c r="G97" s="23">
        <v>0</v>
      </c>
    </row>
    <row r="98" spans="1:20" ht="15.75" hidden="1" customHeight="1">
      <c r="A98" s="36"/>
      <c r="B98" s="103" t="s">
        <v>180</v>
      </c>
      <c r="C98" s="53" t="s">
        <v>30</v>
      </c>
      <c r="D98" s="77" t="s">
        <v>44</v>
      </c>
      <c r="E98" s="23"/>
      <c r="F98" s="48">
        <v>1453.29</v>
      </c>
      <c r="G98" s="23">
        <v>0</v>
      </c>
    </row>
    <row r="99" spans="1:20" ht="15.75" customHeight="1">
      <c r="A99" s="160" t="s">
        <v>199</v>
      </c>
      <c r="B99" s="161"/>
      <c r="C99" s="161"/>
      <c r="D99" s="161"/>
      <c r="E99" s="161"/>
      <c r="F99" s="161"/>
      <c r="G99" s="16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9"/>
    </row>
    <row r="100" spans="1:20" ht="15.75" customHeight="1">
      <c r="A100" s="36">
        <v>19</v>
      </c>
      <c r="B100" s="41" t="s">
        <v>125</v>
      </c>
      <c r="C100" s="51" t="s">
        <v>58</v>
      </c>
      <c r="D100" s="114" t="s">
        <v>59</v>
      </c>
      <c r="E100" s="19">
        <v>327.9</v>
      </c>
      <c r="F100" s="47">
        <v>2.7</v>
      </c>
      <c r="G100" s="16">
        <v>9329.31</v>
      </c>
      <c r="H100" s="32"/>
      <c r="I100" s="32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20" ht="31.5" customHeight="1">
      <c r="A101" s="36">
        <v>20</v>
      </c>
      <c r="B101" s="50" t="s">
        <v>88</v>
      </c>
      <c r="C101" s="51"/>
      <c r="D101" s="114" t="s">
        <v>59</v>
      </c>
      <c r="E101" s="19"/>
      <c r="F101" s="47">
        <v>3.05</v>
      </c>
      <c r="G101" s="16">
        <v>10538.67</v>
      </c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</row>
    <row r="102" spans="1:20" ht="15.75" customHeight="1">
      <c r="A102" s="68"/>
      <c r="B102" s="54" t="s">
        <v>92</v>
      </c>
      <c r="C102" s="56"/>
      <c r="D102" s="19"/>
      <c r="E102" s="19"/>
      <c r="F102" s="23"/>
      <c r="G102" s="39">
        <f>SUM(G16+G17+G18+G27+G28+G39+G40+G42+G43+G44+G45+G60+G63+G65+G73+G81+G89+G100+G101)</f>
        <v>59378.499999999985</v>
      </c>
      <c r="H102" s="5"/>
      <c r="I102" s="5"/>
      <c r="J102" s="5"/>
      <c r="K102" s="5"/>
      <c r="L102" s="5"/>
      <c r="M102" s="5"/>
      <c r="N102" s="5"/>
      <c r="O102" s="5"/>
      <c r="P102" s="150"/>
      <c r="Q102" s="150"/>
      <c r="R102" s="150"/>
      <c r="S102" s="150"/>
    </row>
    <row r="103" spans="1:20" ht="15.75" customHeight="1">
      <c r="A103" s="68"/>
      <c r="B103" s="75" t="s">
        <v>65</v>
      </c>
      <c r="C103" s="75"/>
      <c r="D103" s="75"/>
      <c r="E103" s="75"/>
      <c r="F103" s="75"/>
      <c r="G103" s="7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20" ht="15.75" customHeight="1">
      <c r="A104" s="36">
        <v>21</v>
      </c>
      <c r="B104" s="76" t="s">
        <v>97</v>
      </c>
      <c r="C104" s="91" t="s">
        <v>119</v>
      </c>
      <c r="D104" s="75"/>
      <c r="E104" s="19"/>
      <c r="F104" s="16">
        <v>180.15</v>
      </c>
      <c r="G104" s="16">
        <v>540.45000000000005</v>
      </c>
    </row>
    <row r="105" spans="1:20" ht="31.5" customHeight="1">
      <c r="A105" s="36">
        <v>22</v>
      </c>
      <c r="B105" s="79" t="s">
        <v>182</v>
      </c>
      <c r="C105" s="105" t="s">
        <v>119</v>
      </c>
      <c r="D105" s="75"/>
      <c r="E105" s="19"/>
      <c r="F105" s="47">
        <v>244.79</v>
      </c>
      <c r="G105" s="16">
        <v>244.79</v>
      </c>
    </row>
    <row r="106" spans="1:20" ht="15.75" customHeight="1">
      <c r="A106" s="106">
        <v>23</v>
      </c>
      <c r="B106" s="78" t="s">
        <v>147</v>
      </c>
      <c r="C106" s="51" t="s">
        <v>183</v>
      </c>
      <c r="D106" s="75"/>
      <c r="E106" s="19"/>
      <c r="F106" s="47">
        <v>1501</v>
      </c>
      <c r="G106" s="16">
        <v>750.5</v>
      </c>
    </row>
    <row r="107" spans="1:20" ht="15.75" customHeight="1">
      <c r="A107" s="36"/>
      <c r="B107" s="61" t="s">
        <v>54</v>
      </c>
      <c r="C107" s="57"/>
      <c r="D107" s="70"/>
      <c r="E107" s="57">
        <v>1</v>
      </c>
      <c r="F107" s="57"/>
      <c r="G107" s="39">
        <f>SUM(G104:G106)</f>
        <v>1535.74</v>
      </c>
    </row>
    <row r="108" spans="1:20" ht="15.75" customHeight="1">
      <c r="A108" s="36"/>
      <c r="B108" s="67" t="s">
        <v>89</v>
      </c>
      <c r="C108" s="19"/>
      <c r="D108" s="19"/>
      <c r="E108" s="58"/>
      <c r="F108" s="59"/>
      <c r="G108" s="22">
        <v>0</v>
      </c>
    </row>
    <row r="109" spans="1:20" ht="15" customHeight="1">
      <c r="A109" s="71"/>
      <c r="B109" s="62" t="s">
        <v>55</v>
      </c>
      <c r="C109" s="45"/>
      <c r="D109" s="45"/>
      <c r="E109" s="45"/>
      <c r="F109" s="45"/>
      <c r="G109" s="60">
        <f>G102+G107</f>
        <v>60914.239999999983</v>
      </c>
    </row>
    <row r="110" spans="1:20" ht="15.75" customHeight="1">
      <c r="A110" s="163" t="s">
        <v>188</v>
      </c>
      <c r="B110" s="163"/>
      <c r="C110" s="163"/>
      <c r="D110" s="163"/>
      <c r="E110" s="163"/>
      <c r="F110" s="163"/>
      <c r="G110" s="163"/>
    </row>
    <row r="111" spans="1:20" ht="15.75">
      <c r="A111" s="90"/>
      <c r="B111" s="152" t="s">
        <v>189</v>
      </c>
      <c r="C111" s="152"/>
      <c r="D111" s="152"/>
      <c r="E111" s="152"/>
      <c r="F111" s="152"/>
      <c r="G111" s="3"/>
    </row>
    <row r="112" spans="1:20" ht="15.75" customHeight="1">
      <c r="A112" s="89"/>
      <c r="B112" s="148" t="s">
        <v>6</v>
      </c>
      <c r="C112" s="148"/>
      <c r="D112" s="148"/>
      <c r="E112" s="148"/>
      <c r="F112" s="148"/>
      <c r="G112" s="5"/>
    </row>
    <row r="113" spans="1:7" ht="15.75" customHeight="1">
      <c r="A113" s="10"/>
      <c r="B113" s="10"/>
      <c r="C113" s="10"/>
      <c r="D113" s="10"/>
      <c r="E113" s="10"/>
      <c r="F113" s="10"/>
      <c r="G113" s="10"/>
    </row>
    <row r="114" spans="1:7" ht="15.75" customHeight="1">
      <c r="A114" s="153" t="s">
        <v>7</v>
      </c>
      <c r="B114" s="153"/>
      <c r="C114" s="153"/>
      <c r="D114" s="153"/>
      <c r="E114" s="153"/>
      <c r="F114" s="153"/>
      <c r="G114" s="153"/>
    </row>
    <row r="115" spans="1:7" ht="15.75">
      <c r="A115" s="153" t="s">
        <v>8</v>
      </c>
      <c r="B115" s="153"/>
      <c r="C115" s="153"/>
      <c r="D115" s="153"/>
      <c r="E115" s="153"/>
      <c r="F115" s="153"/>
      <c r="G115" s="153"/>
    </row>
    <row r="116" spans="1:7" ht="15.75">
      <c r="A116" s="154" t="s">
        <v>66</v>
      </c>
      <c r="B116" s="154"/>
      <c r="C116" s="154"/>
      <c r="D116" s="154"/>
      <c r="E116" s="154"/>
      <c r="F116" s="154"/>
      <c r="G116" s="154"/>
    </row>
    <row r="117" spans="1:7" ht="15.75" customHeight="1">
      <c r="A117" s="11"/>
    </row>
    <row r="118" spans="1:7" ht="15.75" customHeight="1">
      <c r="A118" s="155" t="s">
        <v>9</v>
      </c>
      <c r="B118" s="155"/>
      <c r="C118" s="155"/>
      <c r="D118" s="155"/>
      <c r="E118" s="155"/>
      <c r="F118" s="155"/>
      <c r="G118" s="155"/>
    </row>
    <row r="119" spans="1:7" ht="15.75">
      <c r="A119" s="4"/>
    </row>
    <row r="120" spans="1:7" ht="16.5" customHeight="1">
      <c r="B120" s="86" t="s">
        <v>10</v>
      </c>
      <c r="C120" s="147" t="s">
        <v>192</v>
      </c>
      <c r="D120" s="147"/>
      <c r="E120" s="147"/>
      <c r="G120" s="88"/>
    </row>
    <row r="121" spans="1:7" ht="16.5" customHeight="1">
      <c r="A121" s="89"/>
      <c r="C121" s="148" t="s">
        <v>11</v>
      </c>
      <c r="D121" s="148"/>
      <c r="E121" s="148"/>
      <c r="G121" s="87" t="s">
        <v>12</v>
      </c>
    </row>
    <row r="122" spans="1:7" ht="15.75" customHeight="1">
      <c r="A122" s="32"/>
      <c r="C122" s="12"/>
      <c r="D122" s="12"/>
      <c r="F122" s="12"/>
    </row>
    <row r="123" spans="1:7" ht="15.75" customHeight="1">
      <c r="B123" s="86" t="s">
        <v>13</v>
      </c>
      <c r="C123" s="149"/>
      <c r="D123" s="149"/>
      <c r="E123" s="149"/>
      <c r="G123" s="88"/>
    </row>
    <row r="124" spans="1:7">
      <c r="A124" s="89"/>
      <c r="C124" s="150" t="s">
        <v>11</v>
      </c>
      <c r="D124" s="150"/>
      <c r="E124" s="150"/>
      <c r="G124" s="87" t="s">
        <v>12</v>
      </c>
    </row>
    <row r="125" spans="1:7" ht="15.75">
      <c r="A125" s="4" t="s">
        <v>14</v>
      </c>
    </row>
    <row r="126" spans="1:7">
      <c r="A126" s="151" t="s">
        <v>15</v>
      </c>
      <c r="B126" s="151"/>
      <c r="C126" s="151"/>
      <c r="D126" s="151"/>
      <c r="E126" s="151"/>
      <c r="F126" s="151"/>
      <c r="G126" s="151"/>
    </row>
    <row r="127" spans="1:7" ht="45" customHeight="1">
      <c r="A127" s="146" t="s">
        <v>16</v>
      </c>
      <c r="B127" s="146"/>
      <c r="C127" s="146"/>
      <c r="D127" s="146"/>
      <c r="E127" s="146"/>
      <c r="F127" s="146"/>
      <c r="G127" s="146"/>
    </row>
    <row r="128" spans="1:7" ht="30" customHeight="1">
      <c r="A128" s="146" t="s">
        <v>17</v>
      </c>
      <c r="B128" s="146"/>
      <c r="C128" s="146"/>
      <c r="D128" s="146"/>
      <c r="E128" s="146"/>
      <c r="F128" s="146"/>
      <c r="G128" s="146"/>
    </row>
    <row r="129" spans="1:7" ht="30" customHeight="1">
      <c r="A129" s="146" t="s">
        <v>21</v>
      </c>
      <c r="B129" s="146"/>
      <c r="C129" s="146"/>
      <c r="D129" s="146"/>
      <c r="E129" s="146"/>
      <c r="F129" s="146"/>
      <c r="G129" s="146"/>
    </row>
    <row r="130" spans="1:7" ht="15" customHeight="1">
      <c r="A130" s="146" t="s">
        <v>20</v>
      </c>
      <c r="B130" s="146"/>
      <c r="C130" s="146"/>
      <c r="D130" s="146"/>
      <c r="E130" s="146"/>
      <c r="F130" s="146"/>
      <c r="G130" s="146"/>
    </row>
  </sheetData>
  <autoFilter ref="G12:G82"/>
  <mergeCells count="28">
    <mergeCell ref="A130:G130"/>
    <mergeCell ref="C120:E120"/>
    <mergeCell ref="C121:E121"/>
    <mergeCell ref="C124:E124"/>
    <mergeCell ref="A126:G126"/>
    <mergeCell ref="A127:G127"/>
    <mergeCell ref="A14:G14"/>
    <mergeCell ref="A15:G15"/>
    <mergeCell ref="A118:G118"/>
    <mergeCell ref="C123:E123"/>
    <mergeCell ref="A129:G129"/>
    <mergeCell ref="A128:G128"/>
    <mergeCell ref="A110:G110"/>
    <mergeCell ref="B111:F111"/>
    <mergeCell ref="B112:F112"/>
    <mergeCell ref="A114:G114"/>
    <mergeCell ref="A115:G115"/>
    <mergeCell ref="A3:G3"/>
    <mergeCell ref="A4:G4"/>
    <mergeCell ref="A8:G8"/>
    <mergeCell ref="A10:G10"/>
    <mergeCell ref="A5:G5"/>
    <mergeCell ref="P102:S102"/>
    <mergeCell ref="A29:G29"/>
    <mergeCell ref="A46:G46"/>
    <mergeCell ref="A58:G58"/>
    <mergeCell ref="A116:G116"/>
    <mergeCell ref="A99:G9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8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4" t="s">
        <v>104</v>
      </c>
      <c r="G1" s="33"/>
    </row>
    <row r="2" spans="1:7" ht="15.75">
      <c r="A2" s="35" t="s">
        <v>70</v>
      </c>
    </row>
    <row r="3" spans="1:7" ht="15.75">
      <c r="A3" s="164" t="s">
        <v>148</v>
      </c>
      <c r="B3" s="164"/>
      <c r="C3" s="164"/>
      <c r="D3" s="164"/>
      <c r="E3" s="164"/>
      <c r="F3" s="164"/>
      <c r="G3" s="164"/>
    </row>
    <row r="4" spans="1:7" ht="31.5" customHeight="1">
      <c r="A4" s="165" t="s">
        <v>184</v>
      </c>
      <c r="B4" s="165"/>
      <c r="C4" s="165"/>
      <c r="D4" s="165"/>
      <c r="E4" s="165"/>
      <c r="F4" s="165"/>
      <c r="G4" s="165"/>
    </row>
    <row r="5" spans="1:7" ht="15.75">
      <c r="A5" s="164" t="s">
        <v>126</v>
      </c>
      <c r="B5" s="166"/>
      <c r="C5" s="166"/>
      <c r="D5" s="166"/>
      <c r="E5" s="166"/>
      <c r="F5" s="166"/>
      <c r="G5" s="166"/>
    </row>
    <row r="6" spans="1:7" ht="15.75">
      <c r="A6" s="2"/>
      <c r="B6" s="73"/>
      <c r="C6" s="73"/>
      <c r="D6" s="73"/>
      <c r="E6" s="73"/>
      <c r="F6" s="73"/>
      <c r="G6" s="37">
        <v>42735</v>
      </c>
    </row>
    <row r="7" spans="1:7" ht="15.75">
      <c r="B7" s="72"/>
      <c r="C7" s="72"/>
      <c r="D7" s="72"/>
      <c r="E7" s="3"/>
      <c r="F7" s="3"/>
    </row>
    <row r="8" spans="1:7" ht="78.75" customHeight="1">
      <c r="A8" s="167" t="s">
        <v>193</v>
      </c>
      <c r="B8" s="167"/>
      <c r="C8" s="167"/>
      <c r="D8" s="167"/>
      <c r="E8" s="167"/>
      <c r="F8" s="167"/>
      <c r="G8" s="167"/>
    </row>
    <row r="9" spans="1:7" ht="15.75">
      <c r="A9" s="4"/>
    </row>
    <row r="10" spans="1:7" ht="47.25" customHeight="1">
      <c r="A10" s="168" t="s">
        <v>194</v>
      </c>
      <c r="B10" s="168"/>
      <c r="C10" s="168"/>
      <c r="D10" s="168"/>
      <c r="E10" s="168"/>
      <c r="F10" s="168"/>
      <c r="G10" s="168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 ht="15" customHeight="1">
      <c r="A14" s="169" t="s">
        <v>64</v>
      </c>
      <c r="B14" s="169"/>
      <c r="C14" s="169"/>
      <c r="D14" s="169"/>
      <c r="E14" s="169"/>
      <c r="F14" s="169"/>
      <c r="G14" s="169"/>
    </row>
    <row r="15" spans="1:7" ht="15" customHeight="1">
      <c r="A15" s="156" t="s">
        <v>4</v>
      </c>
      <c r="B15" s="156"/>
      <c r="C15" s="156"/>
      <c r="D15" s="156"/>
      <c r="E15" s="156"/>
      <c r="F15" s="156"/>
      <c r="G15" s="156"/>
    </row>
    <row r="16" spans="1:7" ht="15.75" customHeight="1">
      <c r="A16" s="36">
        <v>1</v>
      </c>
      <c r="B16" s="41" t="s">
        <v>135</v>
      </c>
      <c r="C16" s="55" t="s">
        <v>107</v>
      </c>
      <c r="D16" s="41" t="s">
        <v>185</v>
      </c>
      <c r="E16" s="96"/>
      <c r="F16" s="40">
        <v>199.46</v>
      </c>
      <c r="G16" s="85">
        <v>1833.24</v>
      </c>
    </row>
    <row r="17" spans="1:7" ht="15.75" customHeight="1">
      <c r="A17" s="36">
        <v>2</v>
      </c>
      <c r="B17" s="41" t="s">
        <v>149</v>
      </c>
      <c r="C17" s="55" t="s">
        <v>107</v>
      </c>
      <c r="D17" s="41" t="s">
        <v>186</v>
      </c>
      <c r="E17" s="96"/>
      <c r="F17" s="40">
        <v>199.46</v>
      </c>
      <c r="G17" s="85">
        <v>4888.63</v>
      </c>
    </row>
    <row r="18" spans="1:7" ht="15.75" customHeight="1">
      <c r="A18" s="36">
        <v>3</v>
      </c>
      <c r="B18" s="41" t="s">
        <v>150</v>
      </c>
      <c r="C18" s="55" t="s">
        <v>107</v>
      </c>
      <c r="D18" s="41" t="s">
        <v>187</v>
      </c>
      <c r="E18" s="96"/>
      <c r="F18" s="40">
        <v>573.83000000000004</v>
      </c>
      <c r="G18" s="85">
        <v>4056.98</v>
      </c>
    </row>
    <row r="19" spans="1:7" ht="15.75" hidden="1" customHeight="1">
      <c r="A19" s="36"/>
      <c r="B19" s="41" t="s">
        <v>138</v>
      </c>
      <c r="C19" s="55" t="s">
        <v>139</v>
      </c>
      <c r="D19" s="41" t="s">
        <v>140</v>
      </c>
      <c r="E19" s="96"/>
      <c r="F19" s="40">
        <v>193.55</v>
      </c>
      <c r="G19" s="85">
        <v>0</v>
      </c>
    </row>
    <row r="20" spans="1:7" ht="15.75" hidden="1" customHeight="1">
      <c r="A20" s="36">
        <v>4</v>
      </c>
      <c r="B20" s="100" t="s">
        <v>141</v>
      </c>
      <c r="C20" s="101" t="s">
        <v>107</v>
      </c>
      <c r="D20" s="100" t="s">
        <v>44</v>
      </c>
      <c r="E20" s="96"/>
      <c r="F20" s="102">
        <v>247.82</v>
      </c>
      <c r="G20" s="85">
        <v>0</v>
      </c>
    </row>
    <row r="21" spans="1:7" ht="15.75" hidden="1" customHeight="1">
      <c r="A21" s="36">
        <v>5</v>
      </c>
      <c r="B21" s="100" t="s">
        <v>142</v>
      </c>
      <c r="C21" s="101" t="s">
        <v>107</v>
      </c>
      <c r="D21" s="100" t="s">
        <v>44</v>
      </c>
      <c r="E21" s="96"/>
      <c r="F21" s="40">
        <v>245.81</v>
      </c>
      <c r="G21" s="85">
        <v>0</v>
      </c>
    </row>
    <row r="22" spans="1:7" ht="15.75" hidden="1" customHeight="1">
      <c r="A22" s="36"/>
      <c r="B22" s="41" t="s">
        <v>143</v>
      </c>
      <c r="C22" s="55" t="s">
        <v>56</v>
      </c>
      <c r="D22" s="41" t="s">
        <v>140</v>
      </c>
      <c r="E22" s="96"/>
      <c r="F22" s="40">
        <v>306.26</v>
      </c>
      <c r="G22" s="85">
        <v>0</v>
      </c>
    </row>
    <row r="23" spans="1:7" ht="15.75" hidden="1" customHeight="1">
      <c r="A23" s="36"/>
      <c r="B23" s="41" t="s">
        <v>144</v>
      </c>
      <c r="C23" s="55" t="s">
        <v>56</v>
      </c>
      <c r="D23" s="41" t="s">
        <v>140</v>
      </c>
      <c r="E23" s="96"/>
      <c r="F23" s="40">
        <v>50.37</v>
      </c>
      <c r="G23" s="85">
        <v>0</v>
      </c>
    </row>
    <row r="24" spans="1:7" ht="15.75" hidden="1" customHeight="1">
      <c r="A24" s="36"/>
      <c r="B24" s="41" t="s">
        <v>145</v>
      </c>
      <c r="C24" s="55" t="s">
        <v>56</v>
      </c>
      <c r="D24" s="41" t="s">
        <v>151</v>
      </c>
      <c r="E24" s="96"/>
      <c r="F24" s="40">
        <v>443.27</v>
      </c>
      <c r="G24" s="85">
        <v>0</v>
      </c>
    </row>
    <row r="25" spans="1:7" ht="15.75" hidden="1" customHeight="1">
      <c r="A25" s="36"/>
      <c r="B25" s="41" t="s">
        <v>152</v>
      </c>
      <c r="C25" s="55" t="s">
        <v>107</v>
      </c>
      <c r="D25" s="41" t="s">
        <v>57</v>
      </c>
      <c r="E25" s="96"/>
      <c r="F25" s="40">
        <v>245.81</v>
      </c>
      <c r="G25" s="85">
        <v>0</v>
      </c>
    </row>
    <row r="26" spans="1:7" ht="15.75" hidden="1" customHeight="1">
      <c r="A26" s="36"/>
      <c r="B26" s="41" t="s">
        <v>153</v>
      </c>
      <c r="C26" s="55" t="s">
        <v>56</v>
      </c>
      <c r="D26" s="41" t="s">
        <v>140</v>
      </c>
      <c r="E26" s="96"/>
      <c r="F26" s="40">
        <v>592.37</v>
      </c>
      <c r="G26" s="85">
        <v>0</v>
      </c>
    </row>
    <row r="27" spans="1:7" ht="15.75" customHeight="1">
      <c r="A27" s="56">
        <v>4</v>
      </c>
      <c r="B27" s="50" t="s">
        <v>72</v>
      </c>
      <c r="C27" s="51" t="s">
        <v>34</v>
      </c>
      <c r="D27" s="50" t="s">
        <v>25</v>
      </c>
      <c r="E27" s="22">
        <v>506.1</v>
      </c>
      <c r="F27" s="40">
        <v>167.24</v>
      </c>
      <c r="G27" s="23">
        <v>508.69</v>
      </c>
    </row>
    <row r="28" spans="1:7" ht="15.75" customHeight="1">
      <c r="A28" s="56">
        <v>5</v>
      </c>
      <c r="B28" s="13" t="s">
        <v>23</v>
      </c>
      <c r="C28" s="14" t="s">
        <v>24</v>
      </c>
      <c r="D28" s="36"/>
      <c r="E28" s="22">
        <v>506.1</v>
      </c>
      <c r="F28" s="40">
        <v>5.58</v>
      </c>
      <c r="G28" s="23">
        <v>14852.29</v>
      </c>
    </row>
    <row r="29" spans="1:7" ht="15.75" customHeight="1">
      <c r="A29" s="156" t="s">
        <v>103</v>
      </c>
      <c r="B29" s="156"/>
      <c r="C29" s="156"/>
      <c r="D29" s="156"/>
      <c r="E29" s="156"/>
      <c r="F29" s="156"/>
      <c r="G29" s="156"/>
    </row>
    <row r="30" spans="1:7" ht="15.75" hidden="1" customHeight="1">
      <c r="A30" s="56"/>
      <c r="B30" s="66" t="s">
        <v>29</v>
      </c>
      <c r="C30" s="66"/>
      <c r="D30" s="66"/>
      <c r="E30" s="66"/>
      <c r="F30" s="66"/>
      <c r="G30" s="23"/>
    </row>
    <row r="31" spans="1:7" ht="31.5" hidden="1" customHeight="1">
      <c r="A31" s="56">
        <v>2</v>
      </c>
      <c r="B31" s="41" t="s">
        <v>116</v>
      </c>
      <c r="C31" s="55" t="s">
        <v>109</v>
      </c>
      <c r="D31" s="41" t="s">
        <v>155</v>
      </c>
      <c r="E31" s="17">
        <v>2.31</v>
      </c>
      <c r="F31" s="40">
        <v>177.3</v>
      </c>
      <c r="G31" s="16">
        <v>0</v>
      </c>
    </row>
    <row r="32" spans="1:7" ht="31.5" hidden="1" customHeight="1">
      <c r="A32" s="56">
        <v>3</v>
      </c>
      <c r="B32" s="41" t="s">
        <v>115</v>
      </c>
      <c r="C32" s="55" t="s">
        <v>109</v>
      </c>
      <c r="D32" s="41" t="s">
        <v>156</v>
      </c>
      <c r="E32" s="16">
        <f>0.0024*3*4.5</f>
        <v>3.2399999999999998E-2</v>
      </c>
      <c r="F32" s="40">
        <v>294.17</v>
      </c>
      <c r="G32" s="23">
        <v>0</v>
      </c>
    </row>
    <row r="33" spans="1:7" ht="15.75" hidden="1" customHeight="1">
      <c r="A33" s="56">
        <v>4</v>
      </c>
      <c r="B33" s="41" t="s">
        <v>28</v>
      </c>
      <c r="C33" s="55" t="s">
        <v>109</v>
      </c>
      <c r="D33" s="41" t="s">
        <v>57</v>
      </c>
      <c r="E33" s="21">
        <v>0</v>
      </c>
      <c r="F33" s="40">
        <v>3435.36</v>
      </c>
      <c r="G33" s="23">
        <v>0</v>
      </c>
    </row>
    <row r="34" spans="1:7" ht="15.75" hidden="1" customHeight="1">
      <c r="A34" s="56"/>
      <c r="B34" s="41" t="s">
        <v>157</v>
      </c>
      <c r="C34" s="55" t="s">
        <v>42</v>
      </c>
      <c r="D34" s="41" t="s">
        <v>71</v>
      </c>
      <c r="E34" s="21"/>
      <c r="F34" s="40">
        <v>1480.94</v>
      </c>
      <c r="G34" s="23">
        <v>0</v>
      </c>
    </row>
    <row r="35" spans="1:7" ht="15.75" hidden="1" customHeight="1">
      <c r="A35" s="56">
        <v>5</v>
      </c>
      <c r="B35" s="41" t="s">
        <v>114</v>
      </c>
      <c r="C35" s="55" t="s">
        <v>32</v>
      </c>
      <c r="D35" s="41" t="s">
        <v>71</v>
      </c>
      <c r="E35" s="21">
        <v>0</v>
      </c>
      <c r="F35" s="40">
        <v>64.48</v>
      </c>
      <c r="G35" s="23">
        <v>0</v>
      </c>
    </row>
    <row r="36" spans="1:7" ht="15.75" hidden="1" customHeight="1">
      <c r="A36" s="56">
        <v>4</v>
      </c>
      <c r="B36" s="41" t="s">
        <v>73</v>
      </c>
      <c r="C36" s="55" t="s">
        <v>34</v>
      </c>
      <c r="D36" s="41" t="s">
        <v>75</v>
      </c>
      <c r="E36" s="16">
        <v>3.75</v>
      </c>
      <c r="F36" s="40">
        <v>217.61</v>
      </c>
      <c r="G36" s="16">
        <v>0</v>
      </c>
    </row>
    <row r="37" spans="1:7" ht="15.75" hidden="1" customHeight="1">
      <c r="A37" s="36">
        <v>8</v>
      </c>
      <c r="B37" s="41" t="s">
        <v>74</v>
      </c>
      <c r="C37" s="55" t="s">
        <v>33</v>
      </c>
      <c r="D37" s="41" t="s">
        <v>75</v>
      </c>
      <c r="E37" s="16"/>
      <c r="F37" s="40">
        <v>1292.47</v>
      </c>
      <c r="G37" s="16">
        <v>0</v>
      </c>
    </row>
    <row r="38" spans="1:7" ht="15.75" customHeight="1">
      <c r="A38" s="56"/>
      <c r="B38" s="64" t="s">
        <v>5</v>
      </c>
      <c r="C38" s="64"/>
      <c r="D38" s="64"/>
      <c r="E38" s="16"/>
      <c r="F38" s="17"/>
      <c r="G38" s="23"/>
    </row>
    <row r="39" spans="1:7" ht="15.75" customHeight="1">
      <c r="A39" s="56"/>
      <c r="B39" s="43" t="s">
        <v>27</v>
      </c>
      <c r="C39" s="55" t="s">
        <v>33</v>
      </c>
      <c r="D39" s="41"/>
      <c r="E39" s="16"/>
      <c r="F39" s="40">
        <v>1737.08</v>
      </c>
      <c r="G39" s="23">
        <v>2316.11</v>
      </c>
    </row>
    <row r="40" spans="1:7" ht="15.75" customHeight="1">
      <c r="A40" s="42">
        <v>6</v>
      </c>
      <c r="B40" s="43" t="s">
        <v>76</v>
      </c>
      <c r="C40" s="74" t="s">
        <v>30</v>
      </c>
      <c r="D40" s="43" t="s">
        <v>129</v>
      </c>
      <c r="E40" s="16">
        <v>0</v>
      </c>
      <c r="F40" s="44">
        <v>2391.67</v>
      </c>
      <c r="G40" s="16">
        <v>2391.67</v>
      </c>
    </row>
    <row r="41" spans="1:7" ht="15.75" hidden="1" customHeight="1">
      <c r="A41" s="42"/>
      <c r="B41" s="41" t="s">
        <v>158</v>
      </c>
      <c r="C41" s="55" t="s">
        <v>58</v>
      </c>
      <c r="D41" s="41"/>
      <c r="E41" s="16"/>
      <c r="F41" s="40">
        <v>226.84</v>
      </c>
      <c r="G41" s="16">
        <v>0</v>
      </c>
    </row>
    <row r="42" spans="1:7" ht="15.75" customHeight="1">
      <c r="A42" s="42">
        <v>7</v>
      </c>
      <c r="B42" s="41" t="s">
        <v>77</v>
      </c>
      <c r="C42" s="55" t="s">
        <v>30</v>
      </c>
      <c r="D42" s="41" t="s">
        <v>108</v>
      </c>
      <c r="E42" s="16">
        <v>0</v>
      </c>
      <c r="F42" s="40">
        <v>398.95</v>
      </c>
      <c r="G42" s="16">
        <v>618.37</v>
      </c>
    </row>
    <row r="43" spans="1:7" ht="47.25" customHeight="1">
      <c r="A43" s="42">
        <v>8</v>
      </c>
      <c r="B43" s="41" t="s">
        <v>101</v>
      </c>
      <c r="C43" s="55" t="s">
        <v>109</v>
      </c>
      <c r="D43" s="41" t="s">
        <v>159</v>
      </c>
      <c r="E43" s="16">
        <v>0</v>
      </c>
      <c r="F43" s="40">
        <v>6600.74</v>
      </c>
      <c r="G43" s="16">
        <v>1574.83</v>
      </c>
    </row>
    <row r="44" spans="1:7" ht="15.75" customHeight="1">
      <c r="A44" s="42">
        <v>9</v>
      </c>
      <c r="B44" s="41" t="s">
        <v>110</v>
      </c>
      <c r="C44" s="55" t="s">
        <v>109</v>
      </c>
      <c r="D44" s="41" t="s">
        <v>78</v>
      </c>
      <c r="E44" s="16">
        <v>0</v>
      </c>
      <c r="F44" s="40">
        <v>487.61</v>
      </c>
      <c r="G44" s="16">
        <v>219.42</v>
      </c>
    </row>
    <row r="45" spans="1:7" ht="15.75" customHeight="1">
      <c r="A45" s="42">
        <v>10</v>
      </c>
      <c r="B45" s="43" t="s">
        <v>79</v>
      </c>
      <c r="C45" s="74" t="s">
        <v>34</v>
      </c>
      <c r="D45" s="43"/>
      <c r="E45" s="16">
        <v>0</v>
      </c>
      <c r="F45" s="44">
        <v>907.65</v>
      </c>
      <c r="G45" s="16">
        <v>136.15</v>
      </c>
    </row>
    <row r="46" spans="1:7" ht="15.75" customHeight="1">
      <c r="A46" s="157" t="s">
        <v>195</v>
      </c>
      <c r="B46" s="158"/>
      <c r="C46" s="158"/>
      <c r="D46" s="158"/>
      <c r="E46" s="158"/>
      <c r="F46" s="158"/>
      <c r="G46" s="159"/>
    </row>
    <row r="47" spans="1:7" ht="16.5" hidden="1" customHeight="1">
      <c r="A47" s="56">
        <v>15</v>
      </c>
      <c r="B47" s="41" t="s">
        <v>117</v>
      </c>
      <c r="C47" s="55" t="s">
        <v>109</v>
      </c>
      <c r="D47" s="41" t="s">
        <v>44</v>
      </c>
      <c r="E47" s="23">
        <v>0.42</v>
      </c>
      <c r="F47" s="47">
        <v>1173.18</v>
      </c>
      <c r="G47" s="24">
        <v>0</v>
      </c>
    </row>
    <row r="48" spans="1:7" ht="16.5" hidden="1" customHeight="1">
      <c r="A48" s="56">
        <v>16</v>
      </c>
      <c r="B48" s="41" t="s">
        <v>37</v>
      </c>
      <c r="C48" s="55" t="s">
        <v>109</v>
      </c>
      <c r="D48" s="41" t="s">
        <v>44</v>
      </c>
      <c r="E48" s="23">
        <v>1.35</v>
      </c>
      <c r="F48" s="47">
        <v>659.09</v>
      </c>
      <c r="G48" s="24">
        <v>0</v>
      </c>
    </row>
    <row r="49" spans="1:7" ht="16.5" hidden="1" customHeight="1">
      <c r="A49" s="56">
        <v>17</v>
      </c>
      <c r="B49" s="41" t="s">
        <v>38</v>
      </c>
      <c r="C49" s="55" t="s">
        <v>109</v>
      </c>
      <c r="D49" s="41" t="s">
        <v>44</v>
      </c>
      <c r="E49" s="23">
        <v>0.03</v>
      </c>
      <c r="F49" s="47">
        <v>1564.24</v>
      </c>
      <c r="G49" s="24">
        <v>0</v>
      </c>
    </row>
    <row r="50" spans="1:7" ht="15.75" hidden="1" customHeight="1">
      <c r="A50" s="56">
        <v>18</v>
      </c>
      <c r="B50" s="41" t="s">
        <v>39</v>
      </c>
      <c r="C50" s="55" t="s">
        <v>109</v>
      </c>
      <c r="D50" s="41" t="s">
        <v>44</v>
      </c>
      <c r="E50" s="23">
        <v>0.33</v>
      </c>
      <c r="F50" s="47">
        <v>1078.3599999999999</v>
      </c>
      <c r="G50" s="24">
        <v>0</v>
      </c>
    </row>
    <row r="51" spans="1:7" ht="15.75" hidden="1" customHeight="1">
      <c r="A51" s="56">
        <v>19</v>
      </c>
      <c r="B51" s="41" t="s">
        <v>35</v>
      </c>
      <c r="C51" s="55" t="s">
        <v>36</v>
      </c>
      <c r="D51" s="41" t="s">
        <v>44</v>
      </c>
      <c r="E51" s="23">
        <v>0.22</v>
      </c>
      <c r="F51" s="47">
        <v>82.82</v>
      </c>
      <c r="G51" s="16">
        <v>0</v>
      </c>
    </row>
    <row r="52" spans="1:7" ht="31.5" customHeight="1">
      <c r="A52" s="56">
        <v>11</v>
      </c>
      <c r="B52" s="41" t="s">
        <v>61</v>
      </c>
      <c r="C52" s="55" t="s">
        <v>109</v>
      </c>
      <c r="D52" s="41" t="s">
        <v>118</v>
      </c>
      <c r="E52" s="23">
        <v>0.22</v>
      </c>
      <c r="F52" s="47">
        <v>1564.24</v>
      </c>
      <c r="G52" s="24">
        <v>1627.44</v>
      </c>
    </row>
    <row r="53" spans="1:7" ht="31.5" hidden="1" customHeight="1">
      <c r="A53" s="56">
        <v>14</v>
      </c>
      <c r="B53" s="41" t="s">
        <v>111</v>
      </c>
      <c r="C53" s="55" t="s">
        <v>109</v>
      </c>
      <c r="D53" s="41" t="s">
        <v>44</v>
      </c>
      <c r="E53" s="23">
        <v>0.02</v>
      </c>
      <c r="F53" s="47">
        <v>1380.31</v>
      </c>
      <c r="G53" s="24">
        <v>0</v>
      </c>
    </row>
    <row r="54" spans="1:7" ht="31.5" hidden="1" customHeight="1">
      <c r="A54" s="56">
        <v>15</v>
      </c>
      <c r="B54" s="41" t="s">
        <v>112</v>
      </c>
      <c r="C54" s="55" t="s">
        <v>40</v>
      </c>
      <c r="D54" s="41" t="s">
        <v>44</v>
      </c>
      <c r="E54" s="23">
        <v>0.01</v>
      </c>
      <c r="F54" s="47">
        <v>3519.56</v>
      </c>
      <c r="G54" s="24">
        <v>0</v>
      </c>
    </row>
    <row r="55" spans="1:7" ht="15.75" hidden="1" customHeight="1">
      <c r="A55" s="56">
        <v>23</v>
      </c>
      <c r="B55" s="41" t="s">
        <v>41</v>
      </c>
      <c r="C55" s="55" t="s">
        <v>42</v>
      </c>
      <c r="D55" s="41" t="s">
        <v>44</v>
      </c>
      <c r="E55" s="23">
        <v>8</v>
      </c>
      <c r="F55" s="47">
        <v>6428.82</v>
      </c>
      <c r="G55" s="16">
        <v>0</v>
      </c>
    </row>
    <row r="56" spans="1:7" ht="15.75" hidden="1" customHeight="1">
      <c r="A56" s="56"/>
      <c r="B56" s="41" t="s">
        <v>127</v>
      </c>
      <c r="C56" s="55" t="s">
        <v>119</v>
      </c>
      <c r="D56" s="41" t="s">
        <v>80</v>
      </c>
      <c r="E56" s="23"/>
      <c r="F56" s="48">
        <v>160.51</v>
      </c>
      <c r="G56" s="16">
        <v>0</v>
      </c>
    </row>
    <row r="57" spans="1:7" ht="15.75" hidden="1" customHeight="1">
      <c r="A57" s="56">
        <v>24</v>
      </c>
      <c r="B57" s="41" t="s">
        <v>43</v>
      </c>
      <c r="C57" s="55" t="s">
        <v>119</v>
      </c>
      <c r="D57" s="41" t="s">
        <v>80</v>
      </c>
      <c r="E57" s="23">
        <v>16</v>
      </c>
      <c r="F57" s="48">
        <v>74.709999999999994</v>
      </c>
      <c r="G57" s="16">
        <v>0</v>
      </c>
    </row>
    <row r="58" spans="1:7" ht="15.75" customHeight="1">
      <c r="A58" s="157" t="s">
        <v>196</v>
      </c>
      <c r="B58" s="158"/>
      <c r="C58" s="158"/>
      <c r="D58" s="158"/>
      <c r="E58" s="158"/>
      <c r="F58" s="158"/>
      <c r="G58" s="159"/>
    </row>
    <row r="59" spans="1:7" ht="15.75" customHeight="1">
      <c r="A59" s="68"/>
      <c r="B59" s="63" t="s">
        <v>45</v>
      </c>
      <c r="C59" s="20"/>
      <c r="D59" s="19"/>
      <c r="E59" s="19"/>
      <c r="F59" s="36"/>
      <c r="G59" s="23"/>
    </row>
    <row r="60" spans="1:7" ht="31.5" customHeight="1">
      <c r="A60" s="56">
        <v>12</v>
      </c>
      <c r="B60" s="41" t="s">
        <v>130</v>
      </c>
      <c r="C60" s="55" t="s">
        <v>107</v>
      </c>
      <c r="D60" s="41" t="s">
        <v>131</v>
      </c>
      <c r="E60" s="23">
        <v>0</v>
      </c>
      <c r="F60" s="47">
        <v>2108.4299999999998</v>
      </c>
      <c r="G60" s="24">
        <v>2995.02</v>
      </c>
    </row>
    <row r="61" spans="1:7" ht="15.75" customHeight="1">
      <c r="A61" s="56"/>
      <c r="B61" s="96" t="s">
        <v>46</v>
      </c>
      <c r="C61" s="96"/>
      <c r="D61" s="96"/>
      <c r="E61" s="96"/>
      <c r="F61" s="96"/>
      <c r="G61" s="46"/>
    </row>
    <row r="62" spans="1:7" ht="15.75" hidden="1" customHeight="1">
      <c r="A62" s="56">
        <v>27</v>
      </c>
      <c r="B62" s="80" t="s">
        <v>47</v>
      </c>
      <c r="C62" s="55" t="s">
        <v>107</v>
      </c>
      <c r="D62" s="41" t="s">
        <v>57</v>
      </c>
      <c r="E62" s="81">
        <v>0</v>
      </c>
      <c r="F62" s="47">
        <v>902.66</v>
      </c>
      <c r="G62" s="24">
        <f>E62/2</f>
        <v>0</v>
      </c>
    </row>
    <row r="63" spans="1:7" ht="15.75" customHeight="1">
      <c r="A63" s="56">
        <v>13</v>
      </c>
      <c r="B63" s="41" t="s">
        <v>160</v>
      </c>
      <c r="C63" s="55" t="s">
        <v>26</v>
      </c>
      <c r="D63" s="41" t="s">
        <v>161</v>
      </c>
      <c r="E63" s="81"/>
      <c r="F63" s="99">
        <v>2.83</v>
      </c>
      <c r="G63" s="24">
        <v>679.2</v>
      </c>
    </row>
    <row r="64" spans="1:7" ht="15.75" customHeight="1">
      <c r="A64" s="56"/>
      <c r="B64" s="96" t="s">
        <v>48</v>
      </c>
      <c r="C64" s="20"/>
      <c r="D64" s="19"/>
      <c r="E64" s="19"/>
      <c r="F64" s="36"/>
      <c r="G64" s="23"/>
    </row>
    <row r="65" spans="1:7" ht="15.75" customHeight="1">
      <c r="A65" s="56">
        <v>14</v>
      </c>
      <c r="B65" s="77" t="s">
        <v>49</v>
      </c>
      <c r="C65" s="51" t="s">
        <v>119</v>
      </c>
      <c r="D65" s="50" t="s">
        <v>75</v>
      </c>
      <c r="E65" s="23">
        <v>0</v>
      </c>
      <c r="F65" s="47">
        <v>252.96</v>
      </c>
      <c r="G65" s="24">
        <v>505.92</v>
      </c>
    </row>
    <row r="66" spans="1:7" ht="15.75" hidden="1" customHeight="1">
      <c r="A66" s="36">
        <v>29</v>
      </c>
      <c r="B66" s="77" t="s">
        <v>50</v>
      </c>
      <c r="C66" s="51" t="s">
        <v>119</v>
      </c>
      <c r="D66" s="50" t="s">
        <v>75</v>
      </c>
      <c r="E66" s="23">
        <v>0</v>
      </c>
      <c r="F66" s="47">
        <v>86.74</v>
      </c>
      <c r="G66" s="24">
        <v>0</v>
      </c>
    </row>
    <row r="67" spans="1:7" ht="15.75" hidden="1" customHeight="1">
      <c r="A67" s="36">
        <v>8</v>
      </c>
      <c r="B67" s="77" t="s">
        <v>51</v>
      </c>
      <c r="C67" s="53" t="s">
        <v>120</v>
      </c>
      <c r="D67" s="50" t="s">
        <v>57</v>
      </c>
      <c r="E67" s="23">
        <v>13.47</v>
      </c>
      <c r="F67" s="47">
        <v>241.31</v>
      </c>
      <c r="G67" s="23">
        <v>0</v>
      </c>
    </row>
    <row r="68" spans="1:7" ht="15.75" hidden="1" customHeight="1">
      <c r="A68" s="36">
        <v>9</v>
      </c>
      <c r="B68" s="77" t="s">
        <v>52</v>
      </c>
      <c r="C68" s="51" t="s">
        <v>121</v>
      </c>
      <c r="D68" s="50"/>
      <c r="E68" s="23">
        <v>1.35</v>
      </c>
      <c r="F68" s="47">
        <v>187.91</v>
      </c>
      <c r="G68" s="23">
        <v>0</v>
      </c>
    </row>
    <row r="69" spans="1:7" ht="15.75" hidden="1" customHeight="1">
      <c r="A69" s="36">
        <v>10</v>
      </c>
      <c r="B69" s="77" t="s">
        <v>53</v>
      </c>
      <c r="C69" s="51" t="s">
        <v>87</v>
      </c>
      <c r="D69" s="50" t="s">
        <v>57</v>
      </c>
      <c r="E69" s="23">
        <v>0</v>
      </c>
      <c r="F69" s="47">
        <v>2359.7199999999998</v>
      </c>
      <c r="G69" s="23">
        <v>0</v>
      </c>
    </row>
    <row r="70" spans="1:7" ht="15.75" hidden="1" customHeight="1">
      <c r="A70" s="36">
        <v>11</v>
      </c>
      <c r="B70" s="69" t="s">
        <v>122</v>
      </c>
      <c r="C70" s="51" t="s">
        <v>34</v>
      </c>
      <c r="D70" s="50"/>
      <c r="E70" s="15">
        <v>0</v>
      </c>
      <c r="F70" s="47">
        <v>45.4</v>
      </c>
      <c r="G70" s="23">
        <v>0</v>
      </c>
    </row>
    <row r="71" spans="1:7" ht="15.75" hidden="1" customHeight="1">
      <c r="A71" s="36">
        <v>12</v>
      </c>
      <c r="B71" s="69" t="s">
        <v>123</v>
      </c>
      <c r="C71" s="51" t="s">
        <v>34</v>
      </c>
      <c r="D71" s="50"/>
      <c r="E71" s="15"/>
      <c r="F71" s="47">
        <v>42.35</v>
      </c>
      <c r="G71" s="23">
        <v>0</v>
      </c>
    </row>
    <row r="72" spans="1:7" ht="15.75" hidden="1" customHeight="1">
      <c r="A72" s="36">
        <v>13</v>
      </c>
      <c r="B72" s="50" t="s">
        <v>62</v>
      </c>
      <c r="C72" s="51" t="s">
        <v>63</v>
      </c>
      <c r="D72" s="50" t="s">
        <v>57</v>
      </c>
      <c r="E72" s="15"/>
      <c r="F72" s="47">
        <v>56.74</v>
      </c>
      <c r="G72" s="23">
        <v>0</v>
      </c>
    </row>
    <row r="73" spans="1:7" ht="15.75" customHeight="1">
      <c r="A73" s="36">
        <v>15</v>
      </c>
      <c r="B73" s="50" t="s">
        <v>162</v>
      </c>
      <c r="C73" s="51" t="s">
        <v>63</v>
      </c>
      <c r="D73" s="50" t="s">
        <v>31</v>
      </c>
      <c r="E73" s="15"/>
      <c r="F73" s="47">
        <v>756.5</v>
      </c>
      <c r="G73" s="23">
        <v>756.5</v>
      </c>
    </row>
    <row r="74" spans="1:7" ht="15.75" hidden="1" customHeight="1">
      <c r="A74" s="68"/>
      <c r="B74" s="96" t="s">
        <v>113</v>
      </c>
      <c r="C74" s="96"/>
      <c r="D74" s="96"/>
      <c r="E74" s="96"/>
      <c r="F74" s="96"/>
      <c r="G74" s="23"/>
    </row>
    <row r="75" spans="1:7" ht="15.75" hidden="1" customHeight="1">
      <c r="A75" s="36">
        <v>36</v>
      </c>
      <c r="B75" s="80" t="s">
        <v>124</v>
      </c>
      <c r="C75" s="82"/>
      <c r="D75" s="83" t="s">
        <v>57</v>
      </c>
      <c r="E75" s="81">
        <v>0</v>
      </c>
      <c r="F75" s="49">
        <v>21095</v>
      </c>
      <c r="G75" s="23">
        <v>0</v>
      </c>
    </row>
    <row r="76" spans="1:7" ht="15.75" hidden="1" customHeight="1">
      <c r="A76" s="36"/>
      <c r="B76" s="64" t="s">
        <v>82</v>
      </c>
      <c r="C76" s="64"/>
      <c r="D76" s="64"/>
      <c r="E76" s="23"/>
      <c r="F76" s="36"/>
      <c r="G76" s="23"/>
    </row>
    <row r="77" spans="1:7" ht="15.75" hidden="1" customHeight="1">
      <c r="A77" s="36"/>
      <c r="B77" s="50" t="s">
        <v>163</v>
      </c>
      <c r="C77" s="51" t="s">
        <v>32</v>
      </c>
      <c r="D77" s="50" t="s">
        <v>75</v>
      </c>
      <c r="E77" s="23"/>
      <c r="F77" s="47">
        <v>892.5</v>
      </c>
      <c r="G77" s="23">
        <v>0</v>
      </c>
    </row>
    <row r="78" spans="1:7" ht="15.75" hidden="1" customHeight="1">
      <c r="A78" s="36"/>
      <c r="B78" s="50" t="s">
        <v>146</v>
      </c>
      <c r="C78" s="51" t="s">
        <v>164</v>
      </c>
      <c r="D78" s="50" t="s">
        <v>75</v>
      </c>
      <c r="E78" s="23"/>
      <c r="F78" s="47">
        <v>750</v>
      </c>
      <c r="G78" s="23">
        <v>0</v>
      </c>
    </row>
    <row r="79" spans="1:7" ht="15.75" hidden="1" customHeight="1">
      <c r="A79" s="36"/>
      <c r="B79" s="50" t="s">
        <v>83</v>
      </c>
      <c r="C79" s="51" t="s">
        <v>85</v>
      </c>
      <c r="D79" s="50" t="s">
        <v>75</v>
      </c>
      <c r="E79" s="23"/>
      <c r="F79" s="47">
        <v>570.54</v>
      </c>
      <c r="G79" s="23">
        <v>0</v>
      </c>
    </row>
    <row r="80" spans="1:7" ht="15.75" hidden="1" customHeight="1">
      <c r="A80" s="36"/>
      <c r="B80" s="50" t="s">
        <v>84</v>
      </c>
      <c r="C80" s="51" t="s">
        <v>32</v>
      </c>
      <c r="D80" s="50" t="s">
        <v>75</v>
      </c>
      <c r="E80" s="23"/>
      <c r="F80" s="47">
        <v>970.21</v>
      </c>
      <c r="G80" s="23">
        <v>0</v>
      </c>
    </row>
    <row r="81" spans="1:7" ht="15" hidden="1" customHeight="1">
      <c r="A81" s="36">
        <v>17</v>
      </c>
      <c r="B81" s="50" t="s">
        <v>165</v>
      </c>
      <c r="C81" s="51" t="s">
        <v>119</v>
      </c>
      <c r="D81" s="50" t="s">
        <v>75</v>
      </c>
      <c r="E81" s="23"/>
      <c r="F81" s="47">
        <v>407.79</v>
      </c>
      <c r="G81" s="23">
        <v>815.58</v>
      </c>
    </row>
    <row r="82" spans="1:7" ht="15" hidden="1" customHeight="1">
      <c r="A82" s="36"/>
      <c r="B82" s="65" t="s">
        <v>86</v>
      </c>
      <c r="C82" s="51"/>
      <c r="D82" s="36"/>
      <c r="E82" s="23"/>
      <c r="F82" s="47"/>
      <c r="G82" s="23"/>
    </row>
    <row r="83" spans="1:7" ht="15.75" hidden="1" customHeight="1">
      <c r="A83" s="36">
        <v>39</v>
      </c>
      <c r="B83" s="52" t="s">
        <v>128</v>
      </c>
      <c r="C83" s="53" t="s">
        <v>87</v>
      </c>
      <c r="D83" s="77"/>
      <c r="E83" s="23"/>
      <c r="F83" s="48">
        <v>3138.65</v>
      </c>
      <c r="G83" s="23">
        <v>0</v>
      </c>
    </row>
    <row r="84" spans="1:7" ht="15.75" customHeight="1">
      <c r="A84" s="36"/>
      <c r="B84" s="97" t="s">
        <v>132</v>
      </c>
      <c r="C84" s="84"/>
      <c r="D84" s="38"/>
      <c r="E84" s="23"/>
      <c r="F84" s="48"/>
      <c r="G84" s="23"/>
    </row>
    <row r="85" spans="1:7" ht="31.5" hidden="1" customHeight="1">
      <c r="A85" s="36"/>
      <c r="B85" s="103" t="s">
        <v>166</v>
      </c>
      <c r="C85" s="53" t="s">
        <v>167</v>
      </c>
      <c r="D85" s="50" t="s">
        <v>75</v>
      </c>
      <c r="E85" s="23"/>
      <c r="F85" s="48">
        <v>271.88</v>
      </c>
      <c r="G85" s="23">
        <v>0</v>
      </c>
    </row>
    <row r="86" spans="1:7" ht="15.75" hidden="1" customHeight="1">
      <c r="A86" s="36"/>
      <c r="B86" s="103" t="s">
        <v>133</v>
      </c>
      <c r="C86" s="53" t="s">
        <v>94</v>
      </c>
      <c r="D86" s="50" t="s">
        <v>75</v>
      </c>
      <c r="E86" s="23"/>
      <c r="F86" s="48">
        <v>111.84</v>
      </c>
      <c r="G86" s="23">
        <v>0</v>
      </c>
    </row>
    <row r="87" spans="1:7" ht="15.75" hidden="1" customHeight="1">
      <c r="A87" s="36"/>
      <c r="B87" s="103" t="s">
        <v>168</v>
      </c>
      <c r="C87" s="53" t="s">
        <v>169</v>
      </c>
      <c r="D87" s="50" t="s">
        <v>75</v>
      </c>
      <c r="E87" s="23"/>
      <c r="F87" s="48">
        <v>972.09</v>
      </c>
      <c r="G87" s="23">
        <v>0</v>
      </c>
    </row>
    <row r="88" spans="1:7" ht="15.75" hidden="1" customHeight="1">
      <c r="A88" s="36"/>
      <c r="B88" s="103" t="s">
        <v>170</v>
      </c>
      <c r="C88" s="53" t="s">
        <v>56</v>
      </c>
      <c r="D88" s="50" t="s">
        <v>75</v>
      </c>
      <c r="E88" s="23"/>
      <c r="F88" s="48">
        <v>1829.52</v>
      </c>
      <c r="G88" s="23">
        <v>0</v>
      </c>
    </row>
    <row r="89" spans="1:7" ht="30" customHeight="1">
      <c r="A89" s="36">
        <v>16</v>
      </c>
      <c r="B89" s="103" t="s">
        <v>171</v>
      </c>
      <c r="C89" s="53" t="s">
        <v>172</v>
      </c>
      <c r="D89" s="50" t="s">
        <v>75</v>
      </c>
      <c r="E89" s="23"/>
      <c r="F89" s="48">
        <v>272.39</v>
      </c>
      <c r="G89" s="23">
        <v>217.91</v>
      </c>
    </row>
    <row r="90" spans="1:7" ht="31.5" hidden="1" customHeight="1">
      <c r="A90" s="36"/>
      <c r="B90" s="103" t="s">
        <v>173</v>
      </c>
      <c r="C90" s="53" t="s">
        <v>94</v>
      </c>
      <c r="D90" s="50" t="s">
        <v>75</v>
      </c>
      <c r="E90" s="23"/>
      <c r="F90" s="48">
        <v>1430.02</v>
      </c>
      <c r="G90" s="23">
        <v>0</v>
      </c>
    </row>
    <row r="91" spans="1:7" ht="31.5" hidden="1" customHeight="1">
      <c r="A91" s="36"/>
      <c r="B91" s="103" t="s">
        <v>174</v>
      </c>
      <c r="C91" s="53" t="s">
        <v>94</v>
      </c>
      <c r="D91" s="50" t="s">
        <v>75</v>
      </c>
      <c r="E91" s="23"/>
      <c r="F91" s="48">
        <v>1743.04</v>
      </c>
      <c r="G91" s="23">
        <v>0</v>
      </c>
    </row>
    <row r="92" spans="1:7" ht="30" hidden="1">
      <c r="A92" s="36"/>
      <c r="B92" s="103" t="s">
        <v>175</v>
      </c>
      <c r="C92" s="53" t="s">
        <v>94</v>
      </c>
      <c r="D92" s="50" t="s">
        <v>75</v>
      </c>
      <c r="E92" s="23"/>
      <c r="F92" s="48">
        <v>607.27</v>
      </c>
      <c r="G92" s="23">
        <v>0</v>
      </c>
    </row>
    <row r="93" spans="1:7" ht="30" hidden="1">
      <c r="A93" s="36"/>
      <c r="B93" s="103" t="s">
        <v>176</v>
      </c>
      <c r="C93" s="53" t="s">
        <v>94</v>
      </c>
      <c r="D93" s="50" t="s">
        <v>75</v>
      </c>
      <c r="E93" s="23"/>
      <c r="F93" s="48">
        <v>711.93</v>
      </c>
      <c r="G93" s="23">
        <v>0</v>
      </c>
    </row>
    <row r="94" spans="1:7" hidden="1">
      <c r="A94" s="36"/>
      <c r="B94" s="103" t="s">
        <v>134</v>
      </c>
      <c r="C94" s="53" t="s">
        <v>32</v>
      </c>
      <c r="D94" s="50" t="s">
        <v>75</v>
      </c>
      <c r="E94" s="23"/>
      <c r="F94" s="48">
        <v>455.31</v>
      </c>
      <c r="G94" s="23">
        <v>0</v>
      </c>
    </row>
    <row r="95" spans="1:7" ht="31.5" hidden="1" customHeight="1">
      <c r="A95" s="36"/>
      <c r="B95" s="103" t="s">
        <v>177</v>
      </c>
      <c r="C95" s="53" t="s">
        <v>94</v>
      </c>
      <c r="D95" s="50" t="s">
        <v>75</v>
      </c>
      <c r="E95" s="23"/>
      <c r="F95" s="48">
        <v>1155.7</v>
      </c>
      <c r="G95" s="23">
        <v>0</v>
      </c>
    </row>
    <row r="96" spans="1:7" ht="31.5" hidden="1" customHeight="1">
      <c r="A96" s="36"/>
      <c r="B96" s="103" t="s">
        <v>178</v>
      </c>
      <c r="C96" s="53" t="s">
        <v>30</v>
      </c>
      <c r="D96" s="77" t="s">
        <v>44</v>
      </c>
      <c r="E96" s="23"/>
      <c r="F96" s="48">
        <v>1560.98</v>
      </c>
      <c r="G96" s="23">
        <v>0</v>
      </c>
    </row>
    <row r="97" spans="1:7" ht="31.5" hidden="1" customHeight="1">
      <c r="A97" s="36"/>
      <c r="B97" s="103" t="s">
        <v>179</v>
      </c>
      <c r="C97" s="104" t="s">
        <v>181</v>
      </c>
      <c r="D97" s="50" t="s">
        <v>75</v>
      </c>
      <c r="E97" s="23"/>
      <c r="F97" s="48">
        <v>12859.93</v>
      </c>
      <c r="G97" s="23">
        <v>0</v>
      </c>
    </row>
    <row r="98" spans="1:7" hidden="1">
      <c r="A98" s="36"/>
      <c r="B98" s="103" t="s">
        <v>180</v>
      </c>
      <c r="C98" s="53" t="s">
        <v>30</v>
      </c>
      <c r="D98" s="77" t="s">
        <v>44</v>
      </c>
      <c r="E98" s="23"/>
      <c r="F98" s="48">
        <v>1453.29</v>
      </c>
      <c r="G98" s="23">
        <v>0</v>
      </c>
    </row>
    <row r="99" spans="1:7" ht="15.75" customHeight="1">
      <c r="A99" s="160" t="s">
        <v>197</v>
      </c>
      <c r="B99" s="161"/>
      <c r="C99" s="161"/>
      <c r="D99" s="161"/>
      <c r="E99" s="161"/>
      <c r="F99" s="161"/>
      <c r="G99" s="162"/>
    </row>
    <row r="100" spans="1:7" ht="15.75" customHeight="1">
      <c r="A100" s="36">
        <v>17</v>
      </c>
      <c r="B100" s="41" t="s">
        <v>125</v>
      </c>
      <c r="C100" s="51" t="s">
        <v>58</v>
      </c>
      <c r="D100" s="114" t="s">
        <v>59</v>
      </c>
      <c r="E100" s="19">
        <v>327.9</v>
      </c>
      <c r="F100" s="47">
        <v>2.7</v>
      </c>
      <c r="G100" s="16">
        <v>9329.31</v>
      </c>
    </row>
    <row r="101" spans="1:7" ht="30">
      <c r="A101" s="36">
        <v>18</v>
      </c>
      <c r="B101" s="50" t="s">
        <v>88</v>
      </c>
      <c r="C101" s="51"/>
      <c r="D101" s="114" t="s">
        <v>59</v>
      </c>
      <c r="E101" s="19"/>
      <c r="F101" s="47">
        <v>3.05</v>
      </c>
      <c r="G101" s="16">
        <v>10538.67</v>
      </c>
    </row>
    <row r="102" spans="1:7" ht="15.75" customHeight="1">
      <c r="A102" s="68"/>
      <c r="B102" s="54" t="s">
        <v>92</v>
      </c>
      <c r="C102" s="56"/>
      <c r="D102" s="19"/>
      <c r="E102" s="19"/>
      <c r="F102" s="23"/>
      <c r="G102" s="39">
        <f>SUM(G16+G17+G18+G27+G28+G39+G40+G42+G43+G44+G45+G52+G60+G63+G65+G73+G89+G100+G101)</f>
        <v>60046.349999999991</v>
      </c>
    </row>
    <row r="103" spans="1:7" ht="15.75" customHeight="1">
      <c r="A103" s="68"/>
      <c r="B103" s="75" t="s">
        <v>65</v>
      </c>
      <c r="C103" s="75"/>
      <c r="D103" s="75"/>
      <c r="E103" s="75"/>
      <c r="F103" s="75"/>
      <c r="G103" s="75"/>
    </row>
    <row r="104" spans="1:7" ht="15.75" customHeight="1">
      <c r="A104" s="36">
        <v>19</v>
      </c>
      <c r="B104" s="78" t="s">
        <v>147</v>
      </c>
      <c r="C104" s="51" t="s">
        <v>183</v>
      </c>
      <c r="D104" s="75"/>
      <c r="E104" s="19"/>
      <c r="F104" s="47">
        <v>1501</v>
      </c>
      <c r="G104" s="16">
        <v>2251.5</v>
      </c>
    </row>
    <row r="105" spans="1:7">
      <c r="A105" s="36"/>
      <c r="B105" s="61" t="s">
        <v>54</v>
      </c>
      <c r="C105" s="57"/>
      <c r="D105" s="70"/>
      <c r="E105" s="57">
        <v>1</v>
      </c>
      <c r="F105" s="57"/>
      <c r="G105" s="39">
        <f>SUM(G104:G104)</f>
        <v>2251.5</v>
      </c>
    </row>
    <row r="106" spans="1:7">
      <c r="A106" s="36"/>
      <c r="B106" s="67" t="s">
        <v>89</v>
      </c>
      <c r="C106" s="19"/>
      <c r="D106" s="19"/>
      <c r="E106" s="58"/>
      <c r="F106" s="59"/>
      <c r="G106" s="22">
        <v>0</v>
      </c>
    </row>
    <row r="107" spans="1:7" ht="15.75" customHeight="1">
      <c r="A107" s="71"/>
      <c r="B107" s="62" t="s">
        <v>55</v>
      </c>
      <c r="C107" s="45"/>
      <c r="D107" s="45"/>
      <c r="E107" s="45"/>
      <c r="F107" s="45"/>
      <c r="G107" s="60">
        <f>G102+G105</f>
        <v>62297.849999999991</v>
      </c>
    </row>
    <row r="108" spans="1:7" ht="15.75">
      <c r="A108" s="163" t="s">
        <v>190</v>
      </c>
      <c r="B108" s="163"/>
      <c r="C108" s="163"/>
      <c r="D108" s="163"/>
      <c r="E108" s="163"/>
      <c r="F108" s="163"/>
      <c r="G108" s="163"/>
    </row>
    <row r="109" spans="1:7" ht="15.75">
      <c r="A109" s="98"/>
      <c r="B109" s="152" t="s">
        <v>191</v>
      </c>
      <c r="C109" s="152"/>
      <c r="D109" s="152"/>
      <c r="E109" s="152"/>
      <c r="F109" s="152"/>
      <c r="G109" s="3"/>
    </row>
    <row r="110" spans="1:7">
      <c r="A110" s="94"/>
      <c r="B110" s="148" t="s">
        <v>6</v>
      </c>
      <c r="C110" s="148"/>
      <c r="D110" s="148"/>
      <c r="E110" s="148"/>
      <c r="F110" s="148"/>
      <c r="G110" s="5"/>
    </row>
    <row r="111" spans="1:7">
      <c r="A111" s="10"/>
      <c r="B111" s="10"/>
      <c r="C111" s="10"/>
      <c r="D111" s="10"/>
      <c r="E111" s="10"/>
      <c r="F111" s="10"/>
      <c r="G111" s="10"/>
    </row>
    <row r="112" spans="1:7" ht="15.75" customHeight="1">
      <c r="A112" s="153" t="s">
        <v>7</v>
      </c>
      <c r="B112" s="153"/>
      <c r="C112" s="153"/>
      <c r="D112" s="153"/>
      <c r="E112" s="153"/>
      <c r="F112" s="153"/>
      <c r="G112" s="153"/>
    </row>
    <row r="113" spans="1:7" ht="15.75" customHeight="1">
      <c r="A113" s="153" t="s">
        <v>8</v>
      </c>
      <c r="B113" s="153"/>
      <c r="C113" s="153"/>
      <c r="D113" s="153"/>
      <c r="E113" s="153"/>
      <c r="F113" s="153"/>
      <c r="G113" s="153"/>
    </row>
    <row r="114" spans="1:7" ht="15.75" customHeight="1">
      <c r="A114" s="154" t="s">
        <v>66</v>
      </c>
      <c r="B114" s="154"/>
      <c r="C114" s="154"/>
      <c r="D114" s="154"/>
      <c r="E114" s="154"/>
      <c r="F114" s="154"/>
      <c r="G114" s="154"/>
    </row>
    <row r="115" spans="1:7" ht="7.5" customHeight="1">
      <c r="A115" s="11"/>
    </row>
    <row r="116" spans="1:7" ht="15.75" customHeight="1">
      <c r="A116" s="155" t="s">
        <v>9</v>
      </c>
      <c r="B116" s="155"/>
      <c r="C116" s="155"/>
      <c r="D116" s="155"/>
      <c r="E116" s="155"/>
      <c r="F116" s="155"/>
      <c r="G116" s="155"/>
    </row>
    <row r="117" spans="1:7" ht="15.75" customHeight="1">
      <c r="A117" s="4"/>
    </row>
    <row r="118" spans="1:7" ht="15.75" customHeight="1">
      <c r="B118" s="95" t="s">
        <v>10</v>
      </c>
      <c r="C118" s="147" t="s">
        <v>192</v>
      </c>
      <c r="D118" s="147"/>
      <c r="E118" s="147"/>
      <c r="G118" s="93"/>
    </row>
    <row r="119" spans="1:7">
      <c r="A119" s="94"/>
      <c r="C119" s="148" t="s">
        <v>11</v>
      </c>
      <c r="D119" s="148"/>
      <c r="E119" s="148"/>
      <c r="G119" s="92" t="s">
        <v>12</v>
      </c>
    </row>
    <row r="120" spans="1:7" ht="15.75">
      <c r="A120" s="32"/>
      <c r="C120" s="12"/>
      <c r="D120" s="12"/>
      <c r="F120" s="12"/>
    </row>
    <row r="121" spans="1:7" ht="15.75">
      <c r="B121" s="95" t="s">
        <v>13</v>
      </c>
      <c r="C121" s="149"/>
      <c r="D121" s="149"/>
      <c r="E121" s="149"/>
      <c r="G121" s="93"/>
    </row>
    <row r="122" spans="1:7">
      <c r="A122" s="94"/>
      <c r="C122" s="150" t="s">
        <v>11</v>
      </c>
      <c r="D122" s="150"/>
      <c r="E122" s="150"/>
      <c r="G122" s="92" t="s">
        <v>12</v>
      </c>
    </row>
    <row r="123" spans="1:7" ht="15.75">
      <c r="A123" s="4" t="s">
        <v>14</v>
      </c>
    </row>
    <row r="124" spans="1:7">
      <c r="A124" s="151" t="s">
        <v>15</v>
      </c>
      <c r="B124" s="151"/>
      <c r="C124" s="151"/>
      <c r="D124" s="151"/>
      <c r="E124" s="151"/>
      <c r="F124" s="151"/>
      <c r="G124" s="151"/>
    </row>
    <row r="125" spans="1:7" ht="45" customHeight="1">
      <c r="A125" s="146" t="s">
        <v>16</v>
      </c>
      <c r="B125" s="146"/>
      <c r="C125" s="146"/>
      <c r="D125" s="146"/>
      <c r="E125" s="146"/>
      <c r="F125" s="146"/>
      <c r="G125" s="146"/>
    </row>
    <row r="126" spans="1:7" ht="30" customHeight="1">
      <c r="A126" s="146" t="s">
        <v>17</v>
      </c>
      <c r="B126" s="146"/>
      <c r="C126" s="146"/>
      <c r="D126" s="146"/>
      <c r="E126" s="146"/>
      <c r="F126" s="146"/>
      <c r="G126" s="146"/>
    </row>
    <row r="127" spans="1:7" ht="30" customHeight="1">
      <c r="A127" s="146" t="s">
        <v>21</v>
      </c>
      <c r="B127" s="146"/>
      <c r="C127" s="146"/>
      <c r="D127" s="146"/>
      <c r="E127" s="146"/>
      <c r="F127" s="146"/>
      <c r="G127" s="146"/>
    </row>
    <row r="128" spans="1:7" ht="15" customHeight="1">
      <c r="A128" s="146" t="s">
        <v>20</v>
      </c>
      <c r="B128" s="146"/>
      <c r="C128" s="146"/>
      <c r="D128" s="146"/>
      <c r="E128" s="146"/>
      <c r="F128" s="146"/>
      <c r="G128" s="146"/>
    </row>
  </sheetData>
  <mergeCells count="27">
    <mergeCell ref="A128:G128"/>
    <mergeCell ref="C122:E122"/>
    <mergeCell ref="A124:G124"/>
    <mergeCell ref="A125:G125"/>
    <mergeCell ref="A126:G126"/>
    <mergeCell ref="A127:G127"/>
    <mergeCell ref="A112:G112"/>
    <mergeCell ref="A113:G113"/>
    <mergeCell ref="C118:E118"/>
    <mergeCell ref="C119:E119"/>
    <mergeCell ref="C121:E121"/>
    <mergeCell ref="A116:G116"/>
    <mergeCell ref="A114:G114"/>
    <mergeCell ref="B110:F110"/>
    <mergeCell ref="A3:G3"/>
    <mergeCell ref="A4:G4"/>
    <mergeCell ref="A5:G5"/>
    <mergeCell ref="A8:G8"/>
    <mergeCell ref="A10:G10"/>
    <mergeCell ref="A14:G14"/>
    <mergeCell ref="A15:G15"/>
    <mergeCell ref="A29:G29"/>
    <mergeCell ref="A46:G46"/>
    <mergeCell ref="A58:G58"/>
    <mergeCell ref="A108:G108"/>
    <mergeCell ref="B109:F109"/>
    <mergeCell ref="A99:G99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'05.16'!Заголовки_для_печати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2017-05-11T13:24:24Z</cp:lastPrinted>
  <dcterms:created xsi:type="dcterms:W3CDTF">2016-03-25T08:33:47Z</dcterms:created>
  <dcterms:modified xsi:type="dcterms:W3CDTF">2017-05-11T13:25:13Z</dcterms:modified>
</cp:coreProperties>
</file>