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/>
  </bookViews>
  <sheets>
    <sheet name="01.16" sheetId="17" r:id="rId1"/>
    <sheet name="02.16" sheetId="18" r:id="rId2"/>
    <sheet name="03.16" sheetId="19" r:id="rId3"/>
    <sheet name="04.16" sheetId="20" r:id="rId4"/>
    <sheet name="05.16" sheetId="21" r:id="rId5"/>
    <sheet name="06.16" sheetId="22" r:id="rId6"/>
    <sheet name="07.16" sheetId="23" r:id="rId7"/>
    <sheet name="08.16" sheetId="24" r:id="rId8"/>
    <sheet name="09.16" sheetId="25" r:id="rId9"/>
    <sheet name="10.16" sheetId="26" r:id="rId10"/>
    <sheet name="11.16" sheetId="14" r:id="rId11"/>
    <sheet name="12.16" sheetId="8" r:id="rId12"/>
    <sheet name="Лист1" sheetId="16" r:id="rId13"/>
  </sheets>
  <definedNames>
    <definedName name="_xlnm._FilterDatabase" localSheetId="0" hidden="1">'01.16'!$I$12:$I$62</definedName>
    <definedName name="_xlnm._FilterDatabase" localSheetId="1" hidden="1">'02.16'!$I$12:$I$62</definedName>
    <definedName name="_xlnm._FilterDatabase" localSheetId="2" hidden="1">'03.16'!$I$12:$I$62</definedName>
    <definedName name="_xlnm._FilterDatabase" localSheetId="3" hidden="1">'04.16'!$I$12:$I$62</definedName>
    <definedName name="_xlnm._FilterDatabase" localSheetId="4" hidden="1">'05.16'!$I$12:$I$62</definedName>
    <definedName name="_xlnm._FilterDatabase" localSheetId="5" hidden="1">'06.16'!$I$12:$I$62</definedName>
    <definedName name="_xlnm._FilterDatabase" localSheetId="6" hidden="1">'07.16'!$I$12:$I$62</definedName>
    <definedName name="_xlnm._FilterDatabase" localSheetId="7" hidden="1">'08.16'!$I$12:$I$62</definedName>
    <definedName name="_xlnm._FilterDatabase" localSheetId="8" hidden="1">'09.16'!$I$12:$I$62</definedName>
    <definedName name="_xlnm._FilterDatabase" localSheetId="9" hidden="1">'10.16'!$I$12:$I$62</definedName>
    <definedName name="_xlnm._FilterDatabase" localSheetId="10" hidden="1">'11.16'!$G$15:$G$90</definedName>
    <definedName name="_xlnm._FilterDatabase" localSheetId="11" hidden="1">'12.16'!$G$13:$G$68</definedName>
    <definedName name="_xlnm.Print_Titles" localSheetId="4">'05.16'!$12:$13</definedName>
    <definedName name="_xlnm.Print_Titles" localSheetId="10">'11.16'!$15:$16</definedName>
    <definedName name="_xlnm.Print_Area" localSheetId="0">'01.16'!$A$1:$I$123</definedName>
    <definedName name="_xlnm.Print_Area" localSheetId="1">'02.16'!$A$1:$I$108</definedName>
    <definedName name="_xlnm.Print_Area" localSheetId="2">'03.16'!$A$1:$I$105</definedName>
    <definedName name="_xlnm.Print_Area" localSheetId="3">'04.16'!$A$1:$I$123</definedName>
    <definedName name="_xlnm.Print_Area" localSheetId="4">'05.16'!$A$1:$I$107</definedName>
    <definedName name="_xlnm.Print_Area" localSheetId="5">'06.16'!$A$1:$I$111</definedName>
    <definedName name="_xlnm.Print_Area" localSheetId="6">'07.16'!$A$1:$I$109</definedName>
    <definedName name="_xlnm.Print_Area" localSheetId="7">'08.16'!$A$1:$I$106</definedName>
    <definedName name="_xlnm.Print_Area" localSheetId="8">'09.16'!$A$1:$I$107</definedName>
    <definedName name="_xlnm.Print_Area" localSheetId="9">'10.16'!$A$1:$I$107</definedName>
    <definedName name="_xlnm.Print_Area" localSheetId="10">'11.16'!$A$1:$G$112</definedName>
    <definedName name="_xlnm.Print_Area" localSheetId="11">'12.16'!$A$1:$G$107</definedName>
  </definedNames>
  <calcPr calcId="124519"/>
</workbook>
</file>

<file path=xl/calcChain.xml><?xml version="1.0" encoding="utf-8"?>
<calcChain xmlns="http://schemas.openxmlformats.org/spreadsheetml/2006/main">
  <c r="I83" i="26"/>
  <c r="I82"/>
  <c r="I81"/>
  <c r="I69"/>
  <c r="I60"/>
  <c r="H83"/>
  <c r="F82"/>
  <c r="H82" s="1"/>
  <c r="H81"/>
  <c r="I80"/>
  <c r="I84" s="1"/>
  <c r="H80"/>
  <c r="E77"/>
  <c r="F77" s="1"/>
  <c r="F76"/>
  <c r="I76" s="1"/>
  <c r="F74"/>
  <c r="H74" s="1"/>
  <c r="H72"/>
  <c r="F70"/>
  <c r="H70" s="1"/>
  <c r="H69"/>
  <c r="F67"/>
  <c r="H67" s="1"/>
  <c r="E66"/>
  <c r="F66" s="1"/>
  <c r="H66" s="1"/>
  <c r="F65"/>
  <c r="H65" s="1"/>
  <c r="F64"/>
  <c r="H64" s="1"/>
  <c r="F63"/>
  <c r="H63" s="1"/>
  <c r="F62"/>
  <c r="H62" s="1"/>
  <c r="H61"/>
  <c r="H60"/>
  <c r="I58"/>
  <c r="H58"/>
  <c r="F55"/>
  <c r="I55" s="1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I41"/>
  <c r="H41"/>
  <c r="F40"/>
  <c r="I40" s="1"/>
  <c r="F39"/>
  <c r="H39" s="1"/>
  <c r="F38"/>
  <c r="I38" s="1"/>
  <c r="F37"/>
  <c r="H37" s="1"/>
  <c r="I36"/>
  <c r="H36"/>
  <c r="H34"/>
  <c r="H33"/>
  <c r="H32"/>
  <c r="F32"/>
  <c r="I32" s="1"/>
  <c r="F31"/>
  <c r="H31" s="1"/>
  <c r="F30"/>
  <c r="I30" s="1"/>
  <c r="F29"/>
  <c r="H29" s="1"/>
  <c r="F26"/>
  <c r="I26" s="1"/>
  <c r="F25"/>
  <c r="H25" s="1"/>
  <c r="F24"/>
  <c r="H24" s="1"/>
  <c r="F23"/>
  <c r="I23" s="1"/>
  <c r="F22"/>
  <c r="H22" s="1"/>
  <c r="F21"/>
  <c r="H21" s="1"/>
  <c r="F20"/>
  <c r="I20" s="1"/>
  <c r="F19"/>
  <c r="H19" s="1"/>
  <c r="E18"/>
  <c r="F18" s="1"/>
  <c r="F17"/>
  <c r="H17" s="1"/>
  <c r="F16"/>
  <c r="I16" s="1"/>
  <c r="I67" i="25"/>
  <c r="I78"/>
  <c r="I84"/>
  <c r="I83"/>
  <c r="I82"/>
  <c r="I81"/>
  <c r="I77" i="26" l="1"/>
  <c r="H77"/>
  <c r="H78" s="1"/>
  <c r="H18"/>
  <c r="I18"/>
  <c r="H16"/>
  <c r="I17"/>
  <c r="H20"/>
  <c r="I21"/>
  <c r="H23"/>
  <c r="I25"/>
  <c r="H26"/>
  <c r="I29"/>
  <c r="H30"/>
  <c r="I31"/>
  <c r="I37"/>
  <c r="H38"/>
  <c r="I39"/>
  <c r="H40"/>
  <c r="I48"/>
  <c r="H55"/>
  <c r="H73" s="1"/>
  <c r="H76"/>
  <c r="I60" i="25"/>
  <c r="H83"/>
  <c r="H82"/>
  <c r="H81"/>
  <c r="I80"/>
  <c r="H80"/>
  <c r="E77"/>
  <c r="F77" s="1"/>
  <c r="F76"/>
  <c r="I76" s="1"/>
  <c r="F74"/>
  <c r="H74" s="1"/>
  <c r="H72"/>
  <c r="F70"/>
  <c r="H70" s="1"/>
  <c r="I69"/>
  <c r="H69"/>
  <c r="F67"/>
  <c r="H67" s="1"/>
  <c r="E66"/>
  <c r="F66" s="1"/>
  <c r="H66" s="1"/>
  <c r="F65"/>
  <c r="H65" s="1"/>
  <c r="F64"/>
  <c r="H64" s="1"/>
  <c r="F63"/>
  <c r="H63" s="1"/>
  <c r="F62"/>
  <c r="H62" s="1"/>
  <c r="H61"/>
  <c r="H60"/>
  <c r="I58"/>
  <c r="H58"/>
  <c r="F55"/>
  <c r="I55" s="1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I41"/>
  <c r="H41"/>
  <c r="F40"/>
  <c r="I40" s="1"/>
  <c r="F39"/>
  <c r="H39" s="1"/>
  <c r="F38"/>
  <c r="I38" s="1"/>
  <c r="F37"/>
  <c r="H37" s="1"/>
  <c r="I36"/>
  <c r="H36"/>
  <c r="H34"/>
  <c r="H33"/>
  <c r="H32"/>
  <c r="F32"/>
  <c r="I32" s="1"/>
  <c r="F31"/>
  <c r="H31" s="1"/>
  <c r="F30"/>
  <c r="I30" s="1"/>
  <c r="F29"/>
  <c r="H29" s="1"/>
  <c r="F26"/>
  <c r="I26" s="1"/>
  <c r="F25"/>
  <c r="H25" s="1"/>
  <c r="F24"/>
  <c r="H24" s="1"/>
  <c r="F23"/>
  <c r="I23" s="1"/>
  <c r="F22"/>
  <c r="H22" s="1"/>
  <c r="F21"/>
  <c r="H21" s="1"/>
  <c r="F20"/>
  <c r="I20" s="1"/>
  <c r="F19"/>
  <c r="H19" s="1"/>
  <c r="E18"/>
  <c r="F18" s="1"/>
  <c r="F17"/>
  <c r="H17" s="1"/>
  <c r="F16"/>
  <c r="I16" s="1"/>
  <c r="I82" i="24"/>
  <c r="I81"/>
  <c r="H82"/>
  <c r="F81"/>
  <c r="H81" s="1"/>
  <c r="I80"/>
  <c r="H80"/>
  <c r="E77"/>
  <c r="F77" s="1"/>
  <c r="F76"/>
  <c r="I76" s="1"/>
  <c r="F74"/>
  <c r="H74" s="1"/>
  <c r="H72"/>
  <c r="F70"/>
  <c r="H70" s="1"/>
  <c r="I69"/>
  <c r="H69"/>
  <c r="F67"/>
  <c r="H67" s="1"/>
  <c r="E66"/>
  <c r="F66" s="1"/>
  <c r="H66" s="1"/>
  <c r="F65"/>
  <c r="H65" s="1"/>
  <c r="F64"/>
  <c r="H64" s="1"/>
  <c r="F63"/>
  <c r="H63" s="1"/>
  <c r="F62"/>
  <c r="H62" s="1"/>
  <c r="H61"/>
  <c r="H60"/>
  <c r="I58"/>
  <c r="H58"/>
  <c r="F55"/>
  <c r="I55" s="1"/>
  <c r="I52"/>
  <c r="H52"/>
  <c r="F52"/>
  <c r="H5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I41"/>
  <c r="H41"/>
  <c r="F40"/>
  <c r="I40" s="1"/>
  <c r="F39"/>
  <c r="H39" s="1"/>
  <c r="F38"/>
  <c r="I38" s="1"/>
  <c r="F37"/>
  <c r="H37" s="1"/>
  <c r="I36"/>
  <c r="H36"/>
  <c r="H34"/>
  <c r="H33"/>
  <c r="H32"/>
  <c r="F32"/>
  <c r="I32" s="1"/>
  <c r="F31"/>
  <c r="H31" s="1"/>
  <c r="F30"/>
  <c r="I30" s="1"/>
  <c r="F29"/>
  <c r="H29" s="1"/>
  <c r="F26"/>
  <c r="I26" s="1"/>
  <c r="F25"/>
  <c r="H25" s="1"/>
  <c r="F24"/>
  <c r="H24" s="1"/>
  <c r="F23"/>
  <c r="I23" s="1"/>
  <c r="F22"/>
  <c r="H22" s="1"/>
  <c r="F21"/>
  <c r="H21" s="1"/>
  <c r="F20"/>
  <c r="I20" s="1"/>
  <c r="F19"/>
  <c r="H19" s="1"/>
  <c r="E18"/>
  <c r="F18" s="1"/>
  <c r="F17"/>
  <c r="H17" s="1"/>
  <c r="F16"/>
  <c r="I16" s="1"/>
  <c r="I83" i="23"/>
  <c r="I78"/>
  <c r="I86"/>
  <c r="I84"/>
  <c r="I85"/>
  <c r="I82"/>
  <c r="I81"/>
  <c r="I60"/>
  <c r="H85"/>
  <c r="F84"/>
  <c r="H84" s="1"/>
  <c r="H83"/>
  <c r="H82"/>
  <c r="H81"/>
  <c r="I80"/>
  <c r="H80"/>
  <c r="E77"/>
  <c r="F77" s="1"/>
  <c r="F76"/>
  <c r="I76" s="1"/>
  <c r="F74"/>
  <c r="H74" s="1"/>
  <c r="H72"/>
  <c r="F70"/>
  <c r="H70" s="1"/>
  <c r="I69"/>
  <c r="H69"/>
  <c r="F67"/>
  <c r="H67" s="1"/>
  <c r="E66"/>
  <c r="F66" s="1"/>
  <c r="H66" s="1"/>
  <c r="F65"/>
  <c r="H65" s="1"/>
  <c r="F64"/>
  <c r="H64" s="1"/>
  <c r="F63"/>
  <c r="H63" s="1"/>
  <c r="F62"/>
  <c r="H62" s="1"/>
  <c r="H61"/>
  <c r="H60"/>
  <c r="I58"/>
  <c r="H58"/>
  <c r="F55"/>
  <c r="I55" s="1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I41"/>
  <c r="H41"/>
  <c r="F40"/>
  <c r="I40" s="1"/>
  <c r="F39"/>
  <c r="H39" s="1"/>
  <c r="F38"/>
  <c r="I38" s="1"/>
  <c r="F37"/>
  <c r="H37" s="1"/>
  <c r="I36"/>
  <c r="H36"/>
  <c r="H34"/>
  <c r="H33"/>
  <c r="H32"/>
  <c r="F32"/>
  <c r="I32" s="1"/>
  <c r="F31"/>
  <c r="H31" s="1"/>
  <c r="F30"/>
  <c r="I30" s="1"/>
  <c r="F29"/>
  <c r="H29" s="1"/>
  <c r="F26"/>
  <c r="I26" s="1"/>
  <c r="F25"/>
  <c r="H25" s="1"/>
  <c r="F24"/>
  <c r="H24" s="1"/>
  <c r="F23"/>
  <c r="I23" s="1"/>
  <c r="F22"/>
  <c r="H22" s="1"/>
  <c r="F21"/>
  <c r="H21" s="1"/>
  <c r="F20"/>
  <c r="I20" s="1"/>
  <c r="F19"/>
  <c r="H19" s="1"/>
  <c r="E18"/>
  <c r="F18" s="1"/>
  <c r="F17"/>
  <c r="H17" s="1"/>
  <c r="F16"/>
  <c r="I16" s="1"/>
  <c r="I87" i="22"/>
  <c r="I86"/>
  <c r="I85"/>
  <c r="I84"/>
  <c r="I83"/>
  <c r="I82"/>
  <c r="I81"/>
  <c r="I60"/>
  <c r="F87"/>
  <c r="H87" s="1"/>
  <c r="F86"/>
  <c r="H86" s="1"/>
  <c r="H85"/>
  <c r="H84"/>
  <c r="H83"/>
  <c r="H82"/>
  <c r="H81"/>
  <c r="I80"/>
  <c r="H80"/>
  <c r="E77"/>
  <c r="F77" s="1"/>
  <c r="F76"/>
  <c r="I76" s="1"/>
  <c r="F74"/>
  <c r="H74" s="1"/>
  <c r="H72"/>
  <c r="F70"/>
  <c r="H70" s="1"/>
  <c r="I69"/>
  <c r="H69"/>
  <c r="F67"/>
  <c r="H67" s="1"/>
  <c r="E66"/>
  <c r="F66" s="1"/>
  <c r="H66" s="1"/>
  <c r="F65"/>
  <c r="H65" s="1"/>
  <c r="F64"/>
  <c r="H64" s="1"/>
  <c r="F63"/>
  <c r="H63" s="1"/>
  <c r="F62"/>
  <c r="H62" s="1"/>
  <c r="H61"/>
  <c r="H60"/>
  <c r="I58"/>
  <c r="H58"/>
  <c r="F55"/>
  <c r="I55" s="1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I41"/>
  <c r="H41"/>
  <c r="F40"/>
  <c r="I40" s="1"/>
  <c r="F39"/>
  <c r="H39" s="1"/>
  <c r="F38"/>
  <c r="I38" s="1"/>
  <c r="F37"/>
  <c r="H37" s="1"/>
  <c r="I36"/>
  <c r="H36"/>
  <c r="H34"/>
  <c r="H33"/>
  <c r="H32"/>
  <c r="F32"/>
  <c r="I32" s="1"/>
  <c r="F31"/>
  <c r="H31" s="1"/>
  <c r="F30"/>
  <c r="I30" s="1"/>
  <c r="F29"/>
  <c r="H29" s="1"/>
  <c r="F26"/>
  <c r="I26" s="1"/>
  <c r="F25"/>
  <c r="H25" s="1"/>
  <c r="F24"/>
  <c r="H24" s="1"/>
  <c r="F23"/>
  <c r="I23" s="1"/>
  <c r="F22"/>
  <c r="H22" s="1"/>
  <c r="F21"/>
  <c r="H21" s="1"/>
  <c r="F20"/>
  <c r="I20" s="1"/>
  <c r="F19"/>
  <c r="H19" s="1"/>
  <c r="E18"/>
  <c r="F18" s="1"/>
  <c r="F17"/>
  <c r="H17" s="1"/>
  <c r="F16"/>
  <c r="I16" s="1"/>
  <c r="I78" i="26" l="1"/>
  <c r="I86" s="1"/>
  <c r="I47" i="25"/>
  <c r="I45"/>
  <c r="I43"/>
  <c r="I46"/>
  <c r="I44"/>
  <c r="H18"/>
  <c r="I18"/>
  <c r="I77"/>
  <c r="H77"/>
  <c r="H78" s="1"/>
  <c r="H16"/>
  <c r="I17"/>
  <c r="H20"/>
  <c r="I21"/>
  <c r="H23"/>
  <c r="I25"/>
  <c r="H26"/>
  <c r="I29"/>
  <c r="H30"/>
  <c r="I31"/>
  <c r="I37"/>
  <c r="H38"/>
  <c r="I39"/>
  <c r="H40"/>
  <c r="I48"/>
  <c r="H55"/>
  <c r="H73" s="1"/>
  <c r="H76"/>
  <c r="I83" i="24"/>
  <c r="I77"/>
  <c r="H77"/>
  <c r="H78" s="1"/>
  <c r="H18"/>
  <c r="I18"/>
  <c r="H16"/>
  <c r="I17"/>
  <c r="H20"/>
  <c r="I21"/>
  <c r="H23"/>
  <c r="I25"/>
  <c r="H26"/>
  <c r="I29"/>
  <c r="H30"/>
  <c r="I31"/>
  <c r="I37"/>
  <c r="H38"/>
  <c r="I39"/>
  <c r="H40"/>
  <c r="I48"/>
  <c r="H55"/>
  <c r="H73" s="1"/>
  <c r="H76"/>
  <c r="H18" i="23"/>
  <c r="I18"/>
  <c r="I77"/>
  <c r="H77"/>
  <c r="H78" s="1"/>
  <c r="H16"/>
  <c r="I17"/>
  <c r="H20"/>
  <c r="I21"/>
  <c r="H23"/>
  <c r="I25"/>
  <c r="H26"/>
  <c r="I29"/>
  <c r="H30"/>
  <c r="I31"/>
  <c r="I37"/>
  <c r="H38"/>
  <c r="I39"/>
  <c r="H40"/>
  <c r="I48"/>
  <c r="H55"/>
  <c r="H73" s="1"/>
  <c r="H76"/>
  <c r="I88" i="22"/>
  <c r="H18"/>
  <c r="I18"/>
  <c r="I77"/>
  <c r="H77"/>
  <c r="H78" s="1"/>
  <c r="H16"/>
  <c r="I17"/>
  <c r="H20"/>
  <c r="I21"/>
  <c r="H23"/>
  <c r="I25"/>
  <c r="H26"/>
  <c r="I29"/>
  <c r="H30"/>
  <c r="I31"/>
  <c r="I37"/>
  <c r="H38"/>
  <c r="I39"/>
  <c r="H40"/>
  <c r="I48"/>
  <c r="H55"/>
  <c r="H73" s="1"/>
  <c r="H76"/>
  <c r="I86" i="25" l="1"/>
  <c r="I78" i="24"/>
  <c r="I85" s="1"/>
  <c r="I88" i="23"/>
  <c r="I78" i="22"/>
  <c r="I90" s="1"/>
  <c r="I82" i="21" l="1"/>
  <c r="I83"/>
  <c r="I81"/>
  <c r="I60"/>
  <c r="I51"/>
  <c r="H83"/>
  <c r="H82"/>
  <c r="H81"/>
  <c r="I80"/>
  <c r="I84" s="1"/>
  <c r="H80"/>
  <c r="F77"/>
  <c r="I77" s="1"/>
  <c r="E77"/>
  <c r="F76"/>
  <c r="I76" s="1"/>
  <c r="F74"/>
  <c r="H74" s="1"/>
  <c r="H72"/>
  <c r="F70"/>
  <c r="H70" s="1"/>
  <c r="I69"/>
  <c r="H69"/>
  <c r="F67"/>
  <c r="H67" s="1"/>
  <c r="E66"/>
  <c r="F66" s="1"/>
  <c r="H66" s="1"/>
  <c r="F65"/>
  <c r="H65" s="1"/>
  <c r="F64"/>
  <c r="H64" s="1"/>
  <c r="F63"/>
  <c r="H63" s="1"/>
  <c r="F62"/>
  <c r="H62" s="1"/>
  <c r="H61"/>
  <c r="H60"/>
  <c r="I58"/>
  <c r="H58"/>
  <c r="F55"/>
  <c r="I55" s="1"/>
  <c r="I52"/>
  <c r="F52"/>
  <c r="H52" s="1"/>
  <c r="H51"/>
  <c r="F50"/>
  <c r="H50" s="1"/>
  <c r="F49"/>
  <c r="H49" s="1"/>
  <c r="H48"/>
  <c r="F48"/>
  <c r="I48" s="1"/>
  <c r="F47"/>
  <c r="H47" s="1"/>
  <c r="F46"/>
  <c r="H46" s="1"/>
  <c r="F45"/>
  <c r="H45" s="1"/>
  <c r="F44"/>
  <c r="H44" s="1"/>
  <c r="F43"/>
  <c r="H43" s="1"/>
  <c r="I41"/>
  <c r="H41"/>
  <c r="F40"/>
  <c r="I40" s="1"/>
  <c r="F39"/>
  <c r="H39" s="1"/>
  <c r="F38"/>
  <c r="I38" s="1"/>
  <c r="F37"/>
  <c r="H37" s="1"/>
  <c r="I36"/>
  <c r="H36"/>
  <c r="H34"/>
  <c r="H33"/>
  <c r="H32"/>
  <c r="F32"/>
  <c r="I32" s="1"/>
  <c r="F31"/>
  <c r="H31" s="1"/>
  <c r="F30"/>
  <c r="I30" s="1"/>
  <c r="F29"/>
  <c r="H29" s="1"/>
  <c r="F26"/>
  <c r="I26" s="1"/>
  <c r="F25"/>
  <c r="H25" s="1"/>
  <c r="F24"/>
  <c r="H24" s="1"/>
  <c r="F23"/>
  <c r="I23" s="1"/>
  <c r="F22"/>
  <c r="H22" s="1"/>
  <c r="F21"/>
  <c r="H21" s="1"/>
  <c r="F20"/>
  <c r="I20" s="1"/>
  <c r="F19"/>
  <c r="H19" s="1"/>
  <c r="E18"/>
  <c r="F18" s="1"/>
  <c r="F17"/>
  <c r="H17" s="1"/>
  <c r="F16"/>
  <c r="I16" s="1"/>
  <c r="I78" i="20"/>
  <c r="I60"/>
  <c r="I52"/>
  <c r="I52" i="17"/>
  <c r="I22" i="21" l="1"/>
  <c r="I49"/>
  <c r="I50"/>
  <c r="I46"/>
  <c r="I44"/>
  <c r="I62"/>
  <c r="I65"/>
  <c r="I63"/>
  <c r="I19"/>
  <c r="I24"/>
  <c r="I47"/>
  <c r="I45"/>
  <c r="I43"/>
  <c r="I66"/>
  <c r="I64"/>
  <c r="H18"/>
  <c r="I18"/>
  <c r="H16"/>
  <c r="I17"/>
  <c r="H20"/>
  <c r="I21"/>
  <c r="H23"/>
  <c r="I25"/>
  <c r="H26"/>
  <c r="I29"/>
  <c r="H30"/>
  <c r="I31"/>
  <c r="I37"/>
  <c r="H38"/>
  <c r="I39"/>
  <c r="H40"/>
  <c r="H55"/>
  <c r="H73" s="1"/>
  <c r="H76"/>
  <c r="H77"/>
  <c r="H78" s="1"/>
  <c r="I78" l="1"/>
  <c r="I86"/>
  <c r="H99" i="20" l="1"/>
  <c r="H98"/>
  <c r="H97"/>
  <c r="H96"/>
  <c r="F95"/>
  <c r="H95" s="1"/>
  <c r="H94"/>
  <c r="F93"/>
  <c r="H93" s="1"/>
  <c r="F92"/>
  <c r="H92" s="1"/>
  <c r="H91"/>
  <c r="H90"/>
  <c r="H89"/>
  <c r="H88"/>
  <c r="H87"/>
  <c r="H86"/>
  <c r="H85"/>
  <c r="H84"/>
  <c r="H83"/>
  <c r="F82"/>
  <c r="H82" s="1"/>
  <c r="H81"/>
  <c r="I80"/>
  <c r="I100" s="1"/>
  <c r="H80"/>
  <c r="E77"/>
  <c r="F77" s="1"/>
  <c r="F76"/>
  <c r="I76" s="1"/>
  <c r="F74"/>
  <c r="H74" s="1"/>
  <c r="H72"/>
  <c r="H70"/>
  <c r="F70"/>
  <c r="I69"/>
  <c r="H69"/>
  <c r="F67"/>
  <c r="H67" s="1"/>
  <c r="E66"/>
  <c r="F66" s="1"/>
  <c r="H66" s="1"/>
  <c r="F65"/>
  <c r="H65" s="1"/>
  <c r="F64"/>
  <c r="H64" s="1"/>
  <c r="F63"/>
  <c r="H63" s="1"/>
  <c r="F62"/>
  <c r="H62" s="1"/>
  <c r="H61"/>
  <c r="H60"/>
  <c r="I58"/>
  <c r="H58"/>
  <c r="F55"/>
  <c r="I55" s="1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H43"/>
  <c r="F43"/>
  <c r="I41"/>
  <c r="H41"/>
  <c r="F40"/>
  <c r="I40" s="1"/>
  <c r="H39"/>
  <c r="F39"/>
  <c r="I39" s="1"/>
  <c r="F38"/>
  <c r="I38" s="1"/>
  <c r="F37"/>
  <c r="H37" s="1"/>
  <c r="I36"/>
  <c r="H36"/>
  <c r="H34"/>
  <c r="H33"/>
  <c r="H32"/>
  <c r="F32"/>
  <c r="I32" s="1"/>
  <c r="F31"/>
  <c r="H31" s="1"/>
  <c r="F30"/>
  <c r="I30" s="1"/>
  <c r="F29"/>
  <c r="H29" s="1"/>
  <c r="F26"/>
  <c r="I26" s="1"/>
  <c r="F25"/>
  <c r="H25" s="1"/>
  <c r="F24"/>
  <c r="H24" s="1"/>
  <c r="F23"/>
  <c r="I23" s="1"/>
  <c r="F22"/>
  <c r="H22" s="1"/>
  <c r="F21"/>
  <c r="H21" s="1"/>
  <c r="F20"/>
  <c r="I20" s="1"/>
  <c r="F19"/>
  <c r="H19" s="1"/>
  <c r="E18"/>
  <c r="F18" s="1"/>
  <c r="F17"/>
  <c r="H17" s="1"/>
  <c r="F16"/>
  <c r="I16" s="1"/>
  <c r="H18" l="1"/>
  <c r="I18"/>
  <c r="I77"/>
  <c r="H77"/>
  <c r="H78" s="1"/>
  <c r="H16"/>
  <c r="I17"/>
  <c r="H20"/>
  <c r="I21"/>
  <c r="H23"/>
  <c r="I25"/>
  <c r="H26"/>
  <c r="I29"/>
  <c r="H30"/>
  <c r="I31"/>
  <c r="I37"/>
  <c r="H38"/>
  <c r="H40"/>
  <c r="I48"/>
  <c r="H55"/>
  <c r="H73" s="1"/>
  <c r="H76"/>
  <c r="I102" l="1"/>
  <c r="I78" i="19"/>
  <c r="I82"/>
  <c r="I81"/>
  <c r="I74"/>
  <c r="F81"/>
  <c r="H81" s="1"/>
  <c r="I80"/>
  <c r="H80"/>
  <c r="E77"/>
  <c r="F77" s="1"/>
  <c r="F76"/>
  <c r="I76" s="1"/>
  <c r="F74"/>
  <c r="H74" s="1"/>
  <c r="H72"/>
  <c r="F70"/>
  <c r="H70" s="1"/>
  <c r="I69"/>
  <c r="H69"/>
  <c r="F67"/>
  <c r="H67" s="1"/>
  <c r="E66"/>
  <c r="F66" s="1"/>
  <c r="H66" s="1"/>
  <c r="F65"/>
  <c r="H65" s="1"/>
  <c r="F64"/>
  <c r="H64" s="1"/>
  <c r="F63"/>
  <c r="H63" s="1"/>
  <c r="F62"/>
  <c r="H62" s="1"/>
  <c r="H61"/>
  <c r="H60"/>
  <c r="I58"/>
  <c r="H58"/>
  <c r="F55"/>
  <c r="I55" s="1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I41"/>
  <c r="H41"/>
  <c r="F40"/>
  <c r="I40" s="1"/>
  <c r="F39"/>
  <c r="H39" s="1"/>
  <c r="F38"/>
  <c r="I38" s="1"/>
  <c r="F37"/>
  <c r="H37" s="1"/>
  <c r="I36"/>
  <c r="H36"/>
  <c r="H34"/>
  <c r="H33"/>
  <c r="H32"/>
  <c r="F32"/>
  <c r="I32" s="1"/>
  <c r="F31"/>
  <c r="H31" s="1"/>
  <c r="F30"/>
  <c r="I30" s="1"/>
  <c r="F29"/>
  <c r="H29" s="1"/>
  <c r="F26"/>
  <c r="I26" s="1"/>
  <c r="F25"/>
  <c r="H25" s="1"/>
  <c r="F24"/>
  <c r="H24" s="1"/>
  <c r="F23"/>
  <c r="I23" s="1"/>
  <c r="F22"/>
  <c r="H22" s="1"/>
  <c r="F21"/>
  <c r="H21" s="1"/>
  <c r="F20"/>
  <c r="I20" s="1"/>
  <c r="F19"/>
  <c r="H19" s="1"/>
  <c r="E18"/>
  <c r="F18" s="1"/>
  <c r="F17"/>
  <c r="H17" s="1"/>
  <c r="F16"/>
  <c r="I16" s="1"/>
  <c r="I84" i="18"/>
  <c r="I85" s="1"/>
  <c r="I87" s="1"/>
  <c r="I78"/>
  <c r="I83"/>
  <c r="I82"/>
  <c r="I81"/>
  <c r="H84"/>
  <c r="H83"/>
  <c r="F82"/>
  <c r="H82" s="1"/>
  <c r="H81"/>
  <c r="I80"/>
  <c r="H80"/>
  <c r="E77"/>
  <c r="F77" s="1"/>
  <c r="F76"/>
  <c r="I76" s="1"/>
  <c r="F74"/>
  <c r="H74" s="1"/>
  <c r="H72"/>
  <c r="H70"/>
  <c r="F70"/>
  <c r="I69"/>
  <c r="H69"/>
  <c r="F67"/>
  <c r="H67" s="1"/>
  <c r="E66"/>
  <c r="F66" s="1"/>
  <c r="H66" s="1"/>
  <c r="F65"/>
  <c r="H65" s="1"/>
  <c r="F64"/>
  <c r="H64" s="1"/>
  <c r="F63"/>
  <c r="H63" s="1"/>
  <c r="F62"/>
  <c r="H62" s="1"/>
  <c r="H61"/>
  <c r="H60"/>
  <c r="I58"/>
  <c r="H58"/>
  <c r="F55"/>
  <c r="I55" s="1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I41"/>
  <c r="H41"/>
  <c r="F40"/>
  <c r="I40" s="1"/>
  <c r="F39"/>
  <c r="H39" s="1"/>
  <c r="F38"/>
  <c r="I38" s="1"/>
  <c r="F37"/>
  <c r="H37" s="1"/>
  <c r="I36"/>
  <c r="H36"/>
  <c r="H34"/>
  <c r="H33"/>
  <c r="H32"/>
  <c r="F32"/>
  <c r="I32" s="1"/>
  <c r="F31"/>
  <c r="H31" s="1"/>
  <c r="F30"/>
  <c r="I30" s="1"/>
  <c r="F29"/>
  <c r="H29" s="1"/>
  <c r="F26"/>
  <c r="I26" s="1"/>
  <c r="F25"/>
  <c r="H25" s="1"/>
  <c r="F24"/>
  <c r="H24" s="1"/>
  <c r="F23"/>
  <c r="I23" s="1"/>
  <c r="F22"/>
  <c r="H22" s="1"/>
  <c r="F21"/>
  <c r="H21" s="1"/>
  <c r="F20"/>
  <c r="I20" s="1"/>
  <c r="F19"/>
  <c r="H19" s="1"/>
  <c r="E18"/>
  <c r="F18" s="1"/>
  <c r="F17"/>
  <c r="H17" s="1"/>
  <c r="F16"/>
  <c r="I16" s="1"/>
  <c r="H55" i="19" l="1"/>
  <c r="H76"/>
  <c r="H18"/>
  <c r="I18"/>
  <c r="H73"/>
  <c r="I77"/>
  <c r="H77"/>
  <c r="H78" s="1"/>
  <c r="H16"/>
  <c r="I17"/>
  <c r="H20"/>
  <c r="I21"/>
  <c r="H23"/>
  <c r="I25"/>
  <c r="H26"/>
  <c r="I29"/>
  <c r="H30"/>
  <c r="I31"/>
  <c r="I37"/>
  <c r="H38"/>
  <c r="I39"/>
  <c r="H40"/>
  <c r="I48"/>
  <c r="H18" i="18"/>
  <c r="I18"/>
  <c r="I77"/>
  <c r="H77"/>
  <c r="H78" s="1"/>
  <c r="H16"/>
  <c r="I17"/>
  <c r="H20"/>
  <c r="I21"/>
  <c r="H23"/>
  <c r="I25"/>
  <c r="H26"/>
  <c r="I29"/>
  <c r="H30"/>
  <c r="I31"/>
  <c r="I37"/>
  <c r="H38"/>
  <c r="I39"/>
  <c r="H40"/>
  <c r="I48"/>
  <c r="H55"/>
  <c r="H73" s="1"/>
  <c r="H76"/>
  <c r="H99" i="17"/>
  <c r="H98"/>
  <c r="H97"/>
  <c r="H96"/>
  <c r="F95"/>
  <c r="H95" s="1"/>
  <c r="H94"/>
  <c r="F93"/>
  <c r="H93" s="1"/>
  <c r="F92"/>
  <c r="H92" s="1"/>
  <c r="H91"/>
  <c r="H90"/>
  <c r="H89"/>
  <c r="H88"/>
  <c r="H87"/>
  <c r="H86"/>
  <c r="H85"/>
  <c r="H84"/>
  <c r="H83"/>
  <c r="F82"/>
  <c r="H82" s="1"/>
  <c r="H81"/>
  <c r="I80"/>
  <c r="I100" s="1"/>
  <c r="H80"/>
  <c r="E77"/>
  <c r="F77" s="1"/>
  <c r="F76"/>
  <c r="H76" s="1"/>
  <c r="F74"/>
  <c r="H74" s="1"/>
  <c r="H72"/>
  <c r="F70"/>
  <c r="H70" s="1"/>
  <c r="I69"/>
  <c r="H69"/>
  <c r="F67"/>
  <c r="H67" s="1"/>
  <c r="E66"/>
  <c r="F66" s="1"/>
  <c r="H66" s="1"/>
  <c r="F65"/>
  <c r="H65" s="1"/>
  <c r="F64"/>
  <c r="H64" s="1"/>
  <c r="F63"/>
  <c r="H63" s="1"/>
  <c r="F62"/>
  <c r="H62" s="1"/>
  <c r="H61"/>
  <c r="H60"/>
  <c r="I58"/>
  <c r="H58"/>
  <c r="F55"/>
  <c r="H55" s="1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I41"/>
  <c r="H41"/>
  <c r="F40"/>
  <c r="H40" s="1"/>
  <c r="F39"/>
  <c r="I39" s="1"/>
  <c r="F38"/>
  <c r="H38" s="1"/>
  <c r="F37"/>
  <c r="I37" s="1"/>
  <c r="I36"/>
  <c r="H36"/>
  <c r="F26"/>
  <c r="I26" s="1"/>
  <c r="H34"/>
  <c r="H33"/>
  <c r="F25"/>
  <c r="H25" s="1"/>
  <c r="H32"/>
  <c r="F32"/>
  <c r="I32" s="1"/>
  <c r="F31"/>
  <c r="H31" s="1"/>
  <c r="F30"/>
  <c r="H30" s="1"/>
  <c r="F29"/>
  <c r="H29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4" i="19" l="1"/>
  <c r="I31" i="17"/>
  <c r="I29"/>
  <c r="I30"/>
  <c r="H21"/>
  <c r="H26"/>
  <c r="H37"/>
  <c r="H73"/>
  <c r="H17"/>
  <c r="H39"/>
  <c r="I18"/>
  <c r="H18"/>
  <c r="I77"/>
  <c r="H77"/>
  <c r="H78" s="1"/>
  <c r="I16"/>
  <c r="I20"/>
  <c r="I23"/>
  <c r="I25"/>
  <c r="I38"/>
  <c r="I40"/>
  <c r="I48"/>
  <c r="I55"/>
  <c r="I76"/>
  <c r="I78" l="1"/>
  <c r="I102" s="1"/>
  <c r="G64" i="14" l="1"/>
  <c r="G83" i="8"/>
  <c r="G79"/>
  <c r="E31" l="1"/>
  <c r="G85" l="1"/>
  <c r="G89" i="14"/>
  <c r="G91" l="1"/>
  <c r="E28" l="1"/>
  <c r="G50" l="1"/>
  <c r="G49"/>
  <c r="G47"/>
  <c r="G46"/>
  <c r="E46"/>
  <c r="E47"/>
  <c r="E48"/>
  <c r="G45"/>
  <c r="G44"/>
  <c r="G43"/>
  <c r="E32" l="1"/>
  <c r="E35"/>
  <c r="E41"/>
  <c r="E42"/>
  <c r="E43"/>
  <c r="E44"/>
  <c r="E45"/>
  <c r="E53"/>
  <c r="E56"/>
  <c r="E60"/>
  <c r="E62"/>
  <c r="G41" l="1"/>
  <c r="G42"/>
  <c r="E40" l="1"/>
  <c r="J62"/>
  <c r="E33" l="1"/>
  <c r="G40" l="1"/>
  <c r="G48"/>
  <c r="H62"/>
  <c r="H63" s="1"/>
  <c r="E37"/>
  <c r="E36" l="1"/>
  <c r="E38" l="1"/>
</calcChain>
</file>

<file path=xl/sharedStrings.xml><?xml version="1.0" encoding="utf-8"?>
<sst xmlns="http://schemas.openxmlformats.org/spreadsheetml/2006/main" count="2514" uniqueCount="292">
  <si>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</si>
  <si>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</si>
  <si>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</si>
  <si>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</si>
  <si>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</si>
  <si>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</si>
  <si>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</si>
  <si>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</si>
  <si>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</si>
  <si>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</si>
  <si>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</si>
  <si>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</si>
  <si>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</si>
  <si>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</si>
  <si>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</si>
  <si>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</si>
  <si>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</si>
  <si>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</si>
  <si>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</si>
  <si>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</si>
  <si>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</si>
  <si>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</si>
  <si>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t xml:space="preserve">Приказ Министерства строительства и жилищно - коммунального хозяйства Российской Федерации от 26 октября 2015г. № 761/пр. 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</si>
  <si>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</si>
  <si>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</si>
  <si>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</si>
  <si>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</si>
  <si>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</si>
  <si>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</si>
  <si>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</si>
  <si>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по необходим-ти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</si>
  <si>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</si>
  <si>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</si>
  <si>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</si>
  <si>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</si>
  <si>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</si>
  <si>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</si>
  <si>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</si>
  <si>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</si>
  <si>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шиферной  кровли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</si>
  <si>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</si>
  <si>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</si>
  <si>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</si>
  <si>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</si>
  <si>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</si>
  <si>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электрообору- дования на чердаках, подвалах и техэтажах</t>
  </si>
  <si>
    <t>Осмотр электросетей,арматуры и электооборудо- вания на лестничных клетках</t>
  </si>
  <si>
    <t>100 лест.</t>
  </si>
  <si>
    <t>Осмотр вводных электрических щитков</t>
  </si>
  <si>
    <t>100 шт.</t>
  </si>
  <si>
    <t>Проверка  дымоходов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</si>
  <si>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</si>
  <si>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</si>
  <si>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</si>
  <si>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</si>
  <si>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</si>
  <si>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</si>
  <si>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</si>
  <si>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</si>
  <si>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</si>
  <si>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</si>
  <si>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</si>
  <si>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</si>
  <si>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</si>
  <si>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</si>
  <si>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</si>
  <si>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</si>
  <si>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</si>
  <si>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>ежемесячно</t>
  </si>
  <si>
    <t>за период с 01.06.2016 г. по 30.06.2016 г.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</si>
  <si>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</si>
  <si>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</si>
  <si>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</si>
  <si>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</si>
  <si>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</si>
  <si>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весенне-осенний осмотр, 2 раза</t>
  </si>
  <si>
    <t>5. Настоящий Акт составлен в 2 экземплярах, имеющих одинаковую юридическую силу, по одному для каждой из Сторон</t>
  </si>
  <si>
    <t>за период с 01.08.2016 г. по 31.08.2016 г.</t>
  </si>
  <si>
    <t>за период с 01.10.2016 г. по 31.10.2016 г.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</si>
  <si>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</si>
  <si>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</si>
  <si>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</si>
  <si>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</si>
  <si>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</si>
  <si>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</si>
  <si>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</si>
  <si>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</si>
  <si>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</si>
  <si>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</si>
  <si>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</si>
  <si>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</si>
  <si>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</si>
  <si>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</si>
  <si>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</si>
  <si>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</si>
  <si>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</si>
  <si>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</si>
  <si>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</si>
  <si>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</si>
  <si>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</si>
  <si>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Аварийное - диспетчерское обслуживание</t>
  </si>
  <si>
    <t>Ремонт групповых щитков на лестничной клетке без ремонта автоматов</t>
  </si>
  <si>
    <t>Итого:</t>
  </si>
  <si>
    <t>за период с 01.02.2016 г. по 29.02.2016 г.</t>
  </si>
  <si>
    <t>1 м</t>
  </si>
  <si>
    <t>за период с 01.03.2016 г. по 31.03.2016 г.</t>
  </si>
  <si>
    <t>за период с 01.04.2016 г. по 30.04.2016 г.</t>
  </si>
  <si>
    <t>Подключение и отключение сварочного аппарата</t>
  </si>
  <si>
    <t>за период с 01.05.2016 г. по 31.05.2016 г.</t>
  </si>
  <si>
    <t>за период с 01.07.2016 г. по 31.07.2016 г.</t>
  </si>
  <si>
    <t>за период с 01.09.2016 г. по 30.09.2016 г.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</si>
  <si>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</si>
  <si>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</si>
  <si>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</si>
  <si>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дверных приборов - петли</t>
  </si>
  <si>
    <t>Пристрожка полотна по кромкам</t>
  </si>
  <si>
    <t>Смена дверных приборов (замки навесные)</t>
  </si>
  <si>
    <t>3 раза в месяц</t>
  </si>
  <si>
    <t>7 раз в месяц</t>
  </si>
  <si>
    <t xml:space="preserve">ежедневно </t>
  </si>
  <si>
    <t xml:space="preserve">II. Уборка земельного участка </t>
  </si>
  <si>
    <t>26 раз в месяц</t>
  </si>
  <si>
    <r>
      <t>Наименование вида работы (услуги)</t>
    </r>
    <r>
      <rPr>
        <vertAlign val="superscript"/>
        <sz val="12"/>
        <rFont val="Times New Roman"/>
        <family val="1"/>
        <charset val="204"/>
      </rPr>
      <t>2</t>
    </r>
  </si>
  <si>
    <t>ООО «Жилсервис»</t>
  </si>
  <si>
    <t>за период с 01.11.2016 г. по 30.11.2016 г.</t>
  </si>
  <si>
    <t>Влажное подметание лестничных клеток 1 этажа</t>
  </si>
  <si>
    <t>Влажное подметание лестничных клеток 2-4 этажа</t>
  </si>
  <si>
    <t>Мытье лестничных  площадок и маршей 1-4 этаж.</t>
  </si>
  <si>
    <t>13 раз в месяц</t>
  </si>
  <si>
    <t>III. Плановые осмотры  и мелкий ремонт</t>
  </si>
  <si>
    <t>III. Содержание общего имущества</t>
  </si>
  <si>
    <t xml:space="preserve"> IV. Прочие услуги</t>
  </si>
  <si>
    <t>Пескопосыпка территории: входн. площадки</t>
  </si>
  <si>
    <t xml:space="preserve">Очистка края кровли  от слежавшегося снега со сбрасы- ванием сосулек (10% от S кровли, козырьки над подъездами) </t>
  </si>
  <si>
    <t>Смена арматуры - вентилей и клапанов обратных муфтовых диаметром до 20 мм</t>
  </si>
  <si>
    <t>Смена трубопроводов на полипропиленовые трубы PN20 диаметром 20мм</t>
  </si>
  <si>
    <t>генеральный директор Куканов Ю.Л.</t>
  </si>
  <si>
    <t>Сдвигание снега в дни снегопада (тротуар, крыльца)</t>
  </si>
  <si>
    <t>5 раз в месяц</t>
  </si>
  <si>
    <t>Подметание снега - с тротуара, крылец, контейнерных площадок</t>
  </si>
  <si>
    <t>Очистка оголовков дымоходов и вентканалов от наледи и снега</t>
  </si>
  <si>
    <t xml:space="preserve">2 раза в месяц  </t>
  </si>
  <si>
    <t>шт</t>
  </si>
  <si>
    <t>Внеплановая проверка дымоходов</t>
  </si>
  <si>
    <t>Дератизация</t>
  </si>
  <si>
    <t>Прочистка засоров ГВС, XВC</t>
  </si>
  <si>
    <t>3м</t>
  </si>
  <si>
    <t>Смена трубопроводов на полипропиленовые трубы PN20 диаметром 25 мм</t>
  </si>
  <si>
    <t>Смена бруса у входной двери (IV подъезд)</t>
  </si>
  <si>
    <t>10 м2</t>
  </si>
  <si>
    <t>Ремонт дверных полотен</t>
  </si>
  <si>
    <t>брусок</t>
  </si>
  <si>
    <t>Смена дверных приборов - ручки-скобы</t>
  </si>
  <si>
    <t>Смена дверных приборов - проушины</t>
  </si>
  <si>
    <t>Прогрев ХВС</t>
  </si>
  <si>
    <t>3 м</t>
  </si>
  <si>
    <t>Смена стекол в деревянных переплетах при площади стекла до 1 м2</t>
  </si>
  <si>
    <t xml:space="preserve">Стоимость песка: 100 м2 - 0,002 м3 </t>
  </si>
  <si>
    <t>Итого  затраты за месяц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</si>
  <si>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</si>
  <si>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</si>
  <si>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8  раз в месяц</t>
  </si>
  <si>
    <t>Влажная протирка перил</t>
  </si>
  <si>
    <t>100м2</t>
  </si>
  <si>
    <t xml:space="preserve">Влажная уборка стен </t>
  </si>
  <si>
    <t xml:space="preserve">1 раз в месяц  </t>
  </si>
  <si>
    <t>Влажная протирка дверей</t>
  </si>
  <si>
    <t xml:space="preserve">1 раз в месяц   </t>
  </si>
  <si>
    <t>Влажная протирка подоконников</t>
  </si>
  <si>
    <t xml:space="preserve">1 раз в месяц    </t>
  </si>
  <si>
    <t>Влажная протирка отопительных приборов</t>
  </si>
  <si>
    <t xml:space="preserve">1 раз в месяц </t>
  </si>
  <si>
    <t xml:space="preserve">шт. </t>
  </si>
  <si>
    <t>Снятие показаний эл.счетчика коммунального назначения</t>
  </si>
  <si>
    <t>Смена вентилей диаметром до 32 мм (без материала)</t>
  </si>
  <si>
    <t>1 шт</t>
  </si>
  <si>
    <t xml:space="preserve">приемки оказанных услуг и выполненных работ по содержанию и текущему ремонту
общего имущества в многоквартирном доме № 17 по  ул. Лермонтова  пгт. Ярега
</t>
  </si>
  <si>
    <r>
      <t xml:space="preserve">1. Исполнителем предъявлены к приемке следующие оказанные услуги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17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Лермонтова, д. 17</t>
    </r>
  </si>
  <si>
    <t>Влажная протирка почтовых ящиков</t>
  </si>
  <si>
    <t>1 раз а месяц</t>
  </si>
  <si>
    <t>Влажная протирка шкафов для щитов и слаботочных устройств</t>
  </si>
  <si>
    <t>Мелкий ремонт электропроводки</t>
  </si>
  <si>
    <t>8 раз в месяц</t>
  </si>
  <si>
    <t>АКТ №12</t>
  </si>
  <si>
    <t>за период с 01.12.2016 г. по 31.12.2016 г.</t>
  </si>
  <si>
    <t>Влажное подметание лестничных клеток 2-5 этажа</t>
  </si>
  <si>
    <t>Мытье лестничных  площадок и маршей 1-5 этаж.</t>
  </si>
  <si>
    <t>Мытье окон</t>
  </si>
  <si>
    <t>10м2</t>
  </si>
  <si>
    <t xml:space="preserve">1 раз в год     </t>
  </si>
  <si>
    <t>Уборка газонов</t>
  </si>
  <si>
    <t>1000м2</t>
  </si>
  <si>
    <t>Подметание территории с усовершенствованным покрытием асф.: крыльца, контейнерн. пл., проезд, тротуар</t>
  </si>
  <si>
    <t>Уборка контейнерной площадки (16 кв.м.)</t>
  </si>
  <si>
    <t>Сдвигание снега в дни снегопада (проезд)</t>
  </si>
  <si>
    <t xml:space="preserve">Пескопосыпка территории: крыльца и тротуары </t>
  </si>
  <si>
    <t>Осмотр шиферной кровли</t>
  </si>
  <si>
    <t>5 раз в году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</si>
  <si>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</si>
  <si>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</si>
  <si>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</si>
  <si>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</si>
  <si>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</si>
  <si>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</si>
  <si>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</si>
  <si>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</si>
  <si>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</si>
  <si>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</si>
  <si>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</si>
  <si>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</si>
  <si>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>генеральный директор  Куканов Ю.Л.</t>
  </si>
  <si>
    <t xml:space="preserve">приемки оказанных услуг и выполненных работ по содержанию и текущему ремонту
общего имущества в многоквартирном доме №17 по ул.Лермонтова пгт.Ярега
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</si>
  <si>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ул.Лермонтова, д.17</t>
    </r>
  </si>
  <si>
    <t>156 раз в год</t>
  </si>
  <si>
    <t>104 раза в год</t>
  </si>
  <si>
    <t>52 раза в сезон</t>
  </si>
  <si>
    <t>78 раз за сезон</t>
  </si>
  <si>
    <t>20 раз за сезон</t>
  </si>
  <si>
    <t>155 раз за сезон</t>
  </si>
  <si>
    <t>50 раз за сезон</t>
  </si>
  <si>
    <t>Смена плвкой вставки в электрощитке</t>
  </si>
  <si>
    <t>Смена вентилей диаметром до 32 мм (без материалов)</t>
  </si>
  <si>
    <t>2. Всего за период с 01.12.2016 по 31.12.2016 выполнено работ (оказано услуг) на общую сумму: 50334,90 руб.</t>
  </si>
  <si>
    <t>(пятьдесят тысяч триста тридцать четыре рубля 90 копеек)</t>
  </si>
  <si>
    <t>2. Всего за период с  01.11.2016 г. по 30.11.2016 г. выполнено работ (оказано услуг) на общую сумму: 48675,29 руб.</t>
  </si>
  <si>
    <t>сорок восемь тысяч шестьсот семьдесят пять рублей 29 копеек)</t>
  </si>
  <si>
    <r>
      <t xml:space="preserve">    Собственники   помещений   в многоквартирном доме, расположенном по адресу: пгт.Ярега, ул.Лермонтова, д.17,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26.03.2013г.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</si>
  <si>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АКТ №1</t>
  </si>
  <si>
    <t>3 раза в неделю 156 раз в год</t>
  </si>
  <si>
    <t>2 раза в неделю 104 раза в год</t>
  </si>
  <si>
    <t>2 раза в неделю 52 раза в сезон</t>
  </si>
  <si>
    <t>3 раза в неделю 78 раз за сезон</t>
  </si>
  <si>
    <t>ежедневно 365 раз</t>
  </si>
  <si>
    <t>по мере необходимости</t>
  </si>
  <si>
    <t xml:space="preserve"> </t>
  </si>
  <si>
    <t>Осмотр электросетей, арматуры и электооборудования на лестничных клетках</t>
  </si>
  <si>
    <t>Ремонт силового предохранительного шкафа (без стоимости материалов)</t>
  </si>
  <si>
    <t>Работа автовышки</t>
  </si>
  <si>
    <t>маш/час</t>
  </si>
  <si>
    <t>Смена арматуры - вентилей и клапанов обратных муфтовых диаметром до 32 мм</t>
  </si>
  <si>
    <t xml:space="preserve">Смена трубопроводов на полипропиленовые трубы PN25 диаметром 20мм </t>
  </si>
  <si>
    <t>м</t>
  </si>
  <si>
    <t>Устройство хомута</t>
  </si>
  <si>
    <t>Смена арматуры - задвижек диаметром 50 мм</t>
  </si>
  <si>
    <t>Смена арматуры - задвижек диаметром 80 мм</t>
  </si>
  <si>
    <t>Смена арматуры - задвижек диаметром 100 мм</t>
  </si>
  <si>
    <t>Внеплановый осмотр электросетей, арматуры и электрооборудования на чердаках и подвалах</t>
  </si>
  <si>
    <t>Внеплановый осмотр вводных электрических щитков</t>
  </si>
  <si>
    <t>100шт</t>
  </si>
  <si>
    <t>Масляная окраска подъезда (IV подъезд)</t>
  </si>
  <si>
    <t>тыс.руб.</t>
  </si>
  <si>
    <t>Смена арматуры - вентилей и клапанов обратных муфтовых диаметром до 20 мм (без материала)</t>
  </si>
  <si>
    <t>Мытье лестничных площадок и маршей 1-5 этаж.</t>
  </si>
  <si>
    <t xml:space="preserve">1 раз в месяц 12 раз в год </t>
  </si>
  <si>
    <t>Подметание территории с усовершенствованным покрытием асф.: крыльца, контейнерн пл., проезд, тротуар</t>
  </si>
  <si>
    <t>III. Проведение технических осмотров</t>
  </si>
  <si>
    <t>IV. Содержание общего имущества МКД</t>
  </si>
  <si>
    <t>V. Прочие услуги</t>
  </si>
  <si>
    <t>5 раз в год</t>
  </si>
  <si>
    <t>АКТ №2</t>
  </si>
  <si>
    <t>2. Всего за период с 01.02.2016 по 29.02.2016 выполнено работ (оказано услуг) на общую сумму: 52362,29 руб.</t>
  </si>
  <si>
    <t>(пятьдесят две тысячи триста шестьдесят два рубля 29 копеек)</t>
  </si>
  <si>
    <t>АКТ №3</t>
  </si>
  <si>
    <t>III. Содержание общего имущества МКД</t>
  </si>
  <si>
    <t>IV. Прочие услуги</t>
  </si>
  <si>
    <t>2. Всего за период с 01.03.2016 по 31.03.2016 выполнено работ (оказано услуг) на общую сумму: 57937,15 руб.</t>
  </si>
  <si>
    <t>(пятьдесят семь тысяч девятьсот тридцать семь рублей 15 копеек)</t>
  </si>
  <si>
    <t>АКТ №4</t>
  </si>
  <si>
    <t>2. Всего за период с 01.01.2016 по 31.01.2016 выполнено работ (оказано услуг) на общую сумму: 57136,07 руб.</t>
  </si>
  <si>
    <t>(пятьдесят семь тысяч сто тридцать шесть рублей 07 копеек)</t>
  </si>
  <si>
    <t>2. Всего за период с 01.04.2016 по 30.04.2016 выполнено работ (оказано услуг) на общую сумму: 55383,53 руб.</t>
  </si>
  <si>
    <t>(пятьдесят пять тысяч триста восемьдесят три рубля 53 копейки)</t>
  </si>
  <si>
    <t>АКТ №5</t>
  </si>
  <si>
    <t>2. Всего за период с 01.05.2016 по 31.05.2016 выполнено работ (оказано услуг) на общую сумму: 165180,05 руб.</t>
  </si>
  <si>
    <t>(сто шестьдесят пять тысяч сто восемьдесят рублей 05 копеек)</t>
  </si>
  <si>
    <t>2. Всего за период с 01.06.2016 по 30.06.2016 выполнено работ (оказано услуг) на общую сумму: 65523,53 руб.</t>
  </si>
  <si>
    <t>(шестьдесят пять тысяч пятьсот двадцать три рубля 53 копейки)</t>
  </si>
  <si>
    <t>АКТ №6</t>
  </si>
  <si>
    <t>АКТ №7</t>
  </si>
  <si>
    <t>2. Всего за период с 01.07.2016 по 31.07.2016 выполнено работ (оказано услуг) на общую сумму: 44834,26 руб.</t>
  </si>
  <si>
    <t>(сорок четыре тысячи восемьсот тридцать четыре рубля 26 копеек)</t>
  </si>
  <si>
    <t>АКТ №8</t>
  </si>
  <si>
    <t>2. Всего за период с 01.08.2016 по 31.08.2016 выполнено работ (оказано услуг) на общую сумму: 74081,33 руб.</t>
  </si>
  <si>
    <t>(семьдесят четыре тысячи восемьдесят один рубль 33 копейки)</t>
  </si>
  <si>
    <t>АКТ №9</t>
  </si>
  <si>
    <t>2. Всего за период с 01.09.2016 по 30.09.2016 выполнено работ (оказано услуг) на общую сумму: 50968,99 руб.</t>
  </si>
  <si>
    <t>(пятьдесят тысяч девятьсот шестьдесят восемь рублей 99 копеек)</t>
  </si>
  <si>
    <t>АКТ №10</t>
  </si>
  <si>
    <t>2. Всего за период с 01.10.2016 по 31.10.2016 выполнено работ (оказано услуг) на общую сумму: 44355,73 руб.</t>
  </si>
  <si>
    <t>(сорок четыре тысячи триста пятьдесят пять рублей 73 копеек)</t>
  </si>
  <si>
    <t>АКТ №11</t>
  </si>
  <si>
    <r>
      <t xml:space="preserve">    Собственники   помещений   в многоквартирном доме, расположенном по адресу: пгт. Ярега, ул. Лермонтова, д 17,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26.03.2013г.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</si>
</sst>
</file>

<file path=xl/styles.xml><?xml version="1.0" encoding="utf-8"?>
<styleSheet xmlns="http://schemas.openxmlformats.org/spreadsheetml/2006/main">
  <numFmts count="4">
    <numFmt numFmtId="164" formatCode="#,##0.000"/>
    <numFmt numFmtId="166" formatCode="#,##0.0"/>
    <numFmt numFmtId="167" formatCode="0.00000"/>
    <numFmt numFmtId="168" formatCode="0.0000000"/>
  </numFmts>
  <fonts count="2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name val="Calibri"/>
      <family val="2"/>
      <charset val="204"/>
    </font>
    <font>
      <vertAlign val="superscript"/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30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2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0" fillId="0" borderId="0" xfId="0" applyFont="1"/>
    <xf numFmtId="0" fontId="12" fillId="0" borderId="3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center"/>
    </xf>
    <xf numFmtId="4" fontId="12" fillId="0" borderId="3" xfId="0" applyNumberFormat="1" applyFont="1" applyFill="1" applyBorder="1" applyAlignment="1">
      <alignment horizontal="center" wrapText="1"/>
    </xf>
    <xf numFmtId="4" fontId="12" fillId="0" borderId="3" xfId="0" applyNumberFormat="1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3" xfId="0" applyFont="1" applyBorder="1"/>
    <xf numFmtId="2" fontId="0" fillId="0" borderId="0" xfId="0" applyNumberFormat="1"/>
    <xf numFmtId="4" fontId="0" fillId="0" borderId="0" xfId="0" applyNumberFormat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/>
    <xf numFmtId="4" fontId="0" fillId="0" borderId="0" xfId="0" applyNumberFormat="1" applyFill="1"/>
    <xf numFmtId="167" fontId="0" fillId="0" borderId="0" xfId="0" applyNumberFormat="1" applyFill="1"/>
    <xf numFmtId="168" fontId="0" fillId="0" borderId="0" xfId="0" applyNumberFormat="1" applyFill="1"/>
    <xf numFmtId="0" fontId="12" fillId="0" borderId="3" xfId="0" applyFont="1" applyFill="1" applyBorder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wrapText="1"/>
    </xf>
    <xf numFmtId="0" fontId="14" fillId="0" borderId="3" xfId="0" applyFont="1" applyFill="1" applyBorder="1" applyAlignment="1">
      <alignment horizontal="left" vertical="center" wrapText="1"/>
    </xf>
    <xf numFmtId="0" fontId="16" fillId="0" borderId="0" xfId="0" applyFont="1" applyAlignment="1"/>
    <xf numFmtId="4" fontId="14" fillId="0" borderId="3" xfId="0" applyNumberFormat="1" applyFont="1" applyFill="1" applyBorder="1" applyAlignment="1">
      <alignment horizontal="center" vertical="center" wrapText="1"/>
    </xf>
    <xf numFmtId="4" fontId="12" fillId="2" borderId="9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left" vertical="center" wrapText="1"/>
    </xf>
    <xf numFmtId="4" fontId="12" fillId="3" borderId="9" xfId="0" applyNumberFormat="1" applyFont="1" applyFill="1" applyBorder="1" applyAlignment="1">
      <alignment horizontal="center" vertical="center"/>
    </xf>
    <xf numFmtId="0" fontId="15" fillId="0" borderId="3" xfId="0" applyFont="1" applyBorder="1"/>
    <xf numFmtId="0" fontId="15" fillId="0" borderId="3" xfId="0" applyFont="1" applyFill="1" applyBorder="1"/>
    <xf numFmtId="4" fontId="12" fillId="2" borderId="3" xfId="0" applyNumberFormat="1" applyFont="1" applyFill="1" applyBorder="1" applyAlignment="1">
      <alignment horizontal="center" vertical="center"/>
    </xf>
    <xf numFmtId="4" fontId="12" fillId="3" borderId="3" xfId="0" applyNumberFormat="1" applyFont="1" applyFill="1" applyBorder="1" applyAlignment="1">
      <alignment horizontal="center" vertical="center"/>
    </xf>
    <xf numFmtId="4" fontId="12" fillId="4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1" fontId="12" fillId="0" borderId="3" xfId="0" applyNumberFormat="1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wrapText="1"/>
    </xf>
    <xf numFmtId="0" fontId="14" fillId="0" borderId="3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6" fillId="0" borderId="3" xfId="0" applyFont="1" applyBorder="1"/>
    <xf numFmtId="4" fontId="2" fillId="0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2" fillId="0" borderId="0" xfId="0" applyFont="1" applyBorder="1" applyAlignment="1">
      <alignment vertical="top" wrapText="1"/>
    </xf>
    <xf numFmtId="0" fontId="21" fillId="0" borderId="0" xfId="0" applyFont="1" applyAlignment="1">
      <alignment wrapText="1"/>
    </xf>
    <xf numFmtId="0" fontId="2" fillId="0" borderId="3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wrapText="1"/>
    </xf>
    <xf numFmtId="0" fontId="12" fillId="0" borderId="3" xfId="0" applyFont="1" applyBorder="1"/>
    <xf numFmtId="0" fontId="2" fillId="0" borderId="3" xfId="0" applyNumberFormat="1" applyFont="1" applyFill="1" applyBorder="1" applyAlignment="1" applyProtection="1">
      <alignment horizontal="left" vertical="center"/>
    </xf>
    <xf numFmtId="4" fontId="2" fillId="0" borderId="6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 applyAlignment="1">
      <alignment horizontal="right" vertical="top"/>
    </xf>
    <xf numFmtId="0" fontId="24" fillId="0" borderId="0" xfId="0" applyFont="1"/>
    <xf numFmtId="0" fontId="26" fillId="0" borderId="0" xfId="0" applyFont="1" applyAlignment="1"/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wrapText="1"/>
    </xf>
    <xf numFmtId="0" fontId="26" fillId="0" borderId="0" xfId="0" applyFont="1" applyAlignment="1">
      <alignment horizontal="left" wrapText="1"/>
    </xf>
    <xf numFmtId="0" fontId="26" fillId="0" borderId="0" xfId="0" applyFont="1" applyBorder="1" applyAlignment="1">
      <alignment wrapText="1"/>
    </xf>
    <xf numFmtId="0" fontId="26" fillId="0" borderId="0" xfId="0" applyFont="1"/>
    <xf numFmtId="0" fontId="26" fillId="0" borderId="0" xfId="0" applyFont="1" applyBorder="1" applyAlignment="1">
      <alignment horizontal="center" vertical="top" wrapText="1"/>
    </xf>
    <xf numFmtId="0" fontId="26" fillId="0" borderId="3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4" fontId="26" fillId="0" borderId="3" xfId="0" applyNumberFormat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166" fontId="26" fillId="0" borderId="3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center" vertical="center"/>
    </xf>
    <xf numFmtId="2" fontId="26" fillId="0" borderId="3" xfId="0" applyNumberFormat="1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4" fontId="26" fillId="0" borderId="3" xfId="0" applyNumberFormat="1" applyFont="1" applyFill="1" applyBorder="1" applyAlignment="1">
      <alignment horizontal="left" vertical="center" wrapText="1"/>
    </xf>
    <xf numFmtId="4" fontId="25" fillId="0" borderId="3" xfId="0" applyNumberFormat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vertical="center" wrapText="1"/>
    </xf>
    <xf numFmtId="4" fontId="2" fillId="5" borderId="15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4" fillId="0" borderId="3" xfId="0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 wrapText="1"/>
    </xf>
    <xf numFmtId="4" fontId="12" fillId="0" borderId="7" xfId="0" applyNumberFormat="1" applyFont="1" applyFill="1" applyBorder="1" applyAlignment="1">
      <alignment horizontal="center" vertical="center" wrapText="1"/>
    </xf>
    <xf numFmtId="4" fontId="12" fillId="2" borderId="12" xfId="0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4" fontId="12" fillId="3" borderId="3" xfId="0" applyNumberFormat="1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4" fillId="0" borderId="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4" fontId="18" fillId="0" borderId="5" xfId="0" applyNumberFormat="1" applyFont="1" applyFill="1" applyBorder="1" applyAlignment="1">
      <alignment horizontal="center" vertical="center" wrapText="1"/>
    </xf>
    <xf numFmtId="4" fontId="18" fillId="0" borderId="6" xfId="0" applyNumberFormat="1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4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5" fillId="0" borderId="1" xfId="0" applyFont="1" applyBorder="1" applyAlignment="1">
      <alignment wrapText="1"/>
    </xf>
    <xf numFmtId="0" fontId="12" fillId="0" borderId="2" xfId="0" applyFont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 wrapText="1"/>
    </xf>
    <xf numFmtId="4" fontId="12" fillId="0" borderId="9" xfId="0" applyNumberFormat="1" applyFont="1" applyFill="1" applyBorder="1" applyAlignment="1">
      <alignment horizontal="center" vertical="center"/>
    </xf>
    <xf numFmtId="164" fontId="12" fillId="0" borderId="16" xfId="0" applyNumberFormat="1" applyFont="1" applyFill="1" applyBorder="1" applyAlignment="1">
      <alignment horizontal="center" vertical="center"/>
    </xf>
    <xf numFmtId="4" fontId="12" fillId="0" borderId="17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vertical="center"/>
    </xf>
    <xf numFmtId="4" fontId="12" fillId="0" borderId="16" xfId="0" applyNumberFormat="1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vertical="center"/>
    </xf>
    <xf numFmtId="4" fontId="20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/>
    </xf>
    <xf numFmtId="4" fontId="12" fillId="0" borderId="12" xfId="0" applyNumberFormat="1" applyFont="1" applyFill="1" applyBorder="1" applyAlignment="1">
      <alignment horizontal="center" vertical="center" wrapText="1"/>
    </xf>
    <xf numFmtId="4" fontId="12" fillId="0" borderId="18" xfId="0" applyNumberFormat="1" applyFont="1" applyFill="1" applyBorder="1" applyAlignment="1">
      <alignment horizontal="center" vertical="center"/>
    </xf>
    <xf numFmtId="164" fontId="12" fillId="0" borderId="19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/>
    </xf>
    <xf numFmtId="4" fontId="12" fillId="0" borderId="12" xfId="0" applyNumberFormat="1" applyFont="1" applyFill="1" applyBorder="1" applyAlignment="1">
      <alignment horizontal="center" vertical="center"/>
    </xf>
    <xf numFmtId="164" fontId="12" fillId="0" borderId="18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/>
    </xf>
    <xf numFmtId="4" fontId="12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" fontId="14" fillId="0" borderId="3" xfId="0" applyNumberFormat="1" applyFont="1" applyFill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left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4" fontId="12" fillId="0" borderId="15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center" vertical="center"/>
    </xf>
    <xf numFmtId="4" fontId="12" fillId="0" borderId="14" xfId="0" applyNumberFormat="1" applyFont="1" applyFill="1" applyBorder="1" applyAlignment="1">
      <alignment horizontal="center" vertical="center" wrapText="1"/>
    </xf>
    <xf numFmtId="4" fontId="12" fillId="0" borderId="14" xfId="0" applyNumberFormat="1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>
      <alignment horizontal="center" vertical="center"/>
    </xf>
    <xf numFmtId="164" fontId="12" fillId="0" borderId="20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left" vertical="center" wrapText="1"/>
    </xf>
    <xf numFmtId="4" fontId="12" fillId="0" borderId="1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1" fontId="12" fillId="0" borderId="7" xfId="0" applyNumberFormat="1" applyFont="1" applyFill="1" applyBorder="1" applyAlignment="1">
      <alignment horizontal="left" vertical="center" wrapText="1"/>
    </xf>
    <xf numFmtId="164" fontId="12" fillId="0" borderId="11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4" fontId="12" fillId="0" borderId="20" xfId="0" applyNumberFormat="1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>
      <alignment vertical="center"/>
    </xf>
    <xf numFmtId="0" fontId="14" fillId="2" borderId="14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4" fontId="14" fillId="2" borderId="7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3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123</v>
      </c>
      <c r="I1" s="40"/>
      <c r="J1" s="1"/>
      <c r="K1" s="1"/>
      <c r="L1" s="1"/>
      <c r="M1" s="1"/>
    </row>
    <row r="2" spans="1:13" ht="15.75" customHeight="1">
      <c r="A2" s="42" t="s">
        <v>79</v>
      </c>
      <c r="J2" s="2"/>
      <c r="K2" s="2"/>
      <c r="L2" s="2"/>
      <c r="M2" s="2"/>
    </row>
    <row r="3" spans="1:13" ht="15.75" customHeight="1">
      <c r="A3" s="236" t="s">
        <v>227</v>
      </c>
      <c r="B3" s="236"/>
      <c r="C3" s="236"/>
      <c r="D3" s="236"/>
      <c r="E3" s="236"/>
      <c r="F3" s="236"/>
      <c r="G3" s="236"/>
      <c r="H3" s="236"/>
      <c r="I3" s="236"/>
      <c r="J3" s="3"/>
      <c r="K3" s="3"/>
      <c r="L3" s="3"/>
    </row>
    <row r="4" spans="1:13" ht="31.5" customHeight="1">
      <c r="A4" s="237" t="s">
        <v>211</v>
      </c>
      <c r="B4" s="237"/>
      <c r="C4" s="237"/>
      <c r="D4" s="237"/>
      <c r="E4" s="237"/>
      <c r="F4" s="237"/>
      <c r="G4" s="237"/>
      <c r="H4" s="237"/>
      <c r="I4" s="237"/>
    </row>
    <row r="5" spans="1:13" ht="15.75" customHeight="1">
      <c r="A5" s="236" t="s">
        <v>99</v>
      </c>
      <c r="B5" s="238"/>
      <c r="C5" s="238"/>
      <c r="D5" s="238"/>
      <c r="E5" s="238"/>
      <c r="F5" s="238"/>
      <c r="G5" s="238"/>
      <c r="H5" s="238"/>
      <c r="I5" s="238"/>
      <c r="J5" s="2"/>
      <c r="K5" s="2"/>
      <c r="L5" s="2"/>
      <c r="M5" s="2"/>
    </row>
    <row r="6" spans="1:13" ht="15.75" customHeight="1">
      <c r="A6" s="2"/>
      <c r="B6" s="209"/>
      <c r="C6" s="209"/>
      <c r="D6" s="209"/>
      <c r="E6" s="209"/>
      <c r="F6" s="209"/>
      <c r="G6" s="209"/>
      <c r="H6" s="209"/>
      <c r="I6" s="50">
        <v>42400</v>
      </c>
      <c r="J6" s="2"/>
      <c r="K6" s="2"/>
      <c r="L6" s="2"/>
      <c r="M6" s="2"/>
    </row>
    <row r="7" spans="1:13" ht="15.75" customHeight="1">
      <c r="B7" s="204"/>
      <c r="C7" s="204"/>
      <c r="D7" s="20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4" t="s">
        <v>226</v>
      </c>
      <c r="B8" s="214"/>
      <c r="C8" s="214"/>
      <c r="D8" s="214"/>
      <c r="E8" s="214"/>
      <c r="F8" s="214"/>
      <c r="G8" s="214"/>
      <c r="H8" s="214"/>
      <c r="I8" s="21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5" t="s">
        <v>212</v>
      </c>
      <c r="B10" s="215"/>
      <c r="C10" s="215"/>
      <c r="D10" s="215"/>
      <c r="E10" s="215"/>
      <c r="F10" s="215"/>
      <c r="G10" s="215"/>
      <c r="H10" s="215"/>
      <c r="I10" s="21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9" t="s">
        <v>73</v>
      </c>
      <c r="B14" s="239"/>
      <c r="C14" s="239"/>
      <c r="D14" s="239"/>
      <c r="E14" s="239"/>
      <c r="F14" s="239"/>
      <c r="G14" s="239"/>
      <c r="H14" s="239"/>
      <c r="I14" s="239"/>
      <c r="J14" s="8"/>
      <c r="K14" s="8"/>
      <c r="L14" s="8"/>
      <c r="M14" s="8"/>
    </row>
    <row r="15" spans="1:13" ht="15.75" customHeight="1">
      <c r="A15" s="277" t="s">
        <v>4</v>
      </c>
      <c r="B15" s="277"/>
      <c r="C15" s="277"/>
      <c r="D15" s="277"/>
      <c r="E15" s="277"/>
      <c r="F15" s="277"/>
      <c r="G15" s="277"/>
      <c r="H15" s="277"/>
      <c r="I15" s="277"/>
      <c r="J15" s="8"/>
      <c r="K15" s="8"/>
      <c r="L15" s="8"/>
      <c r="M15" s="8"/>
    </row>
    <row r="16" spans="1:13" ht="31.5" customHeight="1">
      <c r="A16" s="46">
        <v>1</v>
      </c>
      <c r="B16" s="247" t="s">
        <v>125</v>
      </c>
      <c r="C16" s="248" t="s">
        <v>163</v>
      </c>
      <c r="D16" s="247" t="s">
        <v>228</v>
      </c>
      <c r="E16" s="249">
        <v>92.5</v>
      </c>
      <c r="F16" s="250">
        <f>SUM(E16*156/100)</f>
        <v>144.30000000000001</v>
      </c>
      <c r="G16" s="250">
        <v>175.38</v>
      </c>
      <c r="H16" s="251">
        <f t="shared" ref="H16:H24" si="0">SUM(F16*G16/1000)</f>
        <v>25.307334000000001</v>
      </c>
      <c r="I16" s="18">
        <f>F16/12*G16</f>
        <v>2108.9445000000001</v>
      </c>
      <c r="J16" s="8"/>
      <c r="K16" s="8"/>
      <c r="L16" s="8"/>
      <c r="M16" s="8"/>
    </row>
    <row r="17" spans="1:13" ht="31.5" customHeight="1">
      <c r="A17" s="46">
        <v>2</v>
      </c>
      <c r="B17" s="247" t="s">
        <v>185</v>
      </c>
      <c r="C17" s="248" t="s">
        <v>163</v>
      </c>
      <c r="D17" s="247" t="s">
        <v>229</v>
      </c>
      <c r="E17" s="249">
        <v>288.8</v>
      </c>
      <c r="F17" s="250">
        <f>SUM(E17*104/100)</f>
        <v>300.35200000000003</v>
      </c>
      <c r="G17" s="250">
        <v>175.38</v>
      </c>
      <c r="H17" s="251">
        <f t="shared" si="0"/>
        <v>52.67573376</v>
      </c>
      <c r="I17" s="18">
        <f>F17/12*G17</f>
        <v>4389.6444800000008</v>
      </c>
      <c r="J17" s="33"/>
      <c r="K17" s="8"/>
      <c r="L17" s="8"/>
      <c r="M17" s="8"/>
    </row>
    <row r="18" spans="1:13" ht="31.5" customHeight="1">
      <c r="A18" s="46">
        <v>3</v>
      </c>
      <c r="B18" s="247" t="s">
        <v>252</v>
      </c>
      <c r="C18" s="248" t="s">
        <v>163</v>
      </c>
      <c r="D18" s="247" t="s">
        <v>253</v>
      </c>
      <c r="E18" s="249">
        <f>SUM(E16+E17)</f>
        <v>381.3</v>
      </c>
      <c r="F18" s="250">
        <f>SUM(E18*12/100)</f>
        <v>45.756</v>
      </c>
      <c r="G18" s="250">
        <v>504.5</v>
      </c>
      <c r="H18" s="251">
        <f t="shared" si="0"/>
        <v>23.083902000000002</v>
      </c>
      <c r="I18" s="18">
        <f>F18/12*G18</f>
        <v>1923.6585</v>
      </c>
      <c r="J18" s="33"/>
      <c r="K18" s="8"/>
      <c r="L18" s="8"/>
      <c r="M18" s="8"/>
    </row>
    <row r="19" spans="1:13" ht="15.75" hidden="1" customHeight="1">
      <c r="A19" s="46">
        <v>4</v>
      </c>
      <c r="B19" s="247" t="s">
        <v>187</v>
      </c>
      <c r="C19" s="248" t="s">
        <v>188</v>
      </c>
      <c r="D19" s="247" t="s">
        <v>189</v>
      </c>
      <c r="E19" s="249">
        <v>19.2</v>
      </c>
      <c r="F19" s="250">
        <f>SUM(E19/10)</f>
        <v>1.92</v>
      </c>
      <c r="G19" s="250">
        <v>170.16</v>
      </c>
      <c r="H19" s="251">
        <f t="shared" si="0"/>
        <v>0.32670719999999998</v>
      </c>
      <c r="I19" s="18">
        <v>0</v>
      </c>
      <c r="J19" s="33"/>
      <c r="K19" s="8"/>
      <c r="L19" s="8"/>
      <c r="M19" s="8"/>
    </row>
    <row r="20" spans="1:13" ht="15.75" customHeight="1">
      <c r="A20" s="46">
        <v>4</v>
      </c>
      <c r="B20" s="247" t="s">
        <v>162</v>
      </c>
      <c r="C20" s="248" t="s">
        <v>163</v>
      </c>
      <c r="D20" s="247" t="s">
        <v>35</v>
      </c>
      <c r="E20" s="249">
        <v>27.3</v>
      </c>
      <c r="F20" s="250">
        <f>SUM(E20*12/100)</f>
        <v>3.2760000000000002</v>
      </c>
      <c r="G20" s="250">
        <v>217.88</v>
      </c>
      <c r="H20" s="251">
        <f t="shared" si="0"/>
        <v>0.71377488</v>
      </c>
      <c r="I20" s="18">
        <f>F20/12*G20</f>
        <v>59.48124</v>
      </c>
      <c r="J20" s="33"/>
      <c r="K20" s="8"/>
      <c r="L20" s="8"/>
      <c r="M20" s="8"/>
    </row>
    <row r="21" spans="1:13" ht="15.75" customHeight="1">
      <c r="A21" s="46">
        <v>5</v>
      </c>
      <c r="B21" s="247" t="s">
        <v>178</v>
      </c>
      <c r="C21" s="248" t="s">
        <v>163</v>
      </c>
      <c r="D21" s="247" t="s">
        <v>35</v>
      </c>
      <c r="E21" s="249">
        <v>9.08</v>
      </c>
      <c r="F21" s="250">
        <f>SUM(E21*12/100)</f>
        <v>1.0896000000000001</v>
      </c>
      <c r="G21" s="250">
        <v>216.12</v>
      </c>
      <c r="H21" s="251">
        <f t="shared" si="0"/>
        <v>0.23548435200000004</v>
      </c>
      <c r="I21" s="18">
        <f>F21/12*G21</f>
        <v>19.623696000000002</v>
      </c>
      <c r="J21" s="33"/>
      <c r="K21" s="8"/>
      <c r="L21" s="8"/>
      <c r="M21" s="8"/>
    </row>
    <row r="22" spans="1:13" ht="15.75" hidden="1" customHeight="1">
      <c r="A22" s="46">
        <v>7</v>
      </c>
      <c r="B22" s="247" t="s">
        <v>166</v>
      </c>
      <c r="C22" s="248" t="s">
        <v>65</v>
      </c>
      <c r="D22" s="247" t="s">
        <v>189</v>
      </c>
      <c r="E22" s="252">
        <v>12.6</v>
      </c>
      <c r="F22" s="250">
        <f>SUM(E22/100)</f>
        <v>0.126</v>
      </c>
      <c r="G22" s="250">
        <v>44.29</v>
      </c>
      <c r="H22" s="251">
        <f t="shared" si="0"/>
        <v>5.5805400000000002E-3</v>
      </c>
      <c r="I22" s="18">
        <v>0</v>
      </c>
      <c r="J22" s="33"/>
      <c r="K22" s="8"/>
      <c r="L22" s="8"/>
      <c r="M22" s="8"/>
    </row>
    <row r="23" spans="1:13" ht="15.75" customHeight="1">
      <c r="A23" s="46">
        <v>6</v>
      </c>
      <c r="B23" s="247" t="s">
        <v>168</v>
      </c>
      <c r="C23" s="248" t="s">
        <v>65</v>
      </c>
      <c r="D23" s="247" t="s">
        <v>169</v>
      </c>
      <c r="E23" s="249">
        <v>20</v>
      </c>
      <c r="F23" s="250">
        <f>E23*12/100</f>
        <v>2.4</v>
      </c>
      <c r="G23" s="250">
        <v>389.72</v>
      </c>
      <c r="H23" s="251">
        <f t="shared" si="0"/>
        <v>0.93532799999999994</v>
      </c>
      <c r="I23" s="18">
        <f>F23/12*G23</f>
        <v>77.944000000000003</v>
      </c>
      <c r="J23" s="33"/>
      <c r="K23" s="8"/>
      <c r="L23" s="8"/>
      <c r="M23" s="8"/>
    </row>
    <row r="24" spans="1:13" ht="15.75" hidden="1" customHeight="1">
      <c r="A24" s="46">
        <v>9</v>
      </c>
      <c r="B24" s="247" t="s">
        <v>170</v>
      </c>
      <c r="C24" s="248" t="s">
        <v>65</v>
      </c>
      <c r="D24" s="247" t="s">
        <v>189</v>
      </c>
      <c r="E24" s="249">
        <v>17</v>
      </c>
      <c r="F24" s="250">
        <f>SUM(E24/100)</f>
        <v>0.17</v>
      </c>
      <c r="G24" s="250">
        <v>520.79999999999995</v>
      </c>
      <c r="H24" s="251">
        <f t="shared" si="0"/>
        <v>8.8536000000000004E-2</v>
      </c>
      <c r="I24" s="18">
        <v>0</v>
      </c>
      <c r="J24" s="33"/>
      <c r="K24" s="8"/>
      <c r="L24" s="8"/>
      <c r="M24" s="8"/>
    </row>
    <row r="25" spans="1:13" ht="15.75" customHeight="1">
      <c r="A25" s="46">
        <v>7</v>
      </c>
      <c r="B25" s="247" t="s">
        <v>81</v>
      </c>
      <c r="C25" s="248" t="s">
        <v>38</v>
      </c>
      <c r="D25" s="247" t="s">
        <v>232</v>
      </c>
      <c r="E25" s="249">
        <v>0.1</v>
      </c>
      <c r="F25" s="250">
        <f>SUM(E25*365)</f>
        <v>36.5</v>
      </c>
      <c r="G25" s="250">
        <v>147.03</v>
      </c>
      <c r="H25" s="251">
        <f>SUM(F25*G25/1000)</f>
        <v>5.3665950000000002</v>
      </c>
      <c r="I25" s="18">
        <f>F25/12*G25</f>
        <v>447.21625</v>
      </c>
      <c r="J25" s="33"/>
      <c r="K25" s="8"/>
      <c r="L25" s="8"/>
      <c r="M25" s="8"/>
    </row>
    <row r="26" spans="1:13" ht="15.75" customHeight="1">
      <c r="A26" s="46">
        <v>8</v>
      </c>
      <c r="B26" s="257" t="s">
        <v>26</v>
      </c>
      <c r="C26" s="248" t="s">
        <v>27</v>
      </c>
      <c r="D26" s="257" t="s">
        <v>234</v>
      </c>
      <c r="E26" s="249">
        <v>3053.4</v>
      </c>
      <c r="F26" s="250">
        <f>SUM(E26*12)</f>
        <v>36640.800000000003</v>
      </c>
      <c r="G26" s="250">
        <v>4.55</v>
      </c>
      <c r="H26" s="251">
        <f>SUM(F26*G26/1000)</f>
        <v>166.71564000000001</v>
      </c>
      <c r="I26" s="18">
        <f>F26/12*G26</f>
        <v>13892.97</v>
      </c>
      <c r="J26" s="34"/>
    </row>
    <row r="27" spans="1:13" ht="15.75" customHeight="1">
      <c r="A27" s="278" t="s">
        <v>120</v>
      </c>
      <c r="B27" s="279"/>
      <c r="C27" s="279"/>
      <c r="D27" s="279"/>
      <c r="E27" s="279"/>
      <c r="F27" s="279"/>
      <c r="G27" s="279"/>
      <c r="H27" s="279"/>
      <c r="I27" s="280"/>
      <c r="J27" s="33"/>
      <c r="K27" s="8"/>
      <c r="L27" s="8"/>
      <c r="M27" s="8"/>
    </row>
    <row r="28" spans="1:13" ht="15.75" hidden="1" customHeight="1">
      <c r="A28" s="46"/>
      <c r="B28" s="281" t="s">
        <v>33</v>
      </c>
      <c r="C28" s="248"/>
      <c r="D28" s="247"/>
      <c r="E28" s="249"/>
      <c r="F28" s="250"/>
      <c r="G28" s="250"/>
      <c r="H28" s="254"/>
      <c r="I28" s="255"/>
      <c r="J28" s="33"/>
      <c r="K28" s="8"/>
      <c r="L28" s="8"/>
      <c r="M28" s="8"/>
    </row>
    <row r="29" spans="1:13" ht="31.5" hidden="1" customHeight="1">
      <c r="A29" s="46">
        <v>9</v>
      </c>
      <c r="B29" s="247" t="s">
        <v>190</v>
      </c>
      <c r="C29" s="248" t="s">
        <v>191</v>
      </c>
      <c r="D29" s="247" t="s">
        <v>230</v>
      </c>
      <c r="E29" s="250">
        <v>561.6</v>
      </c>
      <c r="F29" s="250">
        <f>SUM(E29*52/1000)</f>
        <v>29.203200000000002</v>
      </c>
      <c r="G29" s="250">
        <v>155.88999999999999</v>
      </c>
      <c r="H29" s="251">
        <f t="shared" ref="H29:H34" si="1">SUM(F29*G29/1000)</f>
        <v>4.5524868479999991</v>
      </c>
      <c r="I29" s="18">
        <f t="shared" ref="I29:I32" si="2">F29/6*G29</f>
        <v>758.74780799999996</v>
      </c>
      <c r="J29" s="33"/>
      <c r="K29" s="8"/>
      <c r="L29" s="8"/>
      <c r="M29" s="8"/>
    </row>
    <row r="30" spans="1:13" ht="31.5" hidden="1" customHeight="1">
      <c r="A30" s="46">
        <v>10</v>
      </c>
      <c r="B30" s="247" t="s">
        <v>254</v>
      </c>
      <c r="C30" s="248" t="s">
        <v>191</v>
      </c>
      <c r="D30" s="247" t="s">
        <v>231</v>
      </c>
      <c r="E30" s="250">
        <v>205.7</v>
      </c>
      <c r="F30" s="250">
        <f>SUM(E30*78/1000)</f>
        <v>16.044599999999999</v>
      </c>
      <c r="G30" s="250">
        <v>258.63</v>
      </c>
      <c r="H30" s="251">
        <f t="shared" si="1"/>
        <v>4.1496148979999994</v>
      </c>
      <c r="I30" s="18">
        <f t="shared" si="2"/>
        <v>691.60248299999989</v>
      </c>
      <c r="J30" s="33"/>
      <c r="K30" s="8"/>
      <c r="L30" s="8"/>
      <c r="M30" s="8"/>
    </row>
    <row r="31" spans="1:13" ht="15.75" hidden="1" customHeight="1">
      <c r="A31" s="46">
        <v>11</v>
      </c>
      <c r="B31" s="247" t="s">
        <v>32</v>
      </c>
      <c r="C31" s="248" t="s">
        <v>191</v>
      </c>
      <c r="D31" s="247" t="s">
        <v>66</v>
      </c>
      <c r="E31" s="250">
        <v>561.6</v>
      </c>
      <c r="F31" s="250">
        <f>SUM(E31/1000)</f>
        <v>0.56159999999999999</v>
      </c>
      <c r="G31" s="250">
        <v>3020.33</v>
      </c>
      <c r="H31" s="251">
        <f t="shared" si="1"/>
        <v>1.6962173279999999</v>
      </c>
      <c r="I31" s="18">
        <f>F31*G31</f>
        <v>1696.217328</v>
      </c>
      <c r="J31" s="33"/>
      <c r="K31" s="8"/>
      <c r="L31" s="8"/>
      <c r="M31" s="8"/>
    </row>
    <row r="32" spans="1:13" ht="15.75" hidden="1" customHeight="1">
      <c r="A32" s="46">
        <v>11</v>
      </c>
      <c r="B32" s="247" t="s">
        <v>193</v>
      </c>
      <c r="C32" s="248" t="s">
        <v>36</v>
      </c>
      <c r="D32" s="247" t="s">
        <v>80</v>
      </c>
      <c r="E32" s="256">
        <v>0.33333333333333331</v>
      </c>
      <c r="F32" s="250">
        <f>155/3</f>
        <v>51.666666666666664</v>
      </c>
      <c r="G32" s="250">
        <v>56.69</v>
      </c>
      <c r="H32" s="251">
        <f>SUM(G32*155/3/1000)</f>
        <v>2.9289833333333331</v>
      </c>
      <c r="I32" s="18">
        <f t="shared" si="2"/>
        <v>488.16388888888883</v>
      </c>
      <c r="J32" s="33"/>
      <c r="K32" s="8"/>
      <c r="L32" s="8"/>
      <c r="M32" s="8"/>
    </row>
    <row r="33" spans="1:14" ht="15.75" hidden="1" customHeight="1">
      <c r="A33" s="46"/>
      <c r="B33" s="247" t="s">
        <v>82</v>
      </c>
      <c r="C33" s="248" t="s">
        <v>38</v>
      </c>
      <c r="D33" s="247" t="s">
        <v>84</v>
      </c>
      <c r="E33" s="249"/>
      <c r="F33" s="250">
        <v>2</v>
      </c>
      <c r="G33" s="250">
        <v>191.32</v>
      </c>
      <c r="H33" s="251">
        <f t="shared" si="1"/>
        <v>0.38263999999999998</v>
      </c>
      <c r="I33" s="18">
        <v>0</v>
      </c>
      <c r="J33" s="33"/>
      <c r="K33" s="8"/>
      <c r="L33" s="8"/>
      <c r="M33" s="8"/>
    </row>
    <row r="34" spans="1:14" ht="15.75" hidden="1" customHeight="1">
      <c r="A34" s="46"/>
      <c r="B34" s="247" t="s">
        <v>83</v>
      </c>
      <c r="C34" s="248" t="s">
        <v>37</v>
      </c>
      <c r="D34" s="247" t="s">
        <v>84</v>
      </c>
      <c r="E34" s="249"/>
      <c r="F34" s="250">
        <v>1</v>
      </c>
      <c r="G34" s="250">
        <v>1136.33</v>
      </c>
      <c r="H34" s="251">
        <f t="shared" si="1"/>
        <v>1.1363299999999998</v>
      </c>
      <c r="I34" s="18">
        <v>0</v>
      </c>
      <c r="J34" s="33"/>
      <c r="K34" s="8"/>
    </row>
    <row r="35" spans="1:14" ht="15.75" customHeight="1">
      <c r="A35" s="46"/>
      <c r="B35" s="281" t="s">
        <v>5</v>
      </c>
      <c r="C35" s="248"/>
      <c r="D35" s="247"/>
      <c r="E35" s="249"/>
      <c r="F35" s="250"/>
      <c r="G35" s="250"/>
      <c r="H35" s="254" t="s">
        <v>234</v>
      </c>
      <c r="I35" s="255"/>
      <c r="J35" s="34"/>
    </row>
    <row r="36" spans="1:14" ht="15.75" customHeight="1">
      <c r="A36" s="46">
        <v>9</v>
      </c>
      <c r="B36" s="247" t="s">
        <v>31</v>
      </c>
      <c r="C36" s="248" t="s">
        <v>37</v>
      </c>
      <c r="D36" s="247"/>
      <c r="E36" s="249"/>
      <c r="F36" s="250">
        <v>3</v>
      </c>
      <c r="G36" s="250">
        <v>1527.22</v>
      </c>
      <c r="H36" s="251">
        <f t="shared" ref="H36:H38" si="3">SUM(F36*G36/1000)</f>
        <v>4.5816600000000003</v>
      </c>
      <c r="I36" s="18">
        <f t="shared" ref="I36:I41" si="4">F36/6*G36</f>
        <v>763.61</v>
      </c>
      <c r="J36" s="34"/>
    </row>
    <row r="37" spans="1:14" ht="15.75" customHeight="1">
      <c r="A37" s="46">
        <v>10</v>
      </c>
      <c r="B37" s="247" t="s">
        <v>85</v>
      </c>
      <c r="C37" s="248" t="s">
        <v>34</v>
      </c>
      <c r="D37" s="247" t="s">
        <v>217</v>
      </c>
      <c r="E37" s="250">
        <v>205.7</v>
      </c>
      <c r="F37" s="250">
        <f>SUM(E37*20/1000)</f>
        <v>4.1139999999999999</v>
      </c>
      <c r="G37" s="250">
        <v>2102.71</v>
      </c>
      <c r="H37" s="251">
        <f t="shared" si="3"/>
        <v>8.6505489400000002</v>
      </c>
      <c r="I37" s="18">
        <f t="shared" si="4"/>
        <v>1441.7581566666665</v>
      </c>
      <c r="J37" s="34"/>
    </row>
    <row r="38" spans="1:14" ht="15.75" customHeight="1">
      <c r="A38" s="46">
        <v>11</v>
      </c>
      <c r="B38" s="247" t="s">
        <v>86</v>
      </c>
      <c r="C38" s="248" t="s">
        <v>34</v>
      </c>
      <c r="D38" s="247" t="s">
        <v>218</v>
      </c>
      <c r="E38" s="249">
        <v>89.1</v>
      </c>
      <c r="F38" s="250">
        <f>SUM(E38*155/1000)</f>
        <v>13.810499999999999</v>
      </c>
      <c r="G38" s="250">
        <v>350.75</v>
      </c>
      <c r="H38" s="251">
        <f t="shared" si="3"/>
        <v>4.8440328749999999</v>
      </c>
      <c r="I38" s="18">
        <f t="shared" si="4"/>
        <v>807.3388124999999</v>
      </c>
      <c r="J38" s="34"/>
    </row>
    <row r="39" spans="1:14" ht="47.25" customHeight="1">
      <c r="A39" s="46">
        <v>12</v>
      </c>
      <c r="B39" s="247" t="s">
        <v>112</v>
      </c>
      <c r="C39" s="248" t="s">
        <v>191</v>
      </c>
      <c r="D39" s="247" t="s">
        <v>219</v>
      </c>
      <c r="E39" s="250">
        <v>48</v>
      </c>
      <c r="F39" s="250">
        <f>SUM(E39*50/1000)</f>
        <v>2.4</v>
      </c>
      <c r="G39" s="250">
        <v>5803.28</v>
      </c>
      <c r="H39" s="251">
        <f>SUM(F39*G39/1000)</f>
        <v>13.927871999999999</v>
      </c>
      <c r="I39" s="18">
        <f t="shared" si="4"/>
        <v>2321.3119999999999</v>
      </c>
      <c r="J39" s="34"/>
    </row>
    <row r="40" spans="1:14" ht="15.75" customHeight="1">
      <c r="A40" s="46">
        <v>13</v>
      </c>
      <c r="B40" s="247" t="s">
        <v>195</v>
      </c>
      <c r="C40" s="248" t="s">
        <v>191</v>
      </c>
      <c r="D40" s="247" t="s">
        <v>87</v>
      </c>
      <c r="E40" s="250">
        <v>89</v>
      </c>
      <c r="F40" s="250">
        <f>SUM(E40*45/1000)</f>
        <v>4.0049999999999999</v>
      </c>
      <c r="G40" s="250">
        <v>428.7</v>
      </c>
      <c r="H40" s="251">
        <f t="shared" ref="H40:H41" si="5">SUM(F40*G40/1000)</f>
        <v>1.7169435</v>
      </c>
      <c r="I40" s="18">
        <f t="shared" si="4"/>
        <v>286.15724999999998</v>
      </c>
      <c r="J40" s="34"/>
      <c r="L40" s="27"/>
      <c r="M40" s="28"/>
      <c r="N40" s="29"/>
    </row>
    <row r="41" spans="1:14" ht="15.75" customHeight="1">
      <c r="A41" s="285">
        <v>14</v>
      </c>
      <c r="B41" s="261" t="s">
        <v>88</v>
      </c>
      <c r="C41" s="262" t="s">
        <v>38</v>
      </c>
      <c r="D41" s="261"/>
      <c r="E41" s="258"/>
      <c r="F41" s="263">
        <v>0.9</v>
      </c>
      <c r="G41" s="263">
        <v>798</v>
      </c>
      <c r="H41" s="264">
        <f t="shared" si="5"/>
        <v>0.71820000000000006</v>
      </c>
      <c r="I41" s="286">
        <f t="shared" si="4"/>
        <v>119.69999999999999</v>
      </c>
      <c r="J41" s="34"/>
      <c r="L41" s="27"/>
      <c r="M41" s="28"/>
      <c r="N41" s="29"/>
    </row>
    <row r="42" spans="1:14" ht="15.75" customHeight="1">
      <c r="A42" s="282" t="s">
        <v>255</v>
      </c>
      <c r="B42" s="283"/>
      <c r="C42" s="283"/>
      <c r="D42" s="283"/>
      <c r="E42" s="283"/>
      <c r="F42" s="283"/>
      <c r="G42" s="283"/>
      <c r="H42" s="283"/>
      <c r="I42" s="284"/>
      <c r="J42" s="34"/>
      <c r="L42" s="27"/>
      <c r="M42" s="28"/>
      <c r="N42" s="29"/>
    </row>
    <row r="43" spans="1:14" ht="15.75" hidden="1" customHeight="1">
      <c r="A43" s="287"/>
      <c r="B43" s="288" t="s">
        <v>196</v>
      </c>
      <c r="C43" s="289" t="s">
        <v>191</v>
      </c>
      <c r="D43" s="288" t="s">
        <v>53</v>
      </c>
      <c r="E43" s="290">
        <v>1632.75</v>
      </c>
      <c r="F43" s="291">
        <f>SUM(E43*2/1000)</f>
        <v>3.2654999999999998</v>
      </c>
      <c r="G43" s="292">
        <v>809.74</v>
      </c>
      <c r="H43" s="293">
        <f t="shared" ref="H43:H52" si="6">SUM(F43*G43/1000)</f>
        <v>2.6442059699999998</v>
      </c>
      <c r="I43" s="292">
        <v>0</v>
      </c>
      <c r="J43" s="34"/>
      <c r="L43" s="27"/>
      <c r="M43" s="28"/>
      <c r="N43" s="29"/>
    </row>
    <row r="44" spans="1:14" ht="15.75" hidden="1" customHeight="1">
      <c r="A44" s="46"/>
      <c r="B44" s="247" t="s">
        <v>42</v>
      </c>
      <c r="C44" s="248" t="s">
        <v>191</v>
      </c>
      <c r="D44" s="247" t="s">
        <v>53</v>
      </c>
      <c r="E44" s="249">
        <v>53.75</v>
      </c>
      <c r="F44" s="250">
        <f>SUM(E44*2/1000)</f>
        <v>0.1075</v>
      </c>
      <c r="G44" s="18">
        <v>579.48</v>
      </c>
      <c r="H44" s="251">
        <f t="shared" si="6"/>
        <v>6.2294099999999998E-2</v>
      </c>
      <c r="I44" s="18">
        <v>0</v>
      </c>
      <c r="J44" s="34"/>
      <c r="L44" s="27"/>
      <c r="M44" s="28"/>
      <c r="N44" s="29"/>
    </row>
    <row r="45" spans="1:14" ht="15.75" hidden="1" customHeight="1">
      <c r="A45" s="46"/>
      <c r="B45" s="247" t="s">
        <v>43</v>
      </c>
      <c r="C45" s="248" t="s">
        <v>191</v>
      </c>
      <c r="D45" s="247" t="s">
        <v>53</v>
      </c>
      <c r="E45" s="249">
        <v>2285.6</v>
      </c>
      <c r="F45" s="250">
        <f>SUM(E45*2/1000)</f>
        <v>4.5712000000000002</v>
      </c>
      <c r="G45" s="18">
        <v>579.48</v>
      </c>
      <c r="H45" s="251">
        <f t="shared" si="6"/>
        <v>2.6489189760000005</v>
      </c>
      <c r="I45" s="18">
        <v>0</v>
      </c>
      <c r="J45" s="34"/>
      <c r="L45" s="27"/>
      <c r="M45" s="28"/>
      <c r="N45" s="29"/>
    </row>
    <row r="46" spans="1:14" ht="15.75" hidden="1" customHeight="1">
      <c r="A46" s="46"/>
      <c r="B46" s="247" t="s">
        <v>44</v>
      </c>
      <c r="C46" s="248" t="s">
        <v>191</v>
      </c>
      <c r="D46" s="247" t="s">
        <v>53</v>
      </c>
      <c r="E46" s="249">
        <v>1860</v>
      </c>
      <c r="F46" s="250">
        <f>SUM(E46*2/1000)</f>
        <v>3.72</v>
      </c>
      <c r="G46" s="18">
        <v>606.77</v>
      </c>
      <c r="H46" s="251">
        <f t="shared" si="6"/>
        <v>2.2571844000000003</v>
      </c>
      <c r="I46" s="18">
        <v>0</v>
      </c>
      <c r="J46" s="34"/>
      <c r="L46" s="27"/>
      <c r="M46" s="28"/>
      <c r="N46" s="29"/>
    </row>
    <row r="47" spans="1:14" ht="15.75" hidden="1" customHeight="1">
      <c r="A47" s="46"/>
      <c r="B47" s="247" t="s">
        <v>40</v>
      </c>
      <c r="C47" s="248" t="s">
        <v>41</v>
      </c>
      <c r="D47" s="247" t="s">
        <v>53</v>
      </c>
      <c r="E47" s="249">
        <v>120.49</v>
      </c>
      <c r="F47" s="250">
        <f>SUM(E47*2/100)</f>
        <v>2.4097999999999997</v>
      </c>
      <c r="G47" s="18">
        <v>72.81</v>
      </c>
      <c r="H47" s="251">
        <f t="shared" si="6"/>
        <v>0.17545753799999997</v>
      </c>
      <c r="I47" s="18">
        <v>0</v>
      </c>
      <c r="J47" s="34"/>
      <c r="L47" s="27"/>
      <c r="M47" s="28"/>
      <c r="N47" s="29"/>
    </row>
    <row r="48" spans="1:14" ht="15.75" customHeight="1">
      <c r="A48" s="46">
        <v>15</v>
      </c>
      <c r="B48" s="247" t="s">
        <v>70</v>
      </c>
      <c r="C48" s="248" t="s">
        <v>191</v>
      </c>
      <c r="D48" s="247" t="s">
        <v>258</v>
      </c>
      <c r="E48" s="249">
        <v>1728</v>
      </c>
      <c r="F48" s="250">
        <f>SUM(E48*5/1000)</f>
        <v>8.64</v>
      </c>
      <c r="G48" s="18">
        <v>1213.55</v>
      </c>
      <c r="H48" s="251">
        <f t="shared" si="6"/>
        <v>10.485072000000001</v>
      </c>
      <c r="I48" s="18">
        <f>F48/5*G48</f>
        <v>2097.0144</v>
      </c>
      <c r="J48" s="34"/>
      <c r="L48" s="27"/>
      <c r="M48" s="28"/>
      <c r="N48" s="29"/>
    </row>
    <row r="49" spans="1:22" ht="31.5" hidden="1" customHeight="1">
      <c r="A49" s="46"/>
      <c r="B49" s="247" t="s">
        <v>198</v>
      </c>
      <c r="C49" s="248" t="s">
        <v>191</v>
      </c>
      <c r="D49" s="247" t="s">
        <v>53</v>
      </c>
      <c r="E49" s="249">
        <v>1728</v>
      </c>
      <c r="F49" s="250">
        <f>SUM(E49*2/1000)</f>
        <v>3.456</v>
      </c>
      <c r="G49" s="18">
        <v>1213.55</v>
      </c>
      <c r="H49" s="251">
        <f t="shared" si="6"/>
        <v>4.1940287999999999</v>
      </c>
      <c r="I49" s="18">
        <v>0</v>
      </c>
      <c r="J49" s="34"/>
      <c r="L49" s="27"/>
      <c r="M49" s="28"/>
      <c r="N49" s="29"/>
    </row>
    <row r="50" spans="1:22" ht="31.5" hidden="1" customHeight="1">
      <c r="A50" s="46"/>
      <c r="B50" s="247" t="s">
        <v>235</v>
      </c>
      <c r="C50" s="248" t="s">
        <v>47</v>
      </c>
      <c r="D50" s="247" t="s">
        <v>53</v>
      </c>
      <c r="E50" s="249">
        <v>20</v>
      </c>
      <c r="F50" s="250">
        <f>SUM(E50*2/100)</f>
        <v>0.4</v>
      </c>
      <c r="G50" s="18">
        <v>2730.49</v>
      </c>
      <c r="H50" s="251">
        <f t="shared" si="6"/>
        <v>1.0921959999999999</v>
      </c>
      <c r="I50" s="18">
        <v>0</v>
      </c>
      <c r="J50" s="34"/>
      <c r="L50" s="27"/>
      <c r="M50" s="28"/>
      <c r="N50" s="29"/>
    </row>
    <row r="51" spans="1:22" ht="15.75" hidden="1" customHeight="1">
      <c r="A51" s="46"/>
      <c r="B51" s="247" t="s">
        <v>48</v>
      </c>
      <c r="C51" s="248" t="s">
        <v>49</v>
      </c>
      <c r="D51" s="247" t="s">
        <v>53</v>
      </c>
      <c r="E51" s="249">
        <v>1</v>
      </c>
      <c r="F51" s="250">
        <v>0.02</v>
      </c>
      <c r="G51" s="18">
        <v>5652.13</v>
      </c>
      <c r="H51" s="251">
        <f t="shared" si="6"/>
        <v>0.11304260000000001</v>
      </c>
      <c r="I51" s="18">
        <v>0</v>
      </c>
      <c r="J51" s="34"/>
      <c r="L51" s="27"/>
      <c r="M51" s="28"/>
      <c r="N51" s="29"/>
    </row>
    <row r="52" spans="1:22" ht="15.75" customHeight="1">
      <c r="A52" s="46">
        <v>16</v>
      </c>
      <c r="B52" s="247" t="s">
        <v>52</v>
      </c>
      <c r="C52" s="248" t="s">
        <v>142</v>
      </c>
      <c r="D52" s="247" t="s">
        <v>89</v>
      </c>
      <c r="E52" s="249">
        <v>128</v>
      </c>
      <c r="F52" s="250">
        <f>SUM(E52)*3</f>
        <v>384</v>
      </c>
      <c r="G52" s="18">
        <v>65.67</v>
      </c>
      <c r="H52" s="251">
        <f t="shared" si="6"/>
        <v>25.217279999999999</v>
      </c>
      <c r="I52" s="18">
        <f>E52*G52</f>
        <v>8405.76</v>
      </c>
      <c r="J52" s="34"/>
      <c r="L52" s="27"/>
      <c r="M52" s="28"/>
      <c r="N52" s="29"/>
    </row>
    <row r="53" spans="1:22" ht="15.75" customHeight="1">
      <c r="A53" s="278" t="s">
        <v>256</v>
      </c>
      <c r="B53" s="279"/>
      <c r="C53" s="279"/>
      <c r="D53" s="279"/>
      <c r="E53" s="279"/>
      <c r="F53" s="279"/>
      <c r="G53" s="279"/>
      <c r="H53" s="279"/>
      <c r="I53" s="280"/>
      <c r="J53" s="34"/>
      <c r="L53" s="27"/>
      <c r="M53" s="28"/>
      <c r="N53" s="29"/>
    </row>
    <row r="54" spans="1:22" ht="15.75" customHeight="1">
      <c r="A54" s="46"/>
      <c r="B54" s="281" t="s">
        <v>54</v>
      </c>
      <c r="C54" s="248"/>
      <c r="D54" s="247"/>
      <c r="E54" s="249"/>
      <c r="F54" s="250"/>
      <c r="G54" s="250"/>
      <c r="H54" s="254"/>
      <c r="I54" s="255"/>
      <c r="J54" s="34"/>
      <c r="L54" s="27"/>
      <c r="M54" s="28"/>
      <c r="N54" s="29"/>
    </row>
    <row r="55" spans="1:22" ht="31.5" customHeight="1">
      <c r="A55" s="46">
        <v>17</v>
      </c>
      <c r="B55" s="247" t="s">
        <v>200</v>
      </c>
      <c r="C55" s="248" t="s">
        <v>163</v>
      </c>
      <c r="D55" s="247" t="s">
        <v>201</v>
      </c>
      <c r="E55" s="249">
        <v>163.30000000000001</v>
      </c>
      <c r="F55" s="250">
        <f>SUM(E55*6/100)</f>
        <v>9.798</v>
      </c>
      <c r="G55" s="18">
        <v>1547.28</v>
      </c>
      <c r="H55" s="251">
        <f>SUM(F55*G55/1000)</f>
        <v>15.160249439999999</v>
      </c>
      <c r="I55" s="18">
        <f>F55/6*G55</f>
        <v>2526.7082399999999</v>
      </c>
      <c r="J55" s="34"/>
      <c r="L55" s="27"/>
      <c r="M55" s="28"/>
      <c r="N55" s="29"/>
    </row>
    <row r="56" spans="1:22" ht="15.75" customHeight="1">
      <c r="A56" s="46"/>
      <c r="B56" s="281" t="s">
        <v>55</v>
      </c>
      <c r="C56" s="248"/>
      <c r="D56" s="247"/>
      <c r="E56" s="249"/>
      <c r="F56" s="250"/>
      <c r="G56" s="250"/>
      <c r="H56" s="251" t="s">
        <v>234</v>
      </c>
      <c r="I56" s="255"/>
      <c r="J56" s="34"/>
      <c r="L56" s="27"/>
      <c r="M56" s="28"/>
      <c r="N56" s="29"/>
    </row>
    <row r="57" spans="1:22" ht="15.75" hidden="1" customHeight="1">
      <c r="A57" s="46"/>
      <c r="B57" s="247" t="s">
        <v>56</v>
      </c>
      <c r="C57" s="248" t="s">
        <v>163</v>
      </c>
      <c r="D57" s="247" t="s">
        <v>66</v>
      </c>
      <c r="E57" s="258">
        <v>1155.2</v>
      </c>
      <c r="F57" s="259">
        <v>11.6</v>
      </c>
      <c r="G57" s="18">
        <v>793.61</v>
      </c>
      <c r="H57" s="260">
        <v>9.1679999999999993</v>
      </c>
      <c r="I57" s="18">
        <v>0</v>
      </c>
      <c r="J57" s="34"/>
      <c r="L57" s="27"/>
      <c r="M57" s="28"/>
      <c r="N57" s="29"/>
    </row>
    <row r="58" spans="1:22" ht="15.75" customHeight="1">
      <c r="A58" s="46">
        <v>18</v>
      </c>
      <c r="B58" s="261" t="s">
        <v>144</v>
      </c>
      <c r="C58" s="262" t="s">
        <v>29</v>
      </c>
      <c r="D58" s="261" t="s">
        <v>35</v>
      </c>
      <c r="E58" s="258">
        <v>255.2</v>
      </c>
      <c r="F58" s="263">
        <v>3062.4</v>
      </c>
      <c r="G58" s="243">
        <v>2.6</v>
      </c>
      <c r="H58" s="264">
        <f>G58*F58/1000</f>
        <v>7.9622400000000004</v>
      </c>
      <c r="I58" s="18">
        <f>F58/12*G58</f>
        <v>663.5200000000001</v>
      </c>
      <c r="J58" s="34"/>
      <c r="L58" s="27"/>
      <c r="M58" s="28"/>
      <c r="N58" s="29"/>
    </row>
    <row r="59" spans="1:22" ht="15.75" hidden="1" customHeight="1">
      <c r="A59" s="46"/>
      <c r="B59" s="294" t="s">
        <v>57</v>
      </c>
      <c r="C59" s="262"/>
      <c r="D59" s="261"/>
      <c r="E59" s="258"/>
      <c r="F59" s="263"/>
      <c r="G59" s="263"/>
      <c r="H59" s="264" t="s">
        <v>234</v>
      </c>
      <c r="I59" s="255"/>
      <c r="J59" s="34"/>
      <c r="L59" s="27"/>
      <c r="M59" s="28"/>
      <c r="N59" s="29"/>
    </row>
    <row r="60" spans="1:22" ht="15.75" hidden="1" customHeight="1">
      <c r="A60" s="46"/>
      <c r="B60" s="20" t="s">
        <v>58</v>
      </c>
      <c r="C60" s="22" t="s">
        <v>142</v>
      </c>
      <c r="D60" s="20" t="s">
        <v>233</v>
      </c>
      <c r="E60" s="25">
        <v>5</v>
      </c>
      <c r="F60" s="250">
        <v>5</v>
      </c>
      <c r="G60" s="18">
        <v>222.4</v>
      </c>
      <c r="H60" s="265">
        <f t="shared" ref="H60:H67" si="7">SUM(F60*G60/1000)</f>
        <v>1.1120000000000001</v>
      </c>
      <c r="I60" s="18">
        <v>0</v>
      </c>
      <c r="J60" s="34"/>
      <c r="L60" s="27"/>
    </row>
    <row r="61" spans="1:22" ht="15.75" hidden="1" customHeight="1">
      <c r="A61" s="46"/>
      <c r="B61" s="20" t="s">
        <v>59</v>
      </c>
      <c r="C61" s="22" t="s">
        <v>142</v>
      </c>
      <c r="D61" s="20" t="s">
        <v>233</v>
      </c>
      <c r="E61" s="25">
        <v>4</v>
      </c>
      <c r="F61" s="250">
        <v>4</v>
      </c>
      <c r="G61" s="18">
        <v>76.25</v>
      </c>
      <c r="H61" s="265">
        <f t="shared" si="7"/>
        <v>0.30499999999999999</v>
      </c>
      <c r="I61" s="18">
        <v>0</v>
      </c>
      <c r="J61" s="34"/>
      <c r="L61" s="27"/>
    </row>
    <row r="62" spans="1:22" ht="15.75" hidden="1" customHeight="1">
      <c r="A62" s="46"/>
      <c r="B62" s="20" t="s">
        <v>60</v>
      </c>
      <c r="C62" s="22" t="s">
        <v>202</v>
      </c>
      <c r="D62" s="20" t="s">
        <v>66</v>
      </c>
      <c r="E62" s="249">
        <v>15552</v>
      </c>
      <c r="F62" s="18">
        <f>SUM(E62/100)</f>
        <v>155.52000000000001</v>
      </c>
      <c r="G62" s="18">
        <v>212.15</v>
      </c>
      <c r="H62" s="265">
        <f t="shared" si="7"/>
        <v>32.993568000000003</v>
      </c>
      <c r="I62" s="18">
        <v>0</v>
      </c>
    </row>
    <row r="63" spans="1:22" ht="15.75" hidden="1" customHeight="1">
      <c r="A63" s="46"/>
      <c r="B63" s="20" t="s">
        <v>61</v>
      </c>
      <c r="C63" s="22" t="s">
        <v>203</v>
      </c>
      <c r="D63" s="20"/>
      <c r="E63" s="249">
        <v>15552</v>
      </c>
      <c r="F63" s="18">
        <f>SUM(E63/1000)</f>
        <v>15.552</v>
      </c>
      <c r="G63" s="18">
        <v>165.21</v>
      </c>
      <c r="H63" s="265">
        <f t="shared" si="7"/>
        <v>2.5693459200000004</v>
      </c>
      <c r="I63" s="18">
        <v>0</v>
      </c>
    </row>
    <row r="64" spans="1:22" ht="15.75" hidden="1" customHeight="1">
      <c r="A64" s="46"/>
      <c r="B64" s="20" t="s">
        <v>62</v>
      </c>
      <c r="C64" s="22" t="s">
        <v>96</v>
      </c>
      <c r="D64" s="20" t="s">
        <v>66</v>
      </c>
      <c r="E64" s="249">
        <v>2432</v>
      </c>
      <c r="F64" s="18">
        <f>SUM(E64/100)</f>
        <v>24.32</v>
      </c>
      <c r="G64" s="18">
        <v>2074.63</v>
      </c>
      <c r="H64" s="265">
        <f t="shared" si="7"/>
        <v>50.455001600000003</v>
      </c>
      <c r="I64" s="18"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46"/>
      <c r="B65" s="266" t="s">
        <v>90</v>
      </c>
      <c r="C65" s="22" t="s">
        <v>38</v>
      </c>
      <c r="D65" s="20"/>
      <c r="E65" s="249">
        <v>34.5</v>
      </c>
      <c r="F65" s="18">
        <f>SUM(E65)</f>
        <v>34.5</v>
      </c>
      <c r="G65" s="18">
        <v>45.32</v>
      </c>
      <c r="H65" s="265">
        <f t="shared" si="7"/>
        <v>1.5635399999999999</v>
      </c>
      <c r="I65" s="18">
        <v>0</v>
      </c>
      <c r="J65" s="38"/>
      <c r="K65" s="38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31.5" hidden="1" customHeight="1">
      <c r="A66" s="46"/>
      <c r="B66" s="266" t="s">
        <v>91</v>
      </c>
      <c r="C66" s="22" t="s">
        <v>38</v>
      </c>
      <c r="D66" s="20"/>
      <c r="E66" s="249">
        <f>E65</f>
        <v>34.5</v>
      </c>
      <c r="F66" s="18">
        <f>SUM(E66)</f>
        <v>34.5</v>
      </c>
      <c r="G66" s="18">
        <v>42.28</v>
      </c>
      <c r="H66" s="265">
        <f t="shared" si="7"/>
        <v>1.4586600000000001</v>
      </c>
      <c r="I66" s="18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46"/>
      <c r="B67" s="20" t="s">
        <v>71</v>
      </c>
      <c r="C67" s="22" t="s">
        <v>72</v>
      </c>
      <c r="D67" s="20" t="s">
        <v>66</v>
      </c>
      <c r="E67" s="25">
        <v>4</v>
      </c>
      <c r="F67" s="250">
        <f>SUM(E67)</f>
        <v>4</v>
      </c>
      <c r="G67" s="18">
        <v>49.88</v>
      </c>
      <c r="H67" s="265">
        <f t="shared" si="7"/>
        <v>0.19952</v>
      </c>
      <c r="I67" s="18">
        <v>0</v>
      </c>
      <c r="J67" s="5"/>
      <c r="K67" s="5"/>
      <c r="L67" s="5"/>
      <c r="M67" s="5"/>
      <c r="N67" s="5"/>
      <c r="O67" s="5"/>
      <c r="P67" s="5"/>
      <c r="Q67" s="5"/>
      <c r="R67" s="216"/>
      <c r="S67" s="216"/>
      <c r="T67" s="216"/>
      <c r="U67" s="216"/>
    </row>
    <row r="68" spans="1:21" ht="15.75" customHeight="1">
      <c r="A68" s="46"/>
      <c r="B68" s="210" t="s">
        <v>92</v>
      </c>
      <c r="C68" s="22"/>
      <c r="D68" s="20"/>
      <c r="E68" s="25"/>
      <c r="F68" s="18"/>
      <c r="G68" s="18"/>
      <c r="H68" s="265" t="s">
        <v>234</v>
      </c>
      <c r="I68" s="255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ht="15.75" customHeight="1">
      <c r="A69" s="46">
        <v>19</v>
      </c>
      <c r="B69" s="20" t="s">
        <v>93</v>
      </c>
      <c r="C69" s="22" t="s">
        <v>94</v>
      </c>
      <c r="D69" s="20"/>
      <c r="E69" s="25">
        <v>4</v>
      </c>
      <c r="F69" s="18">
        <v>0.4</v>
      </c>
      <c r="G69" s="18">
        <v>501.62</v>
      </c>
      <c r="H69" s="265">
        <f>SUM(F69*G69/1000)</f>
        <v>0.20064800000000002</v>
      </c>
      <c r="I69" s="18">
        <f>G69*0.2</f>
        <v>100.32400000000001</v>
      </c>
    </row>
    <row r="70" spans="1:21" ht="15.75" hidden="1" customHeight="1">
      <c r="A70" s="46"/>
      <c r="B70" s="20" t="s">
        <v>220</v>
      </c>
      <c r="C70" s="22" t="s">
        <v>142</v>
      </c>
      <c r="D70" s="20"/>
      <c r="E70" s="25">
        <v>1</v>
      </c>
      <c r="F70" s="18">
        <f>E70</f>
        <v>1</v>
      </c>
      <c r="G70" s="18">
        <v>852.99</v>
      </c>
      <c r="H70" s="265">
        <f>SUM(F70*G70/1000)</f>
        <v>0.85299000000000003</v>
      </c>
      <c r="I70" s="18">
        <v>0</v>
      </c>
    </row>
    <row r="71" spans="1:21" ht="15.75" hidden="1" customHeight="1">
      <c r="A71" s="46"/>
      <c r="B71" s="269" t="s">
        <v>95</v>
      </c>
      <c r="C71" s="22"/>
      <c r="D71" s="20"/>
      <c r="E71" s="25"/>
      <c r="F71" s="25"/>
      <c r="G71" s="25"/>
      <c r="H71" s="25"/>
      <c r="I71" s="255"/>
    </row>
    <row r="72" spans="1:21" ht="15.75" hidden="1" customHeight="1">
      <c r="A72" s="46"/>
      <c r="B72" s="81" t="s">
        <v>208</v>
      </c>
      <c r="C72" s="22" t="s">
        <v>96</v>
      </c>
      <c r="D72" s="20"/>
      <c r="E72" s="25"/>
      <c r="F72" s="18">
        <v>0.1</v>
      </c>
      <c r="G72" s="18">
        <v>2759.44</v>
      </c>
      <c r="H72" s="268">
        <f t="shared" ref="H72" si="8">SUM(F72*G72/1000)</f>
        <v>0.27594400000000002</v>
      </c>
      <c r="I72" s="18">
        <v>0</v>
      </c>
    </row>
    <row r="73" spans="1:21" ht="15.75" hidden="1" customHeight="1">
      <c r="A73" s="46"/>
      <c r="B73" s="210" t="s">
        <v>206</v>
      </c>
      <c r="C73" s="269"/>
      <c r="D73" s="51"/>
      <c r="E73" s="53"/>
      <c r="F73" s="270"/>
      <c r="G73" s="270"/>
      <c r="H73" s="271">
        <f>SUM(H55:H72)</f>
        <v>124.27670696000001</v>
      </c>
      <c r="I73" s="253"/>
    </row>
    <row r="74" spans="1:21" ht="15.75" hidden="1" customHeight="1">
      <c r="A74" s="285"/>
      <c r="B74" s="261" t="s">
        <v>207</v>
      </c>
      <c r="C74" s="295"/>
      <c r="D74" s="296"/>
      <c r="E74" s="272"/>
      <c r="F74" s="286">
        <f>232/10</f>
        <v>23.2</v>
      </c>
      <c r="G74" s="286">
        <v>11370</v>
      </c>
      <c r="H74" s="297">
        <f>G74*F74/1000</f>
        <v>263.78399999999999</v>
      </c>
      <c r="I74" s="286">
        <v>0</v>
      </c>
    </row>
    <row r="75" spans="1:21" ht="15.75" customHeight="1">
      <c r="A75" s="282" t="s">
        <v>257</v>
      </c>
      <c r="B75" s="283"/>
      <c r="C75" s="283"/>
      <c r="D75" s="283"/>
      <c r="E75" s="283"/>
      <c r="F75" s="283"/>
      <c r="G75" s="283"/>
      <c r="H75" s="283"/>
      <c r="I75" s="284"/>
    </row>
    <row r="76" spans="1:21" ht="15.75" customHeight="1">
      <c r="A76" s="287">
        <v>20</v>
      </c>
      <c r="B76" s="288" t="s">
        <v>209</v>
      </c>
      <c r="C76" s="298" t="s">
        <v>67</v>
      </c>
      <c r="D76" s="299" t="s">
        <v>68</v>
      </c>
      <c r="E76" s="292">
        <v>3053.4</v>
      </c>
      <c r="F76" s="292">
        <f>SUM(E76*12)</f>
        <v>36640.800000000003</v>
      </c>
      <c r="G76" s="292">
        <v>2.1</v>
      </c>
      <c r="H76" s="300">
        <f>SUM(F76*G76/1000)</f>
        <v>76.94568000000001</v>
      </c>
      <c r="I76" s="292">
        <f>F76/12*G76</f>
        <v>6412.14</v>
      </c>
    </row>
    <row r="77" spans="1:21" ht="31.5" customHeight="1">
      <c r="A77" s="46">
        <v>21</v>
      </c>
      <c r="B77" s="20" t="s">
        <v>97</v>
      </c>
      <c r="C77" s="22"/>
      <c r="D77" s="299" t="s">
        <v>68</v>
      </c>
      <c r="E77" s="249">
        <f>E76</f>
        <v>3053.4</v>
      </c>
      <c r="F77" s="18">
        <f>E77*12</f>
        <v>36640.800000000003</v>
      </c>
      <c r="G77" s="18">
        <v>1.63</v>
      </c>
      <c r="H77" s="268">
        <f>F77*G77/1000</f>
        <v>59.724504000000003</v>
      </c>
      <c r="I77" s="18">
        <f>F77/12*G77</f>
        <v>4977.0419999999995</v>
      </c>
    </row>
    <row r="78" spans="1:21" ht="15.75" customHeight="1">
      <c r="A78" s="46"/>
      <c r="B78" s="68" t="s">
        <v>102</v>
      </c>
      <c r="C78" s="269"/>
      <c r="D78" s="267"/>
      <c r="E78" s="270"/>
      <c r="F78" s="270"/>
      <c r="G78" s="270"/>
      <c r="H78" s="271">
        <f>SUM(H77)</f>
        <v>59.724504000000003</v>
      </c>
      <c r="I78" s="270">
        <f>I16+I17+I18+I20+I21+I23+I25+I26+I36+I37+I38+I39+I40+I41+I48+I52+I55+I58+I69+I76+I77</f>
        <v>53841.867525166665</v>
      </c>
    </row>
    <row r="79" spans="1:21" ht="15.75" customHeight="1">
      <c r="A79" s="46"/>
      <c r="B79" s="198" t="s">
        <v>74</v>
      </c>
      <c r="C79" s="22"/>
      <c r="D79" s="81"/>
      <c r="E79" s="18"/>
      <c r="F79" s="18"/>
      <c r="G79" s="18"/>
      <c r="H79" s="23"/>
      <c r="I79" s="255"/>
    </row>
    <row r="80" spans="1:21" ht="15.75" customHeight="1">
      <c r="A80" s="46">
        <v>22</v>
      </c>
      <c r="B80" s="199" t="s">
        <v>173</v>
      </c>
      <c r="C80" s="200" t="s">
        <v>142</v>
      </c>
      <c r="D80" s="81"/>
      <c r="E80" s="18"/>
      <c r="F80" s="18">
        <v>780</v>
      </c>
      <c r="G80" s="18">
        <v>50.68</v>
      </c>
      <c r="H80" s="268">
        <f>G80*F80/1000</f>
        <v>39.5304</v>
      </c>
      <c r="I80" s="18">
        <f>G80*65</f>
        <v>3294.2</v>
      </c>
    </row>
    <row r="81" spans="1:9" ht="31.5" hidden="1" customHeight="1">
      <c r="A81" s="46"/>
      <c r="B81" s="199" t="s">
        <v>236</v>
      </c>
      <c r="C81" s="200" t="s">
        <v>142</v>
      </c>
      <c r="D81" s="81"/>
      <c r="E81" s="18"/>
      <c r="F81" s="18">
        <v>1</v>
      </c>
      <c r="G81" s="18">
        <v>2179.33</v>
      </c>
      <c r="H81" s="268">
        <f>G81*F81/1000</f>
        <v>2.1793299999999998</v>
      </c>
      <c r="I81" s="18">
        <v>0</v>
      </c>
    </row>
    <row r="82" spans="1:9" ht="31.5" hidden="1" customHeight="1">
      <c r="A82" s="46"/>
      <c r="B82" s="199" t="s">
        <v>111</v>
      </c>
      <c r="C82" s="200" t="s">
        <v>47</v>
      </c>
      <c r="D82" s="81"/>
      <c r="E82" s="18"/>
      <c r="F82" s="18">
        <f>3/100</f>
        <v>0.03</v>
      </c>
      <c r="G82" s="18">
        <v>3397.65</v>
      </c>
      <c r="H82" s="268">
        <f t="shared" ref="H82:H98" si="9">F82*G82/1000</f>
        <v>0.10192950000000001</v>
      </c>
      <c r="I82" s="18">
        <v>0</v>
      </c>
    </row>
    <row r="83" spans="1:9" ht="15.75" hidden="1" customHeight="1">
      <c r="A83" s="46"/>
      <c r="B83" s="199" t="s">
        <v>181</v>
      </c>
      <c r="C83" s="273" t="s">
        <v>104</v>
      </c>
      <c r="D83" s="81"/>
      <c r="E83" s="18"/>
      <c r="F83" s="18">
        <v>2</v>
      </c>
      <c r="G83" s="18">
        <v>18</v>
      </c>
      <c r="H83" s="268">
        <f t="shared" si="9"/>
        <v>3.5999999999999997E-2</v>
      </c>
      <c r="I83" s="18">
        <v>0</v>
      </c>
    </row>
    <row r="84" spans="1:9" ht="15.75" hidden="1" customHeight="1">
      <c r="A84" s="46"/>
      <c r="B84" s="199" t="s">
        <v>237</v>
      </c>
      <c r="C84" s="273" t="s">
        <v>238</v>
      </c>
      <c r="D84" s="81"/>
      <c r="E84" s="18"/>
      <c r="F84" s="18">
        <v>1</v>
      </c>
      <c r="G84" s="18">
        <v>1501</v>
      </c>
      <c r="H84" s="268">
        <f t="shared" si="9"/>
        <v>1.5009999999999999</v>
      </c>
      <c r="I84" s="18">
        <v>0</v>
      </c>
    </row>
    <row r="85" spans="1:9" ht="31.5" hidden="1" customHeight="1">
      <c r="A85" s="46"/>
      <c r="B85" s="199" t="s">
        <v>239</v>
      </c>
      <c r="C85" s="200" t="s">
        <v>175</v>
      </c>
      <c r="D85" s="81"/>
      <c r="E85" s="18"/>
      <c r="F85" s="18">
        <v>1</v>
      </c>
      <c r="G85" s="18">
        <v>762.37</v>
      </c>
      <c r="H85" s="268">
        <f t="shared" si="9"/>
        <v>0.76236999999999999</v>
      </c>
      <c r="I85" s="18">
        <v>0</v>
      </c>
    </row>
    <row r="86" spans="1:9" ht="31.5" hidden="1" customHeight="1">
      <c r="A86" s="46"/>
      <c r="B86" s="199" t="s">
        <v>240</v>
      </c>
      <c r="C86" s="22" t="s">
        <v>241</v>
      </c>
      <c r="D86" s="81"/>
      <c r="E86" s="18"/>
      <c r="F86" s="18">
        <v>20</v>
      </c>
      <c r="G86" s="18">
        <v>1187</v>
      </c>
      <c r="H86" s="268">
        <f t="shared" si="9"/>
        <v>23.74</v>
      </c>
      <c r="I86" s="18">
        <v>0</v>
      </c>
    </row>
    <row r="87" spans="1:9" ht="15.75" hidden="1" customHeight="1">
      <c r="A87" s="46"/>
      <c r="B87" s="199" t="s">
        <v>107</v>
      </c>
      <c r="C87" s="200" t="s">
        <v>142</v>
      </c>
      <c r="D87" s="81"/>
      <c r="E87" s="18"/>
      <c r="F87" s="18">
        <v>5</v>
      </c>
      <c r="G87" s="18">
        <v>180.15</v>
      </c>
      <c r="H87" s="268">
        <f t="shared" si="9"/>
        <v>0.90075000000000005</v>
      </c>
      <c r="I87" s="18">
        <v>0</v>
      </c>
    </row>
    <row r="88" spans="1:9" ht="15.75" hidden="1" customHeight="1">
      <c r="A88" s="46"/>
      <c r="B88" s="199" t="s">
        <v>242</v>
      </c>
      <c r="C88" s="200" t="s">
        <v>113</v>
      </c>
      <c r="D88" s="81"/>
      <c r="E88" s="18"/>
      <c r="F88" s="18">
        <v>2</v>
      </c>
      <c r="G88" s="18">
        <v>185.81</v>
      </c>
      <c r="H88" s="268">
        <f t="shared" si="9"/>
        <v>0.37162000000000001</v>
      </c>
      <c r="I88" s="18">
        <v>0</v>
      </c>
    </row>
    <row r="89" spans="1:9" ht="15.75" hidden="1" customHeight="1">
      <c r="A89" s="46"/>
      <c r="B89" s="199" t="s">
        <v>243</v>
      </c>
      <c r="C89" s="200" t="s">
        <v>175</v>
      </c>
      <c r="D89" s="81"/>
      <c r="E89" s="18"/>
      <c r="F89" s="18">
        <v>1</v>
      </c>
      <c r="G89" s="18">
        <v>3498.23</v>
      </c>
      <c r="H89" s="268">
        <f t="shared" si="9"/>
        <v>3.49823</v>
      </c>
      <c r="I89" s="18">
        <v>0</v>
      </c>
    </row>
    <row r="90" spans="1:9" ht="15.75" hidden="1" customHeight="1">
      <c r="A90" s="46"/>
      <c r="B90" s="199" t="s">
        <v>244</v>
      </c>
      <c r="C90" s="200" t="s">
        <v>175</v>
      </c>
      <c r="D90" s="81"/>
      <c r="E90" s="18"/>
      <c r="F90" s="18">
        <v>1</v>
      </c>
      <c r="G90" s="18">
        <v>5860.39</v>
      </c>
      <c r="H90" s="268">
        <f t="shared" si="9"/>
        <v>5.8603900000000007</v>
      </c>
      <c r="I90" s="18">
        <v>0</v>
      </c>
    </row>
    <row r="91" spans="1:9" ht="15.75" hidden="1" customHeight="1">
      <c r="A91" s="46"/>
      <c r="B91" s="199" t="s">
        <v>245</v>
      </c>
      <c r="C91" s="200" t="s">
        <v>175</v>
      </c>
      <c r="D91" s="81"/>
      <c r="E91" s="18"/>
      <c r="F91" s="18">
        <v>2</v>
      </c>
      <c r="G91" s="18">
        <v>7226.23</v>
      </c>
      <c r="H91" s="268">
        <f t="shared" si="9"/>
        <v>14.452459999999999</v>
      </c>
      <c r="I91" s="18">
        <v>0</v>
      </c>
    </row>
    <row r="92" spans="1:9" ht="31.5" hidden="1" customHeight="1">
      <c r="A92" s="46"/>
      <c r="B92" s="199" t="s">
        <v>246</v>
      </c>
      <c r="C92" s="200" t="s">
        <v>34</v>
      </c>
      <c r="D92" s="81"/>
      <c r="E92" s="18"/>
      <c r="F92" s="23">
        <f>1/1000</f>
        <v>1E-3</v>
      </c>
      <c r="G92" s="18">
        <v>1510.06</v>
      </c>
      <c r="H92" s="268">
        <f t="shared" si="9"/>
        <v>1.5100599999999999E-3</v>
      </c>
      <c r="I92" s="18">
        <v>0</v>
      </c>
    </row>
    <row r="93" spans="1:9" ht="31.5" hidden="1" customHeight="1">
      <c r="A93" s="46"/>
      <c r="B93" s="199" t="s">
        <v>247</v>
      </c>
      <c r="C93" s="200" t="s">
        <v>248</v>
      </c>
      <c r="D93" s="81"/>
      <c r="E93" s="18"/>
      <c r="F93" s="18">
        <f>1/100</f>
        <v>0.01</v>
      </c>
      <c r="G93" s="18">
        <v>7033.13</v>
      </c>
      <c r="H93" s="268">
        <f t="shared" si="9"/>
        <v>7.0331299999999999E-2</v>
      </c>
      <c r="I93" s="18">
        <v>0</v>
      </c>
    </row>
    <row r="94" spans="1:9" ht="31.5" hidden="1" customHeight="1">
      <c r="A94" s="46"/>
      <c r="B94" s="199" t="s">
        <v>134</v>
      </c>
      <c r="C94" s="200" t="s">
        <v>175</v>
      </c>
      <c r="D94" s="81"/>
      <c r="E94" s="18"/>
      <c r="F94" s="18">
        <v>6</v>
      </c>
      <c r="G94" s="18">
        <v>559.62</v>
      </c>
      <c r="H94" s="268">
        <f t="shared" si="9"/>
        <v>3.35772</v>
      </c>
      <c r="I94" s="18">
        <v>0</v>
      </c>
    </row>
    <row r="95" spans="1:9" ht="15.75" hidden="1" customHeight="1">
      <c r="A95" s="46"/>
      <c r="B95" s="274" t="s">
        <v>145</v>
      </c>
      <c r="C95" s="275" t="s">
        <v>146</v>
      </c>
      <c r="D95" s="81"/>
      <c r="E95" s="18"/>
      <c r="F95" s="18">
        <f>15/3</f>
        <v>5</v>
      </c>
      <c r="G95" s="18">
        <v>1063.47</v>
      </c>
      <c r="H95" s="268">
        <f t="shared" si="9"/>
        <v>5.3173500000000002</v>
      </c>
      <c r="I95" s="18">
        <v>0</v>
      </c>
    </row>
    <row r="96" spans="1:9" ht="31.5" hidden="1" customHeight="1">
      <c r="A96" s="46"/>
      <c r="B96" s="199" t="s">
        <v>101</v>
      </c>
      <c r="C96" s="200" t="s">
        <v>142</v>
      </c>
      <c r="D96" s="81"/>
      <c r="E96" s="18"/>
      <c r="F96" s="18">
        <v>3</v>
      </c>
      <c r="G96" s="18">
        <v>79.09</v>
      </c>
      <c r="H96" s="268">
        <f t="shared" si="9"/>
        <v>0.23727000000000001</v>
      </c>
      <c r="I96" s="18">
        <v>0</v>
      </c>
    </row>
    <row r="97" spans="1:9" ht="15.75" hidden="1" customHeight="1">
      <c r="A97" s="46"/>
      <c r="B97" s="199" t="s">
        <v>249</v>
      </c>
      <c r="C97" s="200" t="s">
        <v>250</v>
      </c>
      <c r="D97" s="81"/>
      <c r="E97" s="18"/>
      <c r="F97" s="18">
        <v>1</v>
      </c>
      <c r="G97" s="18">
        <v>24407.200000000001</v>
      </c>
      <c r="H97" s="268">
        <f t="shared" si="9"/>
        <v>24.4072</v>
      </c>
      <c r="I97" s="18">
        <v>0</v>
      </c>
    </row>
    <row r="98" spans="1:9" ht="31.5" hidden="1" customHeight="1">
      <c r="A98" s="46"/>
      <c r="B98" s="199" t="s">
        <v>251</v>
      </c>
      <c r="C98" s="200" t="s">
        <v>175</v>
      </c>
      <c r="D98" s="81"/>
      <c r="E98" s="18"/>
      <c r="F98" s="18">
        <v>1</v>
      </c>
      <c r="G98" s="18">
        <v>476.76</v>
      </c>
      <c r="H98" s="268">
        <f t="shared" si="9"/>
        <v>0.47676000000000002</v>
      </c>
      <c r="I98" s="18">
        <v>0</v>
      </c>
    </row>
    <row r="99" spans="1:9" ht="15.75" hidden="1" customHeight="1">
      <c r="A99" s="46"/>
      <c r="B99" s="276" t="s">
        <v>116</v>
      </c>
      <c r="C99" s="200" t="s">
        <v>142</v>
      </c>
      <c r="D99" s="81"/>
      <c r="E99" s="18"/>
      <c r="F99" s="18">
        <v>1</v>
      </c>
      <c r="G99" s="18">
        <v>179.96</v>
      </c>
      <c r="H99" s="268">
        <f>F99*G99/1000</f>
        <v>0.17996000000000001</v>
      </c>
      <c r="I99" s="18">
        <v>0</v>
      </c>
    </row>
    <row r="100" spans="1:9" ht="15.75" customHeight="1">
      <c r="A100" s="46"/>
      <c r="B100" s="75" t="s">
        <v>63</v>
      </c>
      <c r="C100" s="71"/>
      <c r="D100" s="123"/>
      <c r="E100" s="71">
        <v>1</v>
      </c>
      <c r="F100" s="71"/>
      <c r="G100" s="71"/>
      <c r="H100" s="71"/>
      <c r="I100" s="53">
        <f>SUM(I80:I99)</f>
        <v>3294.2</v>
      </c>
    </row>
    <row r="101" spans="1:9" ht="15.75" customHeight="1">
      <c r="A101" s="46"/>
      <c r="B101" s="81" t="s">
        <v>98</v>
      </c>
      <c r="C101" s="21"/>
      <c r="D101" s="21"/>
      <c r="E101" s="72"/>
      <c r="F101" s="72"/>
      <c r="G101" s="73"/>
      <c r="H101" s="73"/>
      <c r="I101" s="24">
        <v>0</v>
      </c>
    </row>
    <row r="102" spans="1:9" ht="15.75" customHeight="1">
      <c r="A102" s="124"/>
      <c r="B102" s="76" t="s">
        <v>64</v>
      </c>
      <c r="C102" s="59"/>
      <c r="D102" s="59"/>
      <c r="E102" s="59"/>
      <c r="F102" s="59"/>
      <c r="G102" s="59"/>
      <c r="H102" s="59"/>
      <c r="I102" s="74">
        <f>I78+I100</f>
        <v>57136.067525166662</v>
      </c>
    </row>
    <row r="103" spans="1:9" ht="15.75">
      <c r="A103" s="240" t="s">
        <v>268</v>
      </c>
      <c r="B103" s="240"/>
      <c r="C103" s="240"/>
      <c r="D103" s="240"/>
      <c r="E103" s="240"/>
      <c r="F103" s="240"/>
      <c r="G103" s="240"/>
      <c r="H103" s="240"/>
      <c r="I103" s="240"/>
    </row>
    <row r="104" spans="1:9" ht="15.75">
      <c r="A104" s="205"/>
      <c r="B104" s="241" t="s">
        <v>269</v>
      </c>
      <c r="C104" s="241"/>
      <c r="D104" s="241"/>
      <c r="E104" s="241"/>
      <c r="F104" s="241"/>
      <c r="G104" s="241"/>
      <c r="H104" s="246"/>
      <c r="I104" s="3"/>
    </row>
    <row r="105" spans="1:9">
      <c r="A105" s="208"/>
      <c r="B105" s="222" t="s">
        <v>7</v>
      </c>
      <c r="C105" s="222"/>
      <c r="D105" s="222"/>
      <c r="E105" s="222"/>
      <c r="F105" s="222"/>
      <c r="G105" s="222"/>
      <c r="H105" s="37"/>
      <c r="I105" s="5"/>
    </row>
    <row r="106" spans="1:9" ht="15.75" customHeight="1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 ht="15.75" customHeight="1">
      <c r="A107" s="217" t="s">
        <v>8</v>
      </c>
      <c r="B107" s="217"/>
      <c r="C107" s="217"/>
      <c r="D107" s="217"/>
      <c r="E107" s="217"/>
      <c r="F107" s="217"/>
      <c r="G107" s="217"/>
      <c r="H107" s="217"/>
      <c r="I107" s="217"/>
    </row>
    <row r="108" spans="1:9" ht="15.75" customHeight="1">
      <c r="A108" s="217" t="s">
        <v>9</v>
      </c>
      <c r="B108" s="217"/>
      <c r="C108" s="217"/>
      <c r="D108" s="217"/>
      <c r="E108" s="217"/>
      <c r="F108" s="217"/>
      <c r="G108" s="217"/>
      <c r="H108" s="217"/>
      <c r="I108" s="217"/>
    </row>
    <row r="109" spans="1:9" ht="15.75" customHeight="1">
      <c r="A109" s="219" t="s">
        <v>76</v>
      </c>
      <c r="B109" s="219"/>
      <c r="C109" s="219"/>
      <c r="D109" s="219"/>
      <c r="E109" s="219"/>
      <c r="F109" s="219"/>
      <c r="G109" s="219"/>
      <c r="H109" s="219"/>
      <c r="I109" s="219"/>
    </row>
    <row r="110" spans="1:9" ht="7.5" customHeight="1">
      <c r="A110" s="12"/>
    </row>
    <row r="111" spans="1:9" ht="15.75" customHeight="1">
      <c r="A111" s="220" t="s">
        <v>11</v>
      </c>
      <c r="B111" s="220"/>
      <c r="C111" s="220"/>
      <c r="D111" s="220"/>
      <c r="E111" s="220"/>
      <c r="F111" s="220"/>
      <c r="G111" s="220"/>
      <c r="H111" s="220"/>
      <c r="I111" s="220"/>
    </row>
    <row r="112" spans="1:9" ht="15.75" customHeight="1">
      <c r="A112" s="4"/>
    </row>
    <row r="113" spans="1:9" ht="15.75" customHeight="1">
      <c r="B113" s="204" t="s">
        <v>12</v>
      </c>
      <c r="C113" s="224" t="s">
        <v>136</v>
      </c>
      <c r="D113" s="224"/>
      <c r="E113" s="224"/>
      <c r="F113" s="244"/>
      <c r="I113" s="207"/>
    </row>
    <row r="114" spans="1:9" ht="15.75" customHeight="1">
      <c r="A114" s="208"/>
      <c r="C114" s="222" t="s">
        <v>13</v>
      </c>
      <c r="D114" s="222"/>
      <c r="E114" s="222"/>
      <c r="F114" s="37"/>
      <c r="I114" s="206" t="s">
        <v>14</v>
      </c>
    </row>
    <row r="115" spans="1:9" ht="15.75" customHeight="1">
      <c r="A115" s="38"/>
      <c r="C115" s="13"/>
      <c r="D115" s="13"/>
      <c r="G115" s="13"/>
      <c r="H115" s="13"/>
    </row>
    <row r="116" spans="1:9" ht="15.75" customHeight="1">
      <c r="B116" s="204" t="s">
        <v>15</v>
      </c>
      <c r="C116" s="223"/>
      <c r="D116" s="223"/>
      <c r="E116" s="223"/>
      <c r="F116" s="245"/>
      <c r="I116" s="207"/>
    </row>
    <row r="117" spans="1:9" ht="15.75" customHeight="1">
      <c r="A117" s="208"/>
      <c r="C117" s="216" t="s">
        <v>13</v>
      </c>
      <c r="D117" s="216"/>
      <c r="E117" s="216"/>
      <c r="F117" s="208"/>
      <c r="I117" s="206" t="s">
        <v>14</v>
      </c>
    </row>
    <row r="118" spans="1:9" ht="15.75" customHeight="1">
      <c r="A118" s="4" t="s">
        <v>16</v>
      </c>
    </row>
    <row r="119" spans="1:9">
      <c r="A119" s="234" t="s">
        <v>17</v>
      </c>
      <c r="B119" s="234"/>
      <c r="C119" s="234"/>
      <c r="D119" s="234"/>
      <c r="E119" s="234"/>
      <c r="F119" s="234"/>
      <c r="G119" s="234"/>
      <c r="H119" s="234"/>
      <c r="I119" s="234"/>
    </row>
    <row r="120" spans="1:9" ht="47.25" customHeight="1">
      <c r="A120" s="235" t="s">
        <v>18</v>
      </c>
      <c r="B120" s="235"/>
      <c r="C120" s="235"/>
      <c r="D120" s="235"/>
      <c r="E120" s="235"/>
      <c r="F120" s="235"/>
      <c r="G120" s="235"/>
      <c r="H120" s="235"/>
      <c r="I120" s="235"/>
    </row>
    <row r="121" spans="1:9" ht="31.5" customHeight="1">
      <c r="A121" s="235" t="s">
        <v>19</v>
      </c>
      <c r="B121" s="235"/>
      <c r="C121" s="235"/>
      <c r="D121" s="235"/>
      <c r="E121" s="235"/>
      <c r="F121" s="235"/>
      <c r="G121" s="235"/>
      <c r="H121" s="235"/>
      <c r="I121" s="235"/>
    </row>
    <row r="122" spans="1:9" ht="31.5" customHeight="1">
      <c r="A122" s="235" t="s">
        <v>24</v>
      </c>
      <c r="B122" s="235"/>
      <c r="C122" s="235"/>
      <c r="D122" s="235"/>
      <c r="E122" s="235"/>
      <c r="F122" s="235"/>
      <c r="G122" s="235"/>
      <c r="H122" s="235"/>
      <c r="I122" s="235"/>
    </row>
    <row r="123" spans="1:9" ht="15.75">
      <c r="A123" s="235" t="s">
        <v>23</v>
      </c>
      <c r="B123" s="235"/>
      <c r="C123" s="235"/>
      <c r="D123" s="235"/>
      <c r="E123" s="235"/>
      <c r="F123" s="235"/>
      <c r="G123" s="235"/>
      <c r="H123" s="235"/>
      <c r="I123" s="235"/>
    </row>
  </sheetData>
  <autoFilter ref="I12:I62"/>
  <mergeCells count="28">
    <mergeCell ref="A121:I121"/>
    <mergeCell ref="A122:I122"/>
    <mergeCell ref="A123:I123"/>
    <mergeCell ref="A42:I42"/>
    <mergeCell ref="A53:I53"/>
    <mergeCell ref="A75:I75"/>
    <mergeCell ref="C113:E113"/>
    <mergeCell ref="C114:E114"/>
    <mergeCell ref="C116:E116"/>
    <mergeCell ref="C117:E117"/>
    <mergeCell ref="A119:I119"/>
    <mergeCell ref="A120:I120"/>
    <mergeCell ref="B104:G104"/>
    <mergeCell ref="B105:G105"/>
    <mergeCell ref="A107:I107"/>
    <mergeCell ref="A108:I108"/>
    <mergeCell ref="A109:I109"/>
    <mergeCell ref="A111:I111"/>
    <mergeCell ref="A15:I15"/>
    <mergeCell ref="A27:I27"/>
    <mergeCell ref="R67:U67"/>
    <mergeCell ref="A103:I10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0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123</v>
      </c>
      <c r="I1" s="40"/>
      <c r="J1" s="1"/>
      <c r="K1" s="1"/>
      <c r="L1" s="1"/>
      <c r="M1" s="1"/>
    </row>
    <row r="2" spans="1:13" ht="15.75" customHeight="1">
      <c r="A2" s="42" t="s">
        <v>79</v>
      </c>
      <c r="J2" s="2"/>
      <c r="K2" s="2"/>
      <c r="L2" s="2"/>
      <c r="M2" s="2"/>
    </row>
    <row r="3" spans="1:13" ht="15.75" customHeight="1">
      <c r="A3" s="236" t="s">
        <v>287</v>
      </c>
      <c r="B3" s="236"/>
      <c r="C3" s="236"/>
      <c r="D3" s="236"/>
      <c r="E3" s="236"/>
      <c r="F3" s="236"/>
      <c r="G3" s="236"/>
      <c r="H3" s="236"/>
      <c r="I3" s="236"/>
      <c r="J3" s="3"/>
      <c r="K3" s="3"/>
      <c r="L3" s="3"/>
    </row>
    <row r="4" spans="1:13" ht="31.5" customHeight="1">
      <c r="A4" s="237" t="s">
        <v>211</v>
      </c>
      <c r="B4" s="237"/>
      <c r="C4" s="237"/>
      <c r="D4" s="237"/>
      <c r="E4" s="237"/>
      <c r="F4" s="237"/>
      <c r="G4" s="237"/>
      <c r="H4" s="237"/>
      <c r="I4" s="237"/>
    </row>
    <row r="5" spans="1:13" ht="15.75" customHeight="1">
      <c r="A5" s="236" t="s">
        <v>78</v>
      </c>
      <c r="B5" s="238"/>
      <c r="C5" s="238"/>
      <c r="D5" s="238"/>
      <c r="E5" s="238"/>
      <c r="F5" s="238"/>
      <c r="G5" s="238"/>
      <c r="H5" s="238"/>
      <c r="I5" s="238"/>
      <c r="J5" s="2"/>
      <c r="K5" s="2"/>
      <c r="L5" s="2"/>
      <c r="M5" s="2"/>
    </row>
    <row r="6" spans="1:13" ht="15.75" customHeight="1">
      <c r="A6" s="2"/>
      <c r="B6" s="209"/>
      <c r="C6" s="209"/>
      <c r="D6" s="209"/>
      <c r="E6" s="209"/>
      <c r="F6" s="209"/>
      <c r="G6" s="209"/>
      <c r="H6" s="209"/>
      <c r="I6" s="50">
        <v>42674</v>
      </c>
      <c r="J6" s="2"/>
      <c r="K6" s="2"/>
      <c r="L6" s="2"/>
      <c r="M6" s="2"/>
    </row>
    <row r="7" spans="1:13" ht="15.75" customHeight="1">
      <c r="B7" s="204"/>
      <c r="C7" s="204"/>
      <c r="D7" s="20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4" t="s">
        <v>226</v>
      </c>
      <c r="B8" s="214"/>
      <c r="C8" s="214"/>
      <c r="D8" s="214"/>
      <c r="E8" s="214"/>
      <c r="F8" s="214"/>
      <c r="G8" s="214"/>
      <c r="H8" s="214"/>
      <c r="I8" s="21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5" t="s">
        <v>212</v>
      </c>
      <c r="B10" s="215"/>
      <c r="C10" s="215"/>
      <c r="D10" s="215"/>
      <c r="E10" s="215"/>
      <c r="F10" s="215"/>
      <c r="G10" s="215"/>
      <c r="H10" s="215"/>
      <c r="I10" s="21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9" t="s">
        <v>73</v>
      </c>
      <c r="B14" s="239"/>
      <c r="C14" s="239"/>
      <c r="D14" s="239"/>
      <c r="E14" s="239"/>
      <c r="F14" s="239"/>
      <c r="G14" s="239"/>
      <c r="H14" s="239"/>
      <c r="I14" s="239"/>
      <c r="J14" s="8"/>
      <c r="K14" s="8"/>
      <c r="L14" s="8"/>
      <c r="M14" s="8"/>
    </row>
    <row r="15" spans="1:13" ht="15.75" customHeight="1">
      <c r="A15" s="277" t="s">
        <v>4</v>
      </c>
      <c r="B15" s="277"/>
      <c r="C15" s="277"/>
      <c r="D15" s="277"/>
      <c r="E15" s="277"/>
      <c r="F15" s="277"/>
      <c r="G15" s="277"/>
      <c r="H15" s="277"/>
      <c r="I15" s="277"/>
      <c r="J15" s="8"/>
      <c r="K15" s="8"/>
      <c r="L15" s="8"/>
      <c r="M15" s="8"/>
    </row>
    <row r="16" spans="1:13" ht="31.5" customHeight="1">
      <c r="A16" s="46">
        <v>1</v>
      </c>
      <c r="B16" s="247" t="s">
        <v>125</v>
      </c>
      <c r="C16" s="248" t="s">
        <v>163</v>
      </c>
      <c r="D16" s="247" t="s">
        <v>228</v>
      </c>
      <c r="E16" s="249">
        <v>92.5</v>
      </c>
      <c r="F16" s="250">
        <f>SUM(E16*156/100)</f>
        <v>144.30000000000001</v>
      </c>
      <c r="G16" s="250">
        <v>175.38</v>
      </c>
      <c r="H16" s="251">
        <f t="shared" ref="H16:H24" si="0">SUM(F16*G16/1000)</f>
        <v>25.307334000000001</v>
      </c>
      <c r="I16" s="18">
        <f>F16/12*G16</f>
        <v>2108.9445000000001</v>
      </c>
      <c r="J16" s="8"/>
      <c r="K16" s="8"/>
      <c r="L16" s="8"/>
      <c r="M16" s="8"/>
    </row>
    <row r="17" spans="1:13" ht="31.5" customHeight="1">
      <c r="A17" s="46">
        <v>2</v>
      </c>
      <c r="B17" s="247" t="s">
        <v>185</v>
      </c>
      <c r="C17" s="248" t="s">
        <v>163</v>
      </c>
      <c r="D17" s="247" t="s">
        <v>229</v>
      </c>
      <c r="E17" s="249">
        <v>288.8</v>
      </c>
      <c r="F17" s="250">
        <f>SUM(E17*104/100)</f>
        <v>300.35200000000003</v>
      </c>
      <c r="G17" s="250">
        <v>175.38</v>
      </c>
      <c r="H17" s="251">
        <f t="shared" si="0"/>
        <v>52.67573376</v>
      </c>
      <c r="I17" s="18">
        <f>F17/12*G17</f>
        <v>4389.6444800000008</v>
      </c>
      <c r="J17" s="33"/>
      <c r="K17" s="8"/>
      <c r="L17" s="8"/>
      <c r="M17" s="8"/>
    </row>
    <row r="18" spans="1:13" ht="31.5" customHeight="1">
      <c r="A18" s="46">
        <v>3</v>
      </c>
      <c r="B18" s="247" t="s">
        <v>252</v>
      </c>
      <c r="C18" s="248" t="s">
        <v>163</v>
      </c>
      <c r="D18" s="247" t="s">
        <v>253</v>
      </c>
      <c r="E18" s="249">
        <f>SUM(E16+E17)</f>
        <v>381.3</v>
      </c>
      <c r="F18" s="250">
        <f>SUM(E18*12/100)</f>
        <v>45.756</v>
      </c>
      <c r="G18" s="250">
        <v>504.5</v>
      </c>
      <c r="H18" s="251">
        <f t="shared" si="0"/>
        <v>23.083902000000002</v>
      </c>
      <c r="I18" s="18">
        <f>F18/12*G18</f>
        <v>1923.6585</v>
      </c>
      <c r="J18" s="33"/>
      <c r="K18" s="8"/>
      <c r="L18" s="8"/>
      <c r="M18" s="8"/>
    </row>
    <row r="19" spans="1:13" ht="15.75" hidden="1" customHeight="1">
      <c r="A19" s="46">
        <v>4</v>
      </c>
      <c r="B19" s="247" t="s">
        <v>187</v>
      </c>
      <c r="C19" s="248" t="s">
        <v>188</v>
      </c>
      <c r="D19" s="247" t="s">
        <v>189</v>
      </c>
      <c r="E19" s="249">
        <v>19.2</v>
      </c>
      <c r="F19" s="250">
        <f>SUM(E19/10)</f>
        <v>1.92</v>
      </c>
      <c r="G19" s="250">
        <v>170.16</v>
      </c>
      <c r="H19" s="251">
        <f t="shared" si="0"/>
        <v>0.32670719999999998</v>
      </c>
      <c r="I19" s="18">
        <v>0</v>
      </c>
      <c r="J19" s="33"/>
      <c r="K19" s="8"/>
      <c r="L19" s="8"/>
      <c r="M19" s="8"/>
    </row>
    <row r="20" spans="1:13" ht="15.75" customHeight="1">
      <c r="A20" s="46">
        <v>4</v>
      </c>
      <c r="B20" s="247" t="s">
        <v>162</v>
      </c>
      <c r="C20" s="248" t="s">
        <v>163</v>
      </c>
      <c r="D20" s="247" t="s">
        <v>35</v>
      </c>
      <c r="E20" s="249">
        <v>27.3</v>
      </c>
      <c r="F20" s="250">
        <f>SUM(E20*12/100)</f>
        <v>3.2760000000000002</v>
      </c>
      <c r="G20" s="250">
        <v>217.88</v>
      </c>
      <c r="H20" s="251">
        <f t="shared" si="0"/>
        <v>0.71377488</v>
      </c>
      <c r="I20" s="18">
        <f>F20/12*G20</f>
        <v>59.48124</v>
      </c>
      <c r="J20" s="33"/>
      <c r="K20" s="8"/>
      <c r="L20" s="8"/>
      <c r="M20" s="8"/>
    </row>
    <row r="21" spans="1:13" ht="15.75" customHeight="1">
      <c r="A21" s="46">
        <v>5</v>
      </c>
      <c r="B21" s="247" t="s">
        <v>178</v>
      </c>
      <c r="C21" s="248" t="s">
        <v>163</v>
      </c>
      <c r="D21" s="247" t="s">
        <v>35</v>
      </c>
      <c r="E21" s="249">
        <v>9.08</v>
      </c>
      <c r="F21" s="250">
        <f>SUM(E21*12/100)</f>
        <v>1.0896000000000001</v>
      </c>
      <c r="G21" s="250">
        <v>216.12</v>
      </c>
      <c r="H21" s="251">
        <f t="shared" si="0"/>
        <v>0.23548435200000004</v>
      </c>
      <c r="I21" s="18">
        <f>F21/12*G21</f>
        <v>19.623696000000002</v>
      </c>
      <c r="J21" s="33"/>
      <c r="K21" s="8"/>
      <c r="L21" s="8"/>
      <c r="M21" s="8"/>
    </row>
    <row r="22" spans="1:13" ht="15.75" hidden="1" customHeight="1">
      <c r="A22" s="46">
        <v>7</v>
      </c>
      <c r="B22" s="247" t="s">
        <v>166</v>
      </c>
      <c r="C22" s="248" t="s">
        <v>65</v>
      </c>
      <c r="D22" s="247" t="s">
        <v>189</v>
      </c>
      <c r="E22" s="252">
        <v>12.6</v>
      </c>
      <c r="F22" s="250">
        <f>SUM(E22/100)</f>
        <v>0.126</v>
      </c>
      <c r="G22" s="250">
        <v>44.29</v>
      </c>
      <c r="H22" s="251">
        <f t="shared" si="0"/>
        <v>5.5805400000000002E-3</v>
      </c>
      <c r="I22" s="18">
        <v>0</v>
      </c>
      <c r="J22" s="33"/>
      <c r="K22" s="8"/>
      <c r="L22" s="8"/>
      <c r="M22" s="8"/>
    </row>
    <row r="23" spans="1:13" ht="15.75" customHeight="1">
      <c r="A23" s="46">
        <v>6</v>
      </c>
      <c r="B23" s="247" t="s">
        <v>168</v>
      </c>
      <c r="C23" s="248" t="s">
        <v>65</v>
      </c>
      <c r="D23" s="247" t="s">
        <v>169</v>
      </c>
      <c r="E23" s="249">
        <v>20</v>
      </c>
      <c r="F23" s="250">
        <f>E23*12/100</f>
        <v>2.4</v>
      </c>
      <c r="G23" s="250">
        <v>389.72</v>
      </c>
      <c r="H23" s="251">
        <f t="shared" si="0"/>
        <v>0.93532799999999994</v>
      </c>
      <c r="I23" s="18">
        <f>F23/12*G23</f>
        <v>77.944000000000003</v>
      </c>
      <c r="J23" s="33"/>
      <c r="K23" s="8"/>
      <c r="L23" s="8"/>
      <c r="M23" s="8"/>
    </row>
    <row r="24" spans="1:13" ht="15.75" hidden="1" customHeight="1">
      <c r="A24" s="46">
        <v>9</v>
      </c>
      <c r="B24" s="247" t="s">
        <v>170</v>
      </c>
      <c r="C24" s="248" t="s">
        <v>65</v>
      </c>
      <c r="D24" s="247" t="s">
        <v>189</v>
      </c>
      <c r="E24" s="249">
        <v>17</v>
      </c>
      <c r="F24" s="250">
        <f>SUM(E24/100)</f>
        <v>0.17</v>
      </c>
      <c r="G24" s="250">
        <v>520.79999999999995</v>
      </c>
      <c r="H24" s="251">
        <f t="shared" si="0"/>
        <v>8.8536000000000004E-2</v>
      </c>
      <c r="I24" s="18">
        <v>0</v>
      </c>
      <c r="J24" s="33"/>
      <c r="K24" s="8"/>
      <c r="L24" s="8"/>
      <c r="M24" s="8"/>
    </row>
    <row r="25" spans="1:13" ht="15.75" customHeight="1">
      <c r="A25" s="46">
        <v>7</v>
      </c>
      <c r="B25" s="247" t="s">
        <v>81</v>
      </c>
      <c r="C25" s="248" t="s">
        <v>38</v>
      </c>
      <c r="D25" s="247" t="s">
        <v>232</v>
      </c>
      <c r="E25" s="249">
        <v>0.1</v>
      </c>
      <c r="F25" s="250">
        <f>SUM(E25*365)</f>
        <v>36.5</v>
      </c>
      <c r="G25" s="250">
        <v>147.03</v>
      </c>
      <c r="H25" s="251">
        <f>SUM(F25*G25/1000)</f>
        <v>5.3665950000000002</v>
      </c>
      <c r="I25" s="18">
        <f>F25/12*G25</f>
        <v>447.21625</v>
      </c>
      <c r="J25" s="33"/>
      <c r="K25" s="8"/>
      <c r="L25" s="8"/>
      <c r="M25" s="8"/>
    </row>
    <row r="26" spans="1:13" ht="15.75" customHeight="1">
      <c r="A26" s="46">
        <v>8</v>
      </c>
      <c r="B26" s="257" t="s">
        <v>26</v>
      </c>
      <c r="C26" s="248" t="s">
        <v>27</v>
      </c>
      <c r="D26" s="257" t="s">
        <v>234</v>
      </c>
      <c r="E26" s="249">
        <v>3053.4</v>
      </c>
      <c r="F26" s="250">
        <f>SUM(E26*12)</f>
        <v>36640.800000000003</v>
      </c>
      <c r="G26" s="250">
        <v>4.55</v>
      </c>
      <c r="H26" s="251">
        <f>SUM(F26*G26/1000)</f>
        <v>166.71564000000001</v>
      </c>
      <c r="I26" s="18">
        <f>F26/12*G26</f>
        <v>13892.97</v>
      </c>
      <c r="J26" s="34"/>
    </row>
    <row r="27" spans="1:13" ht="15.75" customHeight="1">
      <c r="A27" s="278" t="s">
        <v>120</v>
      </c>
      <c r="B27" s="279"/>
      <c r="C27" s="279"/>
      <c r="D27" s="279"/>
      <c r="E27" s="279"/>
      <c r="F27" s="279"/>
      <c r="G27" s="279"/>
      <c r="H27" s="279"/>
      <c r="I27" s="280"/>
      <c r="J27" s="33"/>
      <c r="K27" s="8"/>
      <c r="L27" s="8"/>
      <c r="M27" s="8"/>
    </row>
    <row r="28" spans="1:13" ht="15.75" customHeight="1">
      <c r="A28" s="46"/>
      <c r="B28" s="281" t="s">
        <v>33</v>
      </c>
      <c r="C28" s="248"/>
      <c r="D28" s="247"/>
      <c r="E28" s="249"/>
      <c r="F28" s="250"/>
      <c r="G28" s="250"/>
      <c r="H28" s="254"/>
      <c r="I28" s="255"/>
      <c r="J28" s="33"/>
      <c r="K28" s="8"/>
      <c r="L28" s="8"/>
      <c r="M28" s="8"/>
    </row>
    <row r="29" spans="1:13" ht="31.5" customHeight="1">
      <c r="A29" s="46">
        <v>9</v>
      </c>
      <c r="B29" s="247" t="s">
        <v>190</v>
      </c>
      <c r="C29" s="248" t="s">
        <v>191</v>
      </c>
      <c r="D29" s="247" t="s">
        <v>230</v>
      </c>
      <c r="E29" s="250">
        <v>561.6</v>
      </c>
      <c r="F29" s="250">
        <f>SUM(E29*52/1000)</f>
        <v>29.203200000000002</v>
      </c>
      <c r="G29" s="250">
        <v>155.88999999999999</v>
      </c>
      <c r="H29" s="251">
        <f t="shared" ref="H29:H34" si="1">SUM(F29*G29/1000)</f>
        <v>4.5524868479999991</v>
      </c>
      <c r="I29" s="18">
        <f t="shared" ref="I29:I32" si="2">F29/6*G29</f>
        <v>758.74780799999996</v>
      </c>
      <c r="J29" s="33"/>
      <c r="K29" s="8"/>
      <c r="L29" s="8"/>
      <c r="M29" s="8"/>
    </row>
    <row r="30" spans="1:13" ht="31.5" customHeight="1">
      <c r="A30" s="46">
        <v>10</v>
      </c>
      <c r="B30" s="247" t="s">
        <v>254</v>
      </c>
      <c r="C30" s="248" t="s">
        <v>191</v>
      </c>
      <c r="D30" s="247" t="s">
        <v>231</v>
      </c>
      <c r="E30" s="250">
        <v>205.7</v>
      </c>
      <c r="F30" s="250">
        <f>SUM(E30*78/1000)</f>
        <v>16.044599999999999</v>
      </c>
      <c r="G30" s="250">
        <v>258.63</v>
      </c>
      <c r="H30" s="251">
        <f t="shared" si="1"/>
        <v>4.1496148979999994</v>
      </c>
      <c r="I30" s="18">
        <f t="shared" si="2"/>
        <v>691.60248299999989</v>
      </c>
      <c r="J30" s="33"/>
      <c r="K30" s="8"/>
      <c r="L30" s="8"/>
      <c r="M30" s="8"/>
    </row>
    <row r="31" spans="1:13" ht="15.75" hidden="1" customHeight="1">
      <c r="A31" s="46">
        <v>11</v>
      </c>
      <c r="B31" s="247" t="s">
        <v>32</v>
      </c>
      <c r="C31" s="248" t="s">
        <v>191</v>
      </c>
      <c r="D31" s="247" t="s">
        <v>66</v>
      </c>
      <c r="E31" s="250">
        <v>561.6</v>
      </c>
      <c r="F31" s="250">
        <f>SUM(E31/1000)</f>
        <v>0.56159999999999999</v>
      </c>
      <c r="G31" s="250">
        <v>3020.33</v>
      </c>
      <c r="H31" s="251">
        <f t="shared" si="1"/>
        <v>1.6962173279999999</v>
      </c>
      <c r="I31" s="18">
        <f>F31*G31</f>
        <v>1696.217328</v>
      </c>
      <c r="J31" s="33"/>
      <c r="K31" s="8"/>
      <c r="L31" s="8"/>
      <c r="M31" s="8"/>
    </row>
    <row r="32" spans="1:13" ht="15.75" customHeight="1">
      <c r="A32" s="46">
        <v>11</v>
      </c>
      <c r="B32" s="247" t="s">
        <v>193</v>
      </c>
      <c r="C32" s="248" t="s">
        <v>36</v>
      </c>
      <c r="D32" s="247" t="s">
        <v>80</v>
      </c>
      <c r="E32" s="256">
        <v>0.33333333333333331</v>
      </c>
      <c r="F32" s="250">
        <f>155/3</f>
        <v>51.666666666666664</v>
      </c>
      <c r="G32" s="250">
        <v>56.69</v>
      </c>
      <c r="H32" s="251">
        <f>SUM(G32*155/3/1000)</f>
        <v>2.9289833333333331</v>
      </c>
      <c r="I32" s="18">
        <f t="shared" si="2"/>
        <v>488.16388888888883</v>
      </c>
      <c r="J32" s="33"/>
      <c r="K32" s="8"/>
      <c r="L32" s="8"/>
      <c r="M32" s="8"/>
    </row>
    <row r="33" spans="1:14" ht="15.75" hidden="1" customHeight="1">
      <c r="A33" s="46"/>
      <c r="B33" s="247" t="s">
        <v>82</v>
      </c>
      <c r="C33" s="248" t="s">
        <v>38</v>
      </c>
      <c r="D33" s="247" t="s">
        <v>84</v>
      </c>
      <c r="E33" s="249"/>
      <c r="F33" s="250">
        <v>2</v>
      </c>
      <c r="G33" s="250">
        <v>191.32</v>
      </c>
      <c r="H33" s="251">
        <f t="shared" si="1"/>
        <v>0.38263999999999998</v>
      </c>
      <c r="I33" s="18">
        <v>0</v>
      </c>
      <c r="J33" s="33"/>
      <c r="K33" s="8"/>
      <c r="L33" s="8"/>
      <c r="M33" s="8"/>
    </row>
    <row r="34" spans="1:14" ht="15.75" hidden="1" customHeight="1">
      <c r="A34" s="46"/>
      <c r="B34" s="247" t="s">
        <v>83</v>
      </c>
      <c r="C34" s="248" t="s">
        <v>37</v>
      </c>
      <c r="D34" s="247" t="s">
        <v>84</v>
      </c>
      <c r="E34" s="249"/>
      <c r="F34" s="250">
        <v>1</v>
      </c>
      <c r="G34" s="250">
        <v>1136.33</v>
      </c>
      <c r="H34" s="251">
        <f t="shared" si="1"/>
        <v>1.1363299999999998</v>
      </c>
      <c r="I34" s="18">
        <v>0</v>
      </c>
      <c r="J34" s="33"/>
      <c r="K34" s="8"/>
    </row>
    <row r="35" spans="1:14" ht="15.75" hidden="1" customHeight="1">
      <c r="A35" s="46"/>
      <c r="B35" s="281" t="s">
        <v>5</v>
      </c>
      <c r="C35" s="248"/>
      <c r="D35" s="247"/>
      <c r="E35" s="249"/>
      <c r="F35" s="250"/>
      <c r="G35" s="250"/>
      <c r="H35" s="254" t="s">
        <v>234</v>
      </c>
      <c r="I35" s="255"/>
      <c r="J35" s="34"/>
    </row>
    <row r="36" spans="1:14" ht="15.75" hidden="1" customHeight="1">
      <c r="A36" s="46">
        <v>9</v>
      </c>
      <c r="B36" s="247" t="s">
        <v>31</v>
      </c>
      <c r="C36" s="248" t="s">
        <v>37</v>
      </c>
      <c r="D36" s="247"/>
      <c r="E36" s="249"/>
      <c r="F36" s="250">
        <v>3</v>
      </c>
      <c r="G36" s="250">
        <v>1527.22</v>
      </c>
      <c r="H36" s="251">
        <f t="shared" ref="H36:H38" si="3">SUM(F36*G36/1000)</f>
        <v>4.5816600000000003</v>
      </c>
      <c r="I36" s="18">
        <f t="shared" ref="I36:I41" si="4">F36/6*G36</f>
        <v>763.61</v>
      </c>
      <c r="J36" s="34"/>
    </row>
    <row r="37" spans="1:14" ht="15.75" hidden="1" customHeight="1">
      <c r="A37" s="46">
        <v>10</v>
      </c>
      <c r="B37" s="247" t="s">
        <v>85</v>
      </c>
      <c r="C37" s="248" t="s">
        <v>34</v>
      </c>
      <c r="D37" s="247" t="s">
        <v>217</v>
      </c>
      <c r="E37" s="250">
        <v>205.7</v>
      </c>
      <c r="F37" s="250">
        <f>SUM(E37*20/1000)</f>
        <v>4.1139999999999999</v>
      </c>
      <c r="G37" s="250">
        <v>2102.71</v>
      </c>
      <c r="H37" s="251">
        <f t="shared" si="3"/>
        <v>8.6505489400000002</v>
      </c>
      <c r="I37" s="18">
        <f t="shared" si="4"/>
        <v>1441.7581566666665</v>
      </c>
      <c r="J37" s="34"/>
    </row>
    <row r="38" spans="1:14" ht="15.75" hidden="1" customHeight="1">
      <c r="A38" s="46">
        <v>11</v>
      </c>
      <c r="B38" s="247" t="s">
        <v>86</v>
      </c>
      <c r="C38" s="248" t="s">
        <v>34</v>
      </c>
      <c r="D38" s="247" t="s">
        <v>218</v>
      </c>
      <c r="E38" s="249">
        <v>89.1</v>
      </c>
      <c r="F38" s="250">
        <f>SUM(E38*155/1000)</f>
        <v>13.810499999999999</v>
      </c>
      <c r="G38" s="250">
        <v>350.75</v>
      </c>
      <c r="H38" s="251">
        <f t="shared" si="3"/>
        <v>4.8440328749999999</v>
      </c>
      <c r="I38" s="18">
        <f t="shared" si="4"/>
        <v>807.3388124999999</v>
      </c>
      <c r="J38" s="34"/>
    </row>
    <row r="39" spans="1:14" ht="47.25" hidden="1" customHeight="1">
      <c r="A39" s="46">
        <v>12</v>
      </c>
      <c r="B39" s="247" t="s">
        <v>112</v>
      </c>
      <c r="C39" s="248" t="s">
        <v>191</v>
      </c>
      <c r="D39" s="247" t="s">
        <v>219</v>
      </c>
      <c r="E39" s="250">
        <v>48</v>
      </c>
      <c r="F39" s="250">
        <f>SUM(E39*50/1000)</f>
        <v>2.4</v>
      </c>
      <c r="G39" s="250">
        <v>5803.28</v>
      </c>
      <c r="H39" s="251">
        <f>SUM(F39*G39/1000)</f>
        <v>13.927871999999999</v>
      </c>
      <c r="I39" s="18">
        <f t="shared" si="4"/>
        <v>2321.3119999999999</v>
      </c>
      <c r="J39" s="34"/>
    </row>
    <row r="40" spans="1:14" ht="15.75" hidden="1" customHeight="1">
      <c r="A40" s="46">
        <v>13</v>
      </c>
      <c r="B40" s="247" t="s">
        <v>195</v>
      </c>
      <c r="C40" s="248" t="s">
        <v>191</v>
      </c>
      <c r="D40" s="247" t="s">
        <v>87</v>
      </c>
      <c r="E40" s="250">
        <v>89</v>
      </c>
      <c r="F40" s="250">
        <f>SUM(E40*45/1000)</f>
        <v>4.0049999999999999</v>
      </c>
      <c r="G40" s="250">
        <v>428.7</v>
      </c>
      <c r="H40" s="251">
        <f t="shared" ref="H40:H41" si="5">SUM(F40*G40/1000)</f>
        <v>1.7169435</v>
      </c>
      <c r="I40" s="18">
        <f t="shared" si="4"/>
        <v>286.15724999999998</v>
      </c>
      <c r="J40" s="34"/>
      <c r="L40" s="27"/>
      <c r="M40" s="28"/>
      <c r="N40" s="29"/>
    </row>
    <row r="41" spans="1:14" ht="15.75" hidden="1" customHeight="1">
      <c r="A41" s="285">
        <v>14</v>
      </c>
      <c r="B41" s="261" t="s">
        <v>88</v>
      </c>
      <c r="C41" s="262" t="s">
        <v>38</v>
      </c>
      <c r="D41" s="261"/>
      <c r="E41" s="258"/>
      <c r="F41" s="263">
        <v>0.9</v>
      </c>
      <c r="G41" s="263">
        <v>798</v>
      </c>
      <c r="H41" s="264">
        <f t="shared" si="5"/>
        <v>0.71820000000000006</v>
      </c>
      <c r="I41" s="286">
        <f t="shared" si="4"/>
        <v>119.69999999999999</v>
      </c>
      <c r="J41" s="34"/>
      <c r="L41" s="27"/>
      <c r="M41" s="28"/>
      <c r="N41" s="29"/>
    </row>
    <row r="42" spans="1:14" ht="15.75" hidden="1" customHeight="1">
      <c r="A42" s="282" t="s">
        <v>255</v>
      </c>
      <c r="B42" s="283"/>
      <c r="C42" s="283"/>
      <c r="D42" s="283"/>
      <c r="E42" s="283"/>
      <c r="F42" s="283"/>
      <c r="G42" s="283"/>
      <c r="H42" s="283"/>
      <c r="I42" s="284"/>
      <c r="J42" s="34"/>
      <c r="L42" s="27"/>
      <c r="M42" s="28"/>
      <c r="N42" s="29"/>
    </row>
    <row r="43" spans="1:14" ht="15.75" hidden="1" customHeight="1">
      <c r="A43" s="287"/>
      <c r="B43" s="288" t="s">
        <v>196</v>
      </c>
      <c r="C43" s="289" t="s">
        <v>191</v>
      </c>
      <c r="D43" s="288" t="s">
        <v>53</v>
      </c>
      <c r="E43" s="290">
        <v>1632.75</v>
      </c>
      <c r="F43" s="291">
        <f>SUM(E43*2/1000)</f>
        <v>3.2654999999999998</v>
      </c>
      <c r="G43" s="292">
        <v>809.74</v>
      </c>
      <c r="H43" s="293">
        <f t="shared" ref="H43:H52" si="6">SUM(F43*G43/1000)</f>
        <v>2.6442059699999998</v>
      </c>
      <c r="I43" s="292">
        <v>0</v>
      </c>
      <c r="J43" s="34"/>
      <c r="L43" s="27"/>
      <c r="M43" s="28"/>
      <c r="N43" s="29"/>
    </row>
    <row r="44" spans="1:14" ht="15.75" hidden="1" customHeight="1">
      <c r="A44" s="46"/>
      <c r="B44" s="247" t="s">
        <v>42</v>
      </c>
      <c r="C44" s="248" t="s">
        <v>191</v>
      </c>
      <c r="D44" s="247" t="s">
        <v>53</v>
      </c>
      <c r="E44" s="249">
        <v>53.75</v>
      </c>
      <c r="F44" s="250">
        <f>SUM(E44*2/1000)</f>
        <v>0.1075</v>
      </c>
      <c r="G44" s="18">
        <v>579.48</v>
      </c>
      <c r="H44" s="251">
        <f t="shared" si="6"/>
        <v>6.2294099999999998E-2</v>
      </c>
      <c r="I44" s="18">
        <v>0</v>
      </c>
      <c r="J44" s="34"/>
      <c r="L44" s="27"/>
      <c r="M44" s="28"/>
      <c r="N44" s="29"/>
    </row>
    <row r="45" spans="1:14" ht="15.75" hidden="1" customHeight="1">
      <c r="A45" s="46"/>
      <c r="B45" s="247" t="s">
        <v>43</v>
      </c>
      <c r="C45" s="248" t="s">
        <v>191</v>
      </c>
      <c r="D45" s="247" t="s">
        <v>53</v>
      </c>
      <c r="E45" s="249">
        <v>2285.6</v>
      </c>
      <c r="F45" s="250">
        <f>SUM(E45*2/1000)</f>
        <v>4.5712000000000002</v>
      </c>
      <c r="G45" s="18">
        <v>579.48</v>
      </c>
      <c r="H45" s="251">
        <f t="shared" si="6"/>
        <v>2.6489189760000005</v>
      </c>
      <c r="I45" s="18">
        <v>0</v>
      </c>
      <c r="J45" s="34"/>
      <c r="L45" s="27"/>
      <c r="M45" s="28"/>
      <c r="N45" s="29"/>
    </row>
    <row r="46" spans="1:14" ht="15.75" hidden="1" customHeight="1">
      <c r="A46" s="46"/>
      <c r="B46" s="247" t="s">
        <v>44</v>
      </c>
      <c r="C46" s="248" t="s">
        <v>191</v>
      </c>
      <c r="D46" s="247" t="s">
        <v>53</v>
      </c>
      <c r="E46" s="249">
        <v>1860</v>
      </c>
      <c r="F46" s="250">
        <f>SUM(E46*2/1000)</f>
        <v>3.72</v>
      </c>
      <c r="G46" s="18">
        <v>606.77</v>
      </c>
      <c r="H46" s="251">
        <f t="shared" si="6"/>
        <v>2.2571844000000003</v>
      </c>
      <c r="I46" s="18">
        <v>0</v>
      </c>
      <c r="J46" s="34"/>
      <c r="L46" s="27"/>
      <c r="M46" s="28"/>
      <c r="N46" s="29"/>
    </row>
    <row r="47" spans="1:14" ht="15.75" hidden="1" customHeight="1">
      <c r="A47" s="46"/>
      <c r="B47" s="247" t="s">
        <v>40</v>
      </c>
      <c r="C47" s="248" t="s">
        <v>41</v>
      </c>
      <c r="D47" s="247" t="s">
        <v>53</v>
      </c>
      <c r="E47" s="249">
        <v>120.49</v>
      </c>
      <c r="F47" s="250">
        <f>SUM(E47*2/100)</f>
        <v>2.4097999999999997</v>
      </c>
      <c r="G47" s="18">
        <v>72.81</v>
      </c>
      <c r="H47" s="251">
        <f t="shared" si="6"/>
        <v>0.17545753799999997</v>
      </c>
      <c r="I47" s="18">
        <v>0</v>
      </c>
      <c r="J47" s="34"/>
      <c r="L47" s="27"/>
      <c r="M47" s="28"/>
      <c r="N47" s="29"/>
    </row>
    <row r="48" spans="1:14" ht="15.75" hidden="1" customHeight="1">
      <c r="A48" s="46">
        <v>15</v>
      </c>
      <c r="B48" s="247" t="s">
        <v>70</v>
      </c>
      <c r="C48" s="248" t="s">
        <v>191</v>
      </c>
      <c r="D48" s="247" t="s">
        <v>258</v>
      </c>
      <c r="E48" s="249">
        <v>1728</v>
      </c>
      <c r="F48" s="250">
        <f>SUM(E48*5/1000)</f>
        <v>8.64</v>
      </c>
      <c r="G48" s="18">
        <v>1213.55</v>
      </c>
      <c r="H48" s="251">
        <f t="shared" si="6"/>
        <v>10.485072000000001</v>
      </c>
      <c r="I48" s="18">
        <f>F48/5*G48</f>
        <v>2097.0144</v>
      </c>
      <c r="J48" s="34"/>
      <c r="L48" s="27"/>
      <c r="M48" s="28"/>
      <c r="N48" s="29"/>
    </row>
    <row r="49" spans="1:22" ht="31.5" hidden="1" customHeight="1">
      <c r="A49" s="46"/>
      <c r="B49" s="247" t="s">
        <v>198</v>
      </c>
      <c r="C49" s="248" t="s">
        <v>191</v>
      </c>
      <c r="D49" s="247" t="s">
        <v>53</v>
      </c>
      <c r="E49" s="249">
        <v>1728</v>
      </c>
      <c r="F49" s="250">
        <f>SUM(E49*2/1000)</f>
        <v>3.456</v>
      </c>
      <c r="G49" s="18">
        <v>1213.55</v>
      </c>
      <c r="H49" s="251">
        <f t="shared" si="6"/>
        <v>4.1940287999999999</v>
      </c>
      <c r="I49" s="18">
        <v>0</v>
      </c>
      <c r="J49" s="34"/>
      <c r="L49" s="27"/>
      <c r="M49" s="28"/>
      <c r="N49" s="29"/>
    </row>
    <row r="50" spans="1:22" ht="31.5" hidden="1" customHeight="1">
      <c r="A50" s="46"/>
      <c r="B50" s="247" t="s">
        <v>235</v>
      </c>
      <c r="C50" s="248" t="s">
        <v>47</v>
      </c>
      <c r="D50" s="247" t="s">
        <v>53</v>
      </c>
      <c r="E50" s="249">
        <v>20</v>
      </c>
      <c r="F50" s="250">
        <f>SUM(E50*2/100)</f>
        <v>0.4</v>
      </c>
      <c r="G50" s="18">
        <v>2730.49</v>
      </c>
      <c r="H50" s="251">
        <f t="shared" si="6"/>
        <v>1.0921959999999999</v>
      </c>
      <c r="I50" s="18">
        <v>0</v>
      </c>
      <c r="J50" s="34"/>
      <c r="L50" s="27"/>
      <c r="M50" s="28"/>
      <c r="N50" s="29"/>
    </row>
    <row r="51" spans="1:22" ht="15.75" hidden="1" customHeight="1">
      <c r="A51" s="46"/>
      <c r="B51" s="247" t="s">
        <v>48</v>
      </c>
      <c r="C51" s="248" t="s">
        <v>49</v>
      </c>
      <c r="D51" s="247" t="s">
        <v>53</v>
      </c>
      <c r="E51" s="249">
        <v>1</v>
      </c>
      <c r="F51" s="250">
        <v>0.02</v>
      </c>
      <c r="G51" s="18">
        <v>5652.13</v>
      </c>
      <c r="H51" s="251">
        <f t="shared" si="6"/>
        <v>0.11304260000000001</v>
      </c>
      <c r="I51" s="18">
        <v>0</v>
      </c>
      <c r="J51" s="34"/>
      <c r="L51" s="27"/>
      <c r="M51" s="28"/>
      <c r="N51" s="29"/>
    </row>
    <row r="52" spans="1:22" ht="15.75" hidden="1" customHeight="1">
      <c r="A52" s="46">
        <v>16</v>
      </c>
      <c r="B52" s="247" t="s">
        <v>52</v>
      </c>
      <c r="C52" s="248" t="s">
        <v>142</v>
      </c>
      <c r="D52" s="247" t="s">
        <v>89</v>
      </c>
      <c r="E52" s="249">
        <v>128</v>
      </c>
      <c r="F52" s="250">
        <f>SUM(E52)*3</f>
        <v>384</v>
      </c>
      <c r="G52" s="18">
        <v>65.67</v>
      </c>
      <c r="H52" s="251">
        <f t="shared" si="6"/>
        <v>25.217279999999999</v>
      </c>
      <c r="I52" s="18">
        <f>E52*G52</f>
        <v>8405.76</v>
      </c>
      <c r="J52" s="34"/>
      <c r="L52" s="27"/>
      <c r="M52" s="28"/>
      <c r="N52" s="29"/>
    </row>
    <row r="53" spans="1:22" ht="15.75" customHeight="1">
      <c r="A53" s="278" t="s">
        <v>263</v>
      </c>
      <c r="B53" s="279"/>
      <c r="C53" s="279"/>
      <c r="D53" s="279"/>
      <c r="E53" s="279"/>
      <c r="F53" s="279"/>
      <c r="G53" s="279"/>
      <c r="H53" s="279"/>
      <c r="I53" s="280"/>
      <c r="J53" s="34"/>
      <c r="L53" s="27"/>
      <c r="M53" s="28"/>
      <c r="N53" s="29"/>
    </row>
    <row r="54" spans="1:22" ht="15.75" hidden="1" customHeight="1">
      <c r="A54" s="46"/>
      <c r="B54" s="281" t="s">
        <v>54</v>
      </c>
      <c r="C54" s="248"/>
      <c r="D54" s="247"/>
      <c r="E54" s="249"/>
      <c r="F54" s="250"/>
      <c r="G54" s="250"/>
      <c r="H54" s="254"/>
      <c r="I54" s="255"/>
      <c r="J54" s="34"/>
      <c r="L54" s="27"/>
      <c r="M54" s="28"/>
      <c r="N54" s="29"/>
    </row>
    <row r="55" spans="1:22" ht="31.5" hidden="1" customHeight="1">
      <c r="A55" s="46">
        <v>17</v>
      </c>
      <c r="B55" s="247" t="s">
        <v>200</v>
      </c>
      <c r="C55" s="248" t="s">
        <v>163</v>
      </c>
      <c r="D55" s="247" t="s">
        <v>201</v>
      </c>
      <c r="E55" s="249">
        <v>163.30000000000001</v>
      </c>
      <c r="F55" s="250">
        <f>SUM(E55*6/100)</f>
        <v>9.798</v>
      </c>
      <c r="G55" s="18">
        <v>1547.28</v>
      </c>
      <c r="H55" s="251">
        <f>SUM(F55*G55/1000)</f>
        <v>15.160249439999999</v>
      </c>
      <c r="I55" s="18">
        <f>F55/6*G55</f>
        <v>2526.7082399999999</v>
      </c>
      <c r="J55" s="34"/>
      <c r="L55" s="27"/>
      <c r="M55" s="28"/>
      <c r="N55" s="29"/>
    </row>
    <row r="56" spans="1:22" ht="15.75" customHeight="1">
      <c r="A56" s="46"/>
      <c r="B56" s="281" t="s">
        <v>55</v>
      </c>
      <c r="C56" s="248"/>
      <c r="D56" s="247"/>
      <c r="E56" s="249"/>
      <c r="F56" s="250"/>
      <c r="G56" s="250"/>
      <c r="H56" s="251" t="s">
        <v>234</v>
      </c>
      <c r="I56" s="255"/>
      <c r="J56" s="34"/>
      <c r="L56" s="27"/>
      <c r="M56" s="28"/>
      <c r="N56" s="29"/>
    </row>
    <row r="57" spans="1:22" ht="15.75" hidden="1" customHeight="1">
      <c r="A57" s="46"/>
      <c r="B57" s="247" t="s">
        <v>56</v>
      </c>
      <c r="C57" s="248" t="s">
        <v>163</v>
      </c>
      <c r="D57" s="247" t="s">
        <v>66</v>
      </c>
      <c r="E57" s="258">
        <v>1155.2</v>
      </c>
      <c r="F57" s="259">
        <v>11.6</v>
      </c>
      <c r="G57" s="18">
        <v>793.61</v>
      </c>
      <c r="H57" s="260">
        <v>9.1679999999999993</v>
      </c>
      <c r="I57" s="18">
        <v>0</v>
      </c>
      <c r="J57" s="34"/>
      <c r="L57" s="27"/>
      <c r="M57" s="28"/>
      <c r="N57" s="29"/>
    </row>
    <row r="58" spans="1:22" ht="15.75" customHeight="1">
      <c r="A58" s="46">
        <v>12</v>
      </c>
      <c r="B58" s="261" t="s">
        <v>144</v>
      </c>
      <c r="C58" s="262" t="s">
        <v>29</v>
      </c>
      <c r="D58" s="261" t="s">
        <v>35</v>
      </c>
      <c r="E58" s="258">
        <v>255.2</v>
      </c>
      <c r="F58" s="263">
        <v>3062.4</v>
      </c>
      <c r="G58" s="243">
        <v>2.6</v>
      </c>
      <c r="H58" s="264">
        <f>G58*F58/1000</f>
        <v>7.9622400000000004</v>
      </c>
      <c r="I58" s="18">
        <f>F58/12*G58</f>
        <v>663.5200000000001</v>
      </c>
      <c r="J58" s="34"/>
      <c r="L58" s="27"/>
      <c r="M58" s="28"/>
      <c r="N58" s="29"/>
    </row>
    <row r="59" spans="1:22" ht="15.75" customHeight="1">
      <c r="A59" s="46"/>
      <c r="B59" s="294" t="s">
        <v>57</v>
      </c>
      <c r="C59" s="262"/>
      <c r="D59" s="261"/>
      <c r="E59" s="258"/>
      <c r="F59" s="263"/>
      <c r="G59" s="263"/>
      <c r="H59" s="264" t="s">
        <v>234</v>
      </c>
      <c r="I59" s="255"/>
      <c r="J59" s="34"/>
      <c r="L59" s="27"/>
      <c r="M59" s="28"/>
      <c r="N59" s="29"/>
    </row>
    <row r="60" spans="1:22" ht="15.75" customHeight="1">
      <c r="A60" s="46">
        <v>13</v>
      </c>
      <c r="B60" s="20" t="s">
        <v>58</v>
      </c>
      <c r="C60" s="22" t="s">
        <v>142</v>
      </c>
      <c r="D60" s="20" t="s">
        <v>84</v>
      </c>
      <c r="E60" s="25">
        <v>5</v>
      </c>
      <c r="F60" s="250">
        <v>5</v>
      </c>
      <c r="G60" s="18">
        <v>222.4</v>
      </c>
      <c r="H60" s="265">
        <f t="shared" ref="H60:H67" si="7">SUM(F60*G60/1000)</f>
        <v>1.1120000000000001</v>
      </c>
      <c r="I60" s="18">
        <f>G60*5</f>
        <v>1112</v>
      </c>
      <c r="J60" s="34"/>
      <c r="L60" s="27"/>
    </row>
    <row r="61" spans="1:22" ht="15.75" hidden="1" customHeight="1">
      <c r="A61" s="46"/>
      <c r="B61" s="20" t="s">
        <v>59</v>
      </c>
      <c r="C61" s="22" t="s">
        <v>142</v>
      </c>
      <c r="D61" s="20" t="s">
        <v>233</v>
      </c>
      <c r="E61" s="25">
        <v>4</v>
      </c>
      <c r="F61" s="250">
        <v>4</v>
      </c>
      <c r="G61" s="18">
        <v>76.25</v>
      </c>
      <c r="H61" s="265">
        <f t="shared" si="7"/>
        <v>0.30499999999999999</v>
      </c>
      <c r="I61" s="18">
        <v>0</v>
      </c>
      <c r="J61" s="34"/>
      <c r="L61" s="27"/>
    </row>
    <row r="62" spans="1:22" ht="15.75" hidden="1" customHeight="1">
      <c r="A62" s="46"/>
      <c r="B62" s="20" t="s">
        <v>60</v>
      </c>
      <c r="C62" s="22" t="s">
        <v>202</v>
      </c>
      <c r="D62" s="20" t="s">
        <v>66</v>
      </c>
      <c r="E62" s="249">
        <v>15552</v>
      </c>
      <c r="F62" s="18">
        <f>SUM(E62/100)</f>
        <v>155.52000000000001</v>
      </c>
      <c r="G62" s="18">
        <v>212.15</v>
      </c>
      <c r="H62" s="265">
        <f t="shared" si="7"/>
        <v>32.993568000000003</v>
      </c>
      <c r="I62" s="18">
        <v>0</v>
      </c>
    </row>
    <row r="63" spans="1:22" ht="15.75" hidden="1" customHeight="1">
      <c r="A63" s="46"/>
      <c r="B63" s="20" t="s">
        <v>61</v>
      </c>
      <c r="C63" s="22" t="s">
        <v>203</v>
      </c>
      <c r="D63" s="20"/>
      <c r="E63" s="249">
        <v>15552</v>
      </c>
      <c r="F63" s="18">
        <f>SUM(E63/1000)</f>
        <v>15.552</v>
      </c>
      <c r="G63" s="18">
        <v>165.21</v>
      </c>
      <c r="H63" s="265">
        <f t="shared" si="7"/>
        <v>2.5693459200000004</v>
      </c>
      <c r="I63" s="18">
        <v>0</v>
      </c>
    </row>
    <row r="64" spans="1:22" ht="15.75" hidden="1" customHeight="1">
      <c r="A64" s="46"/>
      <c r="B64" s="20" t="s">
        <v>62</v>
      </c>
      <c r="C64" s="22" t="s">
        <v>96</v>
      </c>
      <c r="D64" s="20" t="s">
        <v>66</v>
      </c>
      <c r="E64" s="249">
        <v>2432</v>
      </c>
      <c r="F64" s="18">
        <f>SUM(E64/100)</f>
        <v>24.32</v>
      </c>
      <c r="G64" s="18">
        <v>2074.63</v>
      </c>
      <c r="H64" s="265">
        <f t="shared" si="7"/>
        <v>50.455001600000003</v>
      </c>
      <c r="I64" s="18"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46"/>
      <c r="B65" s="266" t="s">
        <v>90</v>
      </c>
      <c r="C65" s="22" t="s">
        <v>38</v>
      </c>
      <c r="D65" s="20"/>
      <c r="E65" s="249">
        <v>34.5</v>
      </c>
      <c r="F65" s="18">
        <f>SUM(E65)</f>
        <v>34.5</v>
      </c>
      <c r="G65" s="18">
        <v>45.32</v>
      </c>
      <c r="H65" s="265">
        <f t="shared" si="7"/>
        <v>1.5635399999999999</v>
      </c>
      <c r="I65" s="18">
        <v>0</v>
      </c>
      <c r="J65" s="38"/>
      <c r="K65" s="38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31.5" hidden="1" customHeight="1">
      <c r="A66" s="46"/>
      <c r="B66" s="266" t="s">
        <v>91</v>
      </c>
      <c r="C66" s="22" t="s">
        <v>38</v>
      </c>
      <c r="D66" s="20"/>
      <c r="E66" s="249">
        <f>E65</f>
        <v>34.5</v>
      </c>
      <c r="F66" s="18">
        <f>SUM(E66)</f>
        <v>34.5</v>
      </c>
      <c r="G66" s="18">
        <v>42.28</v>
      </c>
      <c r="H66" s="265">
        <f t="shared" si="7"/>
        <v>1.4586600000000001</v>
      </c>
      <c r="I66" s="18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46"/>
      <c r="B67" s="20" t="s">
        <v>71</v>
      </c>
      <c r="C67" s="22" t="s">
        <v>72</v>
      </c>
      <c r="D67" s="20" t="s">
        <v>66</v>
      </c>
      <c r="E67" s="25">
        <v>4</v>
      </c>
      <c r="F67" s="250">
        <f>SUM(E67)</f>
        <v>4</v>
      </c>
      <c r="G67" s="18">
        <v>49.88</v>
      </c>
      <c r="H67" s="265">
        <f t="shared" si="7"/>
        <v>0.19952</v>
      </c>
      <c r="I67" s="18">
        <v>0</v>
      </c>
      <c r="J67" s="5"/>
      <c r="K67" s="5"/>
      <c r="L67" s="5"/>
      <c r="M67" s="5"/>
      <c r="N67" s="5"/>
      <c r="O67" s="5"/>
      <c r="P67" s="5"/>
      <c r="Q67" s="5"/>
      <c r="R67" s="216"/>
      <c r="S67" s="216"/>
      <c r="T67" s="216"/>
      <c r="U67" s="216"/>
    </row>
    <row r="68" spans="1:21" ht="15.75" customHeight="1">
      <c r="A68" s="46"/>
      <c r="B68" s="210" t="s">
        <v>92</v>
      </c>
      <c r="C68" s="22"/>
      <c r="D68" s="20"/>
      <c r="E68" s="25"/>
      <c r="F68" s="18"/>
      <c r="G68" s="18"/>
      <c r="H68" s="265" t="s">
        <v>234</v>
      </c>
      <c r="I68" s="255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ht="15.75" customHeight="1">
      <c r="A69" s="46">
        <v>14</v>
      </c>
      <c r="B69" s="20" t="s">
        <v>93</v>
      </c>
      <c r="C69" s="22" t="s">
        <v>94</v>
      </c>
      <c r="D69" s="20"/>
      <c r="E69" s="25">
        <v>4</v>
      </c>
      <c r="F69" s="18">
        <v>0.4</v>
      </c>
      <c r="G69" s="18">
        <v>501.62</v>
      </c>
      <c r="H69" s="265">
        <f>SUM(F69*G69/1000)</f>
        <v>0.20064800000000002</v>
      </c>
      <c r="I69" s="18">
        <f>G69*1.1</f>
        <v>551.78200000000004</v>
      </c>
    </row>
    <row r="70" spans="1:21" ht="15.75" hidden="1" customHeight="1">
      <c r="A70" s="46"/>
      <c r="B70" s="20" t="s">
        <v>220</v>
      </c>
      <c r="C70" s="22" t="s">
        <v>142</v>
      </c>
      <c r="D70" s="20"/>
      <c r="E70" s="25">
        <v>1</v>
      </c>
      <c r="F70" s="18">
        <f>E70</f>
        <v>1</v>
      </c>
      <c r="G70" s="18">
        <v>852.99</v>
      </c>
      <c r="H70" s="265">
        <f>SUM(F70*G70/1000)</f>
        <v>0.85299000000000003</v>
      </c>
      <c r="I70" s="18">
        <v>0</v>
      </c>
    </row>
    <row r="71" spans="1:21" ht="15.75" hidden="1" customHeight="1">
      <c r="A71" s="46"/>
      <c r="B71" s="269" t="s">
        <v>95</v>
      </c>
      <c r="C71" s="22"/>
      <c r="D71" s="20"/>
      <c r="E71" s="25"/>
      <c r="F71" s="25"/>
      <c r="G71" s="25"/>
      <c r="H71" s="25"/>
      <c r="I71" s="255"/>
    </row>
    <row r="72" spans="1:21" ht="15.75" hidden="1" customHeight="1">
      <c r="A72" s="46"/>
      <c r="B72" s="81" t="s">
        <v>208</v>
      </c>
      <c r="C72" s="22" t="s">
        <v>96</v>
      </c>
      <c r="D72" s="20"/>
      <c r="E72" s="25"/>
      <c r="F72" s="18">
        <v>0.1</v>
      </c>
      <c r="G72" s="18">
        <v>2759.44</v>
      </c>
      <c r="H72" s="268">
        <f t="shared" ref="H72" si="8">SUM(F72*G72/1000)</f>
        <v>0.27594400000000002</v>
      </c>
      <c r="I72" s="18">
        <v>0</v>
      </c>
    </row>
    <row r="73" spans="1:21" ht="15.75" hidden="1" customHeight="1">
      <c r="A73" s="46"/>
      <c r="B73" s="210" t="s">
        <v>206</v>
      </c>
      <c r="C73" s="269"/>
      <c r="D73" s="51"/>
      <c r="E73" s="53"/>
      <c r="F73" s="270"/>
      <c r="G73" s="270"/>
      <c r="H73" s="271">
        <f>SUM(H55:H72)</f>
        <v>124.27670696000001</v>
      </c>
      <c r="I73" s="253"/>
    </row>
    <row r="74" spans="1:21" ht="15.75" hidden="1" customHeight="1">
      <c r="A74" s="285"/>
      <c r="B74" s="261" t="s">
        <v>207</v>
      </c>
      <c r="C74" s="295"/>
      <c r="D74" s="296"/>
      <c r="E74" s="272"/>
      <c r="F74" s="286">
        <f>232/10</f>
        <v>23.2</v>
      </c>
      <c r="G74" s="286">
        <v>11370</v>
      </c>
      <c r="H74" s="297">
        <f>G74*F74/1000</f>
        <v>263.78399999999999</v>
      </c>
      <c r="I74" s="286">
        <v>0</v>
      </c>
    </row>
    <row r="75" spans="1:21" ht="15.75" customHeight="1">
      <c r="A75" s="282" t="s">
        <v>264</v>
      </c>
      <c r="B75" s="283"/>
      <c r="C75" s="283"/>
      <c r="D75" s="283"/>
      <c r="E75" s="283"/>
      <c r="F75" s="283"/>
      <c r="G75" s="283"/>
      <c r="H75" s="283"/>
      <c r="I75" s="284"/>
    </row>
    <row r="76" spans="1:21" ht="15.75" customHeight="1">
      <c r="A76" s="287">
        <v>15</v>
      </c>
      <c r="B76" s="288" t="s">
        <v>209</v>
      </c>
      <c r="C76" s="298" t="s">
        <v>67</v>
      </c>
      <c r="D76" s="299" t="s">
        <v>68</v>
      </c>
      <c r="E76" s="292">
        <v>3053.4</v>
      </c>
      <c r="F76" s="292">
        <f>SUM(E76*12)</f>
        <v>36640.800000000003</v>
      </c>
      <c r="G76" s="292">
        <v>2.1</v>
      </c>
      <c r="H76" s="300">
        <f>SUM(F76*G76/1000)</f>
        <v>76.94568000000001</v>
      </c>
      <c r="I76" s="292">
        <f>F76/12*G76</f>
        <v>6412.14</v>
      </c>
    </row>
    <row r="77" spans="1:21" ht="31.5" customHeight="1">
      <c r="A77" s="46">
        <v>16</v>
      </c>
      <c r="B77" s="20" t="s">
        <v>97</v>
      </c>
      <c r="C77" s="22"/>
      <c r="D77" s="299" t="s">
        <v>68</v>
      </c>
      <c r="E77" s="249">
        <f>E76</f>
        <v>3053.4</v>
      </c>
      <c r="F77" s="18">
        <f>E77*12</f>
        <v>36640.800000000003</v>
      </c>
      <c r="G77" s="18">
        <v>1.63</v>
      </c>
      <c r="H77" s="268">
        <f>F77*G77/1000</f>
        <v>59.724504000000003</v>
      </c>
      <c r="I77" s="18">
        <f>F77/12*G77</f>
        <v>4977.0419999999995</v>
      </c>
    </row>
    <row r="78" spans="1:21" ht="15.75" customHeight="1">
      <c r="A78" s="46"/>
      <c r="B78" s="68" t="s">
        <v>102</v>
      </c>
      <c r="C78" s="269"/>
      <c r="D78" s="267"/>
      <c r="E78" s="270"/>
      <c r="F78" s="270"/>
      <c r="G78" s="270"/>
      <c r="H78" s="271">
        <f>SUM(H77)</f>
        <v>59.724504000000003</v>
      </c>
      <c r="I78" s="270">
        <f>I16+I17+I18+I20+I21+I23+I25+I26+I29+I30+I32+I58+I60+I69+I76+I77</f>
        <v>38574.480845888887</v>
      </c>
    </row>
    <row r="79" spans="1:21" ht="15.75" customHeight="1">
      <c r="A79" s="46"/>
      <c r="B79" s="198" t="s">
        <v>74</v>
      </c>
      <c r="C79" s="22"/>
      <c r="D79" s="81"/>
      <c r="E79" s="18"/>
      <c r="F79" s="18"/>
      <c r="G79" s="18"/>
      <c r="H79" s="23"/>
      <c r="I79" s="255"/>
    </row>
    <row r="80" spans="1:21" ht="15.75" customHeight="1">
      <c r="A80" s="46">
        <v>17</v>
      </c>
      <c r="B80" s="199" t="s">
        <v>173</v>
      </c>
      <c r="C80" s="200" t="s">
        <v>142</v>
      </c>
      <c r="D80" s="81"/>
      <c r="E80" s="18"/>
      <c r="F80" s="18">
        <v>780</v>
      </c>
      <c r="G80" s="18">
        <v>50.68</v>
      </c>
      <c r="H80" s="268">
        <f>G80*F80/1000</f>
        <v>39.5304</v>
      </c>
      <c r="I80" s="18">
        <f>G80*65</f>
        <v>3294.2</v>
      </c>
    </row>
    <row r="81" spans="1:9" ht="15.75" customHeight="1">
      <c r="A81" s="46">
        <v>18</v>
      </c>
      <c r="B81" s="199" t="s">
        <v>107</v>
      </c>
      <c r="C81" s="200" t="s">
        <v>142</v>
      </c>
      <c r="D81" s="81"/>
      <c r="E81" s="18"/>
      <c r="F81" s="18">
        <v>5</v>
      </c>
      <c r="G81" s="18">
        <v>180.15</v>
      </c>
      <c r="H81" s="268">
        <f t="shared" ref="H81:H82" si="9">F81*G81/1000</f>
        <v>0.90075000000000005</v>
      </c>
      <c r="I81" s="18">
        <f>G81</f>
        <v>180.15</v>
      </c>
    </row>
    <row r="82" spans="1:9" ht="15.75" customHeight="1">
      <c r="A82" s="46">
        <v>19</v>
      </c>
      <c r="B82" s="274" t="s">
        <v>145</v>
      </c>
      <c r="C82" s="275" t="s">
        <v>146</v>
      </c>
      <c r="D82" s="81"/>
      <c r="E82" s="18"/>
      <c r="F82" s="18">
        <f>15/3</f>
        <v>5</v>
      </c>
      <c r="G82" s="18">
        <v>1063.47</v>
      </c>
      <c r="H82" s="268">
        <f t="shared" si="9"/>
        <v>5.3173500000000002</v>
      </c>
      <c r="I82" s="18">
        <f>G82*2</f>
        <v>2126.94</v>
      </c>
    </row>
    <row r="83" spans="1:9" ht="15.75" customHeight="1">
      <c r="A83" s="46">
        <v>20</v>
      </c>
      <c r="B83" s="276" t="s">
        <v>116</v>
      </c>
      <c r="C83" s="200" t="s">
        <v>142</v>
      </c>
      <c r="D83" s="81"/>
      <c r="E83" s="18"/>
      <c r="F83" s="18">
        <v>1</v>
      </c>
      <c r="G83" s="18">
        <v>179.96</v>
      </c>
      <c r="H83" s="268">
        <f>F83*G83/1000</f>
        <v>0.17996000000000001</v>
      </c>
      <c r="I83" s="18">
        <f>G83</f>
        <v>179.96</v>
      </c>
    </row>
    <row r="84" spans="1:9" ht="15.75" customHeight="1">
      <c r="A84" s="46"/>
      <c r="B84" s="75" t="s">
        <v>63</v>
      </c>
      <c r="C84" s="71"/>
      <c r="D84" s="123"/>
      <c r="E84" s="71">
        <v>1</v>
      </c>
      <c r="F84" s="71"/>
      <c r="G84" s="71"/>
      <c r="H84" s="71"/>
      <c r="I84" s="53">
        <f>SUM(I80:I83)</f>
        <v>5781.25</v>
      </c>
    </row>
    <row r="85" spans="1:9" ht="15.75" customHeight="1">
      <c r="A85" s="46"/>
      <c r="B85" s="81" t="s">
        <v>98</v>
      </c>
      <c r="C85" s="21"/>
      <c r="D85" s="21"/>
      <c r="E85" s="72"/>
      <c r="F85" s="72"/>
      <c r="G85" s="73"/>
      <c r="H85" s="73"/>
      <c r="I85" s="24">
        <v>0</v>
      </c>
    </row>
    <row r="86" spans="1:9" ht="15.75" customHeight="1">
      <c r="A86" s="124"/>
      <c r="B86" s="76" t="s">
        <v>64</v>
      </c>
      <c r="C86" s="59"/>
      <c r="D86" s="59"/>
      <c r="E86" s="59"/>
      <c r="F86" s="59"/>
      <c r="G86" s="59"/>
      <c r="H86" s="59"/>
      <c r="I86" s="74">
        <f>I78+I84</f>
        <v>44355.730845888887</v>
      </c>
    </row>
    <row r="87" spans="1:9" ht="15.75">
      <c r="A87" s="240" t="s">
        <v>288</v>
      </c>
      <c r="B87" s="240"/>
      <c r="C87" s="240"/>
      <c r="D87" s="240"/>
      <c r="E87" s="240"/>
      <c r="F87" s="240"/>
      <c r="G87" s="240"/>
      <c r="H87" s="240"/>
      <c r="I87" s="240"/>
    </row>
    <row r="88" spans="1:9" ht="15.75">
      <c r="A88" s="205"/>
      <c r="B88" s="241" t="s">
        <v>289</v>
      </c>
      <c r="C88" s="241"/>
      <c r="D88" s="241"/>
      <c r="E88" s="241"/>
      <c r="F88" s="241"/>
      <c r="G88" s="241"/>
      <c r="H88" s="246"/>
      <c r="I88" s="3"/>
    </row>
    <row r="89" spans="1:9">
      <c r="A89" s="208"/>
      <c r="B89" s="222" t="s">
        <v>7</v>
      </c>
      <c r="C89" s="222"/>
      <c r="D89" s="222"/>
      <c r="E89" s="222"/>
      <c r="F89" s="222"/>
      <c r="G89" s="222"/>
      <c r="H89" s="37"/>
      <c r="I89" s="5"/>
    </row>
    <row r="90" spans="1:9" ht="15.75" customHeight="1">
      <c r="A90" s="11"/>
      <c r="B90" s="11"/>
      <c r="C90" s="11"/>
      <c r="D90" s="11"/>
      <c r="E90" s="11"/>
      <c r="F90" s="11"/>
      <c r="G90" s="11"/>
      <c r="H90" s="11"/>
      <c r="I90" s="11"/>
    </row>
    <row r="91" spans="1:9" ht="15.75" customHeight="1">
      <c r="A91" s="217" t="s">
        <v>8</v>
      </c>
      <c r="B91" s="217"/>
      <c r="C91" s="217"/>
      <c r="D91" s="217"/>
      <c r="E91" s="217"/>
      <c r="F91" s="217"/>
      <c r="G91" s="217"/>
      <c r="H91" s="217"/>
      <c r="I91" s="217"/>
    </row>
    <row r="92" spans="1:9" ht="15.75" customHeight="1">
      <c r="A92" s="217" t="s">
        <v>9</v>
      </c>
      <c r="B92" s="217"/>
      <c r="C92" s="217"/>
      <c r="D92" s="217"/>
      <c r="E92" s="217"/>
      <c r="F92" s="217"/>
      <c r="G92" s="217"/>
      <c r="H92" s="217"/>
      <c r="I92" s="217"/>
    </row>
    <row r="93" spans="1:9" ht="15.75" customHeight="1">
      <c r="A93" s="219" t="s">
        <v>76</v>
      </c>
      <c r="B93" s="219"/>
      <c r="C93" s="219"/>
      <c r="D93" s="219"/>
      <c r="E93" s="219"/>
      <c r="F93" s="219"/>
      <c r="G93" s="219"/>
      <c r="H93" s="219"/>
      <c r="I93" s="219"/>
    </row>
    <row r="94" spans="1:9" ht="15.75" customHeight="1">
      <c r="A94" s="12"/>
    </row>
    <row r="95" spans="1:9" ht="15.75" customHeight="1">
      <c r="A95" s="220" t="s">
        <v>11</v>
      </c>
      <c r="B95" s="220"/>
      <c r="C95" s="220"/>
      <c r="D95" s="220"/>
      <c r="E95" s="220"/>
      <c r="F95" s="220"/>
      <c r="G95" s="220"/>
      <c r="H95" s="220"/>
      <c r="I95" s="220"/>
    </row>
    <row r="96" spans="1:9" ht="15.75" customHeight="1">
      <c r="A96" s="4"/>
    </row>
    <row r="97" spans="1:9" ht="15.75" customHeight="1">
      <c r="B97" s="204" t="s">
        <v>12</v>
      </c>
      <c r="C97" s="224" t="s">
        <v>136</v>
      </c>
      <c r="D97" s="224"/>
      <c r="E97" s="224"/>
      <c r="F97" s="244"/>
      <c r="I97" s="207"/>
    </row>
    <row r="98" spans="1:9" ht="15.75" customHeight="1">
      <c r="A98" s="208"/>
      <c r="C98" s="222" t="s">
        <v>13</v>
      </c>
      <c r="D98" s="222"/>
      <c r="E98" s="222"/>
      <c r="F98" s="37"/>
      <c r="I98" s="206" t="s">
        <v>14</v>
      </c>
    </row>
    <row r="99" spans="1:9" ht="15.75" customHeight="1">
      <c r="A99" s="38"/>
      <c r="C99" s="13"/>
      <c r="D99" s="13"/>
      <c r="G99" s="13"/>
      <c r="H99" s="13"/>
    </row>
    <row r="100" spans="1:9" ht="15.75" customHeight="1">
      <c r="B100" s="204" t="s">
        <v>15</v>
      </c>
      <c r="C100" s="223"/>
      <c r="D100" s="223"/>
      <c r="E100" s="223"/>
      <c r="F100" s="245"/>
      <c r="I100" s="207"/>
    </row>
    <row r="101" spans="1:9" ht="15.75" customHeight="1">
      <c r="A101" s="208"/>
      <c r="C101" s="216" t="s">
        <v>13</v>
      </c>
      <c r="D101" s="216"/>
      <c r="E101" s="216"/>
      <c r="F101" s="208"/>
      <c r="I101" s="206" t="s">
        <v>14</v>
      </c>
    </row>
    <row r="102" spans="1:9" ht="15.75" customHeight="1">
      <c r="A102" s="4" t="s">
        <v>16</v>
      </c>
    </row>
    <row r="103" spans="1:9">
      <c r="A103" s="234" t="s">
        <v>17</v>
      </c>
      <c r="B103" s="234"/>
      <c r="C103" s="234"/>
      <c r="D103" s="234"/>
      <c r="E103" s="234"/>
      <c r="F103" s="234"/>
      <c r="G103" s="234"/>
      <c r="H103" s="234"/>
      <c r="I103" s="234"/>
    </row>
    <row r="104" spans="1:9" ht="45" customHeight="1">
      <c r="A104" s="235" t="s">
        <v>18</v>
      </c>
      <c r="B104" s="235"/>
      <c r="C104" s="235"/>
      <c r="D104" s="235"/>
      <c r="E104" s="235"/>
      <c r="F104" s="235"/>
      <c r="G104" s="235"/>
      <c r="H104" s="235"/>
      <c r="I104" s="235"/>
    </row>
    <row r="105" spans="1:9" ht="30" customHeight="1">
      <c r="A105" s="235" t="s">
        <v>19</v>
      </c>
      <c r="B105" s="235"/>
      <c r="C105" s="235"/>
      <c r="D105" s="235"/>
      <c r="E105" s="235"/>
      <c r="F105" s="235"/>
      <c r="G105" s="235"/>
      <c r="H105" s="235"/>
      <c r="I105" s="235"/>
    </row>
    <row r="106" spans="1:9" ht="30" customHeight="1">
      <c r="A106" s="235" t="s">
        <v>24</v>
      </c>
      <c r="B106" s="235"/>
      <c r="C106" s="235"/>
      <c r="D106" s="235"/>
      <c r="E106" s="235"/>
      <c r="F106" s="235"/>
      <c r="G106" s="235"/>
      <c r="H106" s="235"/>
      <c r="I106" s="235"/>
    </row>
    <row r="107" spans="1:9" ht="15" customHeight="1">
      <c r="A107" s="235" t="s">
        <v>23</v>
      </c>
      <c r="B107" s="235"/>
      <c r="C107" s="235"/>
      <c r="D107" s="235"/>
      <c r="E107" s="235"/>
      <c r="F107" s="235"/>
      <c r="G107" s="235"/>
      <c r="H107" s="235"/>
      <c r="I107" s="235"/>
    </row>
  </sheetData>
  <autoFilter ref="I12:I62"/>
  <mergeCells count="28">
    <mergeCell ref="A104:I104"/>
    <mergeCell ref="A105:I105"/>
    <mergeCell ref="A106:I106"/>
    <mergeCell ref="A107:I107"/>
    <mergeCell ref="A95:I95"/>
    <mergeCell ref="C97:E97"/>
    <mergeCell ref="C98:E98"/>
    <mergeCell ref="C100:E100"/>
    <mergeCell ref="C101:E101"/>
    <mergeCell ref="A103:I103"/>
    <mergeCell ref="A87:I87"/>
    <mergeCell ref="B88:G88"/>
    <mergeCell ref="B89:G89"/>
    <mergeCell ref="A91:I91"/>
    <mergeCell ref="A92:I92"/>
    <mergeCell ref="A93:I93"/>
    <mergeCell ref="A15:I15"/>
    <mergeCell ref="A27:I27"/>
    <mergeCell ref="A42:I42"/>
    <mergeCell ref="A53:I53"/>
    <mergeCell ref="R67:U67"/>
    <mergeCell ref="A75:I7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T114"/>
  <sheetViews>
    <sheetView view="pageLayout" zoomScale="77" zoomScaleNormal="77" zoomScalePageLayoutView="77" workbookViewId="0">
      <selection activeCell="A4" sqref="A4:G4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  <col min="9" max="9" width="14.5703125" customWidth="1"/>
    <col min="10" max="10" width="12.5703125" customWidth="1"/>
  </cols>
  <sheetData>
    <row r="1" spans="1:11" ht="21" customHeight="1">
      <c r="A1" s="127"/>
      <c r="B1" s="52" t="s">
        <v>123</v>
      </c>
      <c r="C1" s="127"/>
      <c r="D1" s="127"/>
      <c r="E1" s="127"/>
      <c r="F1" s="127"/>
      <c r="G1" s="128"/>
      <c r="H1" s="1"/>
      <c r="I1" s="1"/>
      <c r="J1" s="1"/>
      <c r="K1" s="1"/>
    </row>
    <row r="2" spans="1:11" ht="17.25" customHeight="1">
      <c r="A2" s="127"/>
      <c r="B2" s="42" t="s">
        <v>79</v>
      </c>
      <c r="C2" s="127"/>
      <c r="D2" s="127"/>
      <c r="E2" s="127"/>
      <c r="F2" s="127"/>
      <c r="G2" s="127"/>
      <c r="H2" s="2"/>
      <c r="I2" s="2"/>
      <c r="J2" s="2"/>
      <c r="K2" s="2"/>
    </row>
    <row r="3" spans="1:11" ht="17.25" hidden="1" customHeight="1">
      <c r="A3" s="127"/>
      <c r="B3" s="129"/>
      <c r="C3" s="127"/>
      <c r="D3" s="127"/>
      <c r="E3" s="127"/>
      <c r="F3" s="127"/>
      <c r="G3" s="127"/>
      <c r="H3" s="2"/>
      <c r="I3" s="2"/>
      <c r="J3" s="2"/>
      <c r="K3" s="2"/>
    </row>
    <row r="4" spans="1:11" ht="18" customHeight="1">
      <c r="A4" s="211" t="s">
        <v>290</v>
      </c>
      <c r="B4" s="211"/>
      <c r="C4" s="211"/>
      <c r="D4" s="211"/>
      <c r="E4" s="211"/>
      <c r="F4" s="211"/>
      <c r="G4" s="211"/>
      <c r="H4" s="3"/>
      <c r="I4" s="3"/>
      <c r="J4" s="3"/>
    </row>
    <row r="5" spans="1:11" ht="40.5" customHeight="1">
      <c r="A5" s="212" t="s">
        <v>176</v>
      </c>
      <c r="B5" s="212"/>
      <c r="C5" s="212"/>
      <c r="D5" s="212"/>
      <c r="E5" s="212"/>
      <c r="F5" s="212"/>
      <c r="G5" s="212"/>
    </row>
    <row r="6" spans="1:11" ht="18" customHeight="1">
      <c r="A6" s="130"/>
      <c r="B6" s="213" t="s">
        <v>124</v>
      </c>
      <c r="C6" s="213"/>
      <c r="D6" s="213"/>
      <c r="E6" s="213"/>
      <c r="F6" s="213"/>
      <c r="G6" s="127"/>
      <c r="H6" s="2"/>
      <c r="I6" s="2"/>
      <c r="J6" s="2"/>
      <c r="K6" s="2"/>
    </row>
    <row r="7" spans="1:11" ht="18.75" customHeight="1">
      <c r="A7" s="130"/>
      <c r="B7" s="131"/>
      <c r="C7" s="131"/>
      <c r="D7" s="131"/>
      <c r="E7" s="131"/>
      <c r="F7" s="131"/>
      <c r="G7" s="127"/>
      <c r="H7" s="2"/>
      <c r="I7" s="2"/>
      <c r="J7" s="2"/>
      <c r="K7" s="2"/>
    </row>
    <row r="8" spans="1:11" ht="18.75" customHeight="1">
      <c r="A8" s="130"/>
      <c r="B8" s="131"/>
      <c r="C8" s="131"/>
      <c r="D8" s="131"/>
      <c r="E8" s="131"/>
      <c r="F8" s="131"/>
      <c r="G8" s="132">
        <v>42704</v>
      </c>
      <c r="H8" s="2"/>
      <c r="I8" s="2"/>
      <c r="J8" s="2"/>
      <c r="K8" s="2"/>
    </row>
    <row r="9" spans="1:11" ht="19.5" customHeight="1">
      <c r="A9" s="127"/>
      <c r="B9" s="133"/>
      <c r="C9" s="133"/>
      <c r="D9" s="133"/>
      <c r="E9" s="134"/>
      <c r="F9" s="134"/>
      <c r="G9" s="127"/>
      <c r="H9" s="3"/>
      <c r="I9" s="3"/>
      <c r="J9" s="3"/>
      <c r="K9" s="3"/>
    </row>
    <row r="10" spans="1:11" ht="87.75" customHeight="1">
      <c r="A10" s="214" t="s">
        <v>291</v>
      </c>
      <c r="B10" s="214"/>
      <c r="C10" s="214"/>
      <c r="D10" s="214"/>
      <c r="E10" s="214"/>
      <c r="F10" s="214"/>
      <c r="G10" s="214"/>
      <c r="H10" s="5"/>
      <c r="I10" s="5"/>
      <c r="J10" s="5"/>
      <c r="K10" s="5"/>
    </row>
    <row r="11" spans="1:11" ht="14.25" customHeight="1">
      <c r="A11" s="135"/>
      <c r="B11" s="127"/>
      <c r="C11" s="127"/>
      <c r="D11" s="127"/>
      <c r="E11" s="127"/>
      <c r="F11" s="127"/>
      <c r="G11" s="127"/>
      <c r="H11" s="2"/>
      <c r="I11" s="2"/>
      <c r="J11" s="2"/>
      <c r="K11" s="2"/>
    </row>
    <row r="12" spans="1:11" ht="56.25" customHeight="1">
      <c r="A12" s="215" t="s">
        <v>177</v>
      </c>
      <c r="B12" s="215"/>
      <c r="C12" s="215"/>
      <c r="D12" s="215"/>
      <c r="E12" s="215"/>
      <c r="F12" s="215"/>
      <c r="G12" s="215"/>
      <c r="H12" s="2"/>
      <c r="I12" s="2"/>
      <c r="J12" s="2"/>
      <c r="K12" s="2"/>
    </row>
    <row r="13" spans="1:11" ht="13.5" customHeight="1">
      <c r="A13" s="134"/>
      <c r="B13" s="134"/>
      <c r="C13" s="136"/>
      <c r="D13" s="136"/>
      <c r="E13" s="136"/>
      <c r="F13" s="136"/>
      <c r="G13" s="136"/>
      <c r="H13" s="3"/>
    </row>
    <row r="14" spans="1:11" ht="19.5" hidden="1" customHeight="1">
      <c r="A14" s="135"/>
      <c r="B14" s="127"/>
      <c r="C14" s="127"/>
      <c r="D14" s="127"/>
      <c r="E14" s="127"/>
      <c r="F14" s="127"/>
      <c r="G14" s="127"/>
    </row>
    <row r="15" spans="1:11" ht="66.75" customHeight="1">
      <c r="A15" s="88" t="s">
        <v>0</v>
      </c>
      <c r="B15" s="88" t="s">
        <v>122</v>
      </c>
      <c r="C15" s="88" t="s">
        <v>2</v>
      </c>
      <c r="D15" s="88" t="s">
        <v>20</v>
      </c>
      <c r="E15" s="88" t="s">
        <v>21</v>
      </c>
      <c r="F15" s="88" t="s">
        <v>25</v>
      </c>
      <c r="G15" s="88" t="s">
        <v>3</v>
      </c>
    </row>
    <row r="16" spans="1:11" ht="18.75">
      <c r="A16" s="137">
        <v>1</v>
      </c>
      <c r="B16" s="137">
        <v>2</v>
      </c>
      <c r="C16" s="137">
        <v>3</v>
      </c>
      <c r="D16" s="138">
        <v>4</v>
      </c>
      <c r="E16" s="137">
        <v>5</v>
      </c>
      <c r="F16" s="137">
        <v>6</v>
      </c>
      <c r="G16" s="137">
        <v>7</v>
      </c>
      <c r="H16" s="8"/>
      <c r="I16" s="8"/>
      <c r="J16" s="8"/>
      <c r="K16" s="8"/>
    </row>
    <row r="17" spans="1:11" ht="19.5" customHeight="1">
      <c r="A17" s="225" t="s">
        <v>4</v>
      </c>
      <c r="B17" s="226"/>
      <c r="C17" s="226"/>
      <c r="D17" s="226"/>
      <c r="E17" s="226"/>
      <c r="F17" s="226"/>
      <c r="G17" s="227"/>
      <c r="H17" s="8"/>
      <c r="I17" s="8"/>
      <c r="J17" s="8"/>
      <c r="K17" s="8"/>
    </row>
    <row r="18" spans="1:11" ht="33.75" customHeight="1">
      <c r="A18" s="84">
        <v>1</v>
      </c>
      <c r="B18" s="93" t="s">
        <v>125</v>
      </c>
      <c r="C18" s="84" t="s">
        <v>65</v>
      </c>
      <c r="D18" s="84" t="s">
        <v>128</v>
      </c>
      <c r="E18" s="84"/>
      <c r="F18" s="84">
        <v>175.38</v>
      </c>
      <c r="G18" s="84">
        <v>2108.94</v>
      </c>
      <c r="H18" s="8"/>
      <c r="I18" s="8"/>
      <c r="J18" s="8"/>
      <c r="K18" s="8"/>
    </row>
    <row r="19" spans="1:11" ht="33.75" customHeight="1">
      <c r="A19" s="84">
        <v>2</v>
      </c>
      <c r="B19" s="93" t="s">
        <v>126</v>
      </c>
      <c r="C19" s="84" t="s">
        <v>65</v>
      </c>
      <c r="D19" s="84" t="s">
        <v>161</v>
      </c>
      <c r="E19" s="84"/>
      <c r="F19" s="84">
        <v>175.38</v>
      </c>
      <c r="G19" s="108">
        <v>4389.6400000000003</v>
      </c>
      <c r="H19" s="8"/>
      <c r="I19" s="8"/>
      <c r="J19" s="8"/>
      <c r="K19" s="8"/>
    </row>
    <row r="20" spans="1:11" ht="33" customHeight="1">
      <c r="A20" s="84">
        <v>3</v>
      </c>
      <c r="B20" s="93" t="s">
        <v>127</v>
      </c>
      <c r="C20" s="84" t="s">
        <v>65</v>
      </c>
      <c r="D20" s="84" t="s">
        <v>35</v>
      </c>
      <c r="E20" s="84"/>
      <c r="F20" s="108">
        <v>504.5</v>
      </c>
      <c r="G20" s="84">
        <v>1923.66</v>
      </c>
      <c r="H20" s="8"/>
      <c r="I20" s="8"/>
      <c r="J20" s="8"/>
      <c r="K20" s="8"/>
    </row>
    <row r="21" spans="1:11" ht="22.5" customHeight="1">
      <c r="A21" s="84">
        <v>4</v>
      </c>
      <c r="B21" s="93" t="s">
        <v>162</v>
      </c>
      <c r="C21" s="94" t="s">
        <v>163</v>
      </c>
      <c r="D21" s="95" t="s">
        <v>35</v>
      </c>
      <c r="E21" s="84"/>
      <c r="F21" s="108">
        <v>217.88</v>
      </c>
      <c r="G21" s="108">
        <v>59.48</v>
      </c>
      <c r="H21" s="8"/>
      <c r="I21" s="8"/>
      <c r="J21" s="8"/>
      <c r="K21" s="8"/>
    </row>
    <row r="22" spans="1:11" ht="22.5" customHeight="1">
      <c r="A22" s="84">
        <v>5</v>
      </c>
      <c r="B22" s="93" t="s">
        <v>178</v>
      </c>
      <c r="C22" s="94" t="s">
        <v>65</v>
      </c>
      <c r="D22" s="95" t="s">
        <v>179</v>
      </c>
      <c r="E22" s="84"/>
      <c r="F22" s="108">
        <v>216.12</v>
      </c>
      <c r="G22" s="108">
        <v>19.62</v>
      </c>
      <c r="H22" s="8"/>
      <c r="I22" s="8"/>
      <c r="J22" s="8"/>
      <c r="K22" s="8"/>
    </row>
    <row r="23" spans="1:11" ht="24" hidden="1" customHeight="1">
      <c r="A23" s="84">
        <v>5</v>
      </c>
      <c r="B23" s="93" t="s">
        <v>164</v>
      </c>
      <c r="C23" s="94" t="s">
        <v>65</v>
      </c>
      <c r="D23" s="95" t="s">
        <v>165</v>
      </c>
      <c r="E23" s="84"/>
      <c r="F23" s="108">
        <v>269.26</v>
      </c>
      <c r="G23" s="108">
        <v>19.579999999999998</v>
      </c>
      <c r="H23" s="8"/>
      <c r="I23" s="8"/>
      <c r="J23" s="8"/>
      <c r="K23" s="8"/>
    </row>
    <row r="24" spans="1:11" ht="23.25" hidden="1" customHeight="1">
      <c r="A24" s="84">
        <v>6</v>
      </c>
      <c r="B24" s="93" t="s">
        <v>166</v>
      </c>
      <c r="C24" s="94" t="s">
        <v>65</v>
      </c>
      <c r="D24" s="95" t="s">
        <v>167</v>
      </c>
      <c r="E24" s="84"/>
      <c r="F24" s="108">
        <v>44.29</v>
      </c>
      <c r="G24" s="84">
        <v>5.08</v>
      </c>
      <c r="H24" s="8"/>
      <c r="I24" s="8"/>
      <c r="J24" s="8"/>
      <c r="K24" s="8"/>
    </row>
    <row r="25" spans="1:11" ht="23.25" customHeight="1">
      <c r="A25" s="84">
        <v>6</v>
      </c>
      <c r="B25" s="93" t="s">
        <v>168</v>
      </c>
      <c r="C25" s="94" t="s">
        <v>65</v>
      </c>
      <c r="D25" s="95" t="s">
        <v>169</v>
      </c>
      <c r="E25" s="84"/>
      <c r="F25" s="108">
        <v>389.72</v>
      </c>
      <c r="G25" s="84">
        <v>77.94</v>
      </c>
      <c r="H25" s="8"/>
      <c r="I25" s="8"/>
      <c r="J25" s="8"/>
      <c r="K25" s="8"/>
    </row>
    <row r="26" spans="1:11" ht="18.75" hidden="1" customHeight="1">
      <c r="A26" s="84">
        <v>7</v>
      </c>
      <c r="B26" s="93" t="s">
        <v>170</v>
      </c>
      <c r="C26" s="120" t="s">
        <v>65</v>
      </c>
      <c r="D26" s="175" t="s">
        <v>171</v>
      </c>
      <c r="E26" s="176"/>
      <c r="F26" s="177">
        <v>520.79999999999995</v>
      </c>
      <c r="G26" s="84">
        <v>10.42</v>
      </c>
      <c r="H26" s="8"/>
      <c r="I26" s="8"/>
      <c r="J26" s="8"/>
      <c r="K26" s="8"/>
    </row>
    <row r="27" spans="1:11" ht="36.75" hidden="1" customHeight="1">
      <c r="A27" s="84"/>
      <c r="B27" s="174" t="s">
        <v>180</v>
      </c>
      <c r="C27" s="103" t="s">
        <v>65</v>
      </c>
      <c r="D27" s="82"/>
      <c r="E27" s="84"/>
      <c r="F27" s="108"/>
      <c r="G27" s="84"/>
      <c r="H27" s="8"/>
      <c r="I27" s="8"/>
      <c r="J27" s="8"/>
      <c r="K27" s="8"/>
    </row>
    <row r="28" spans="1:11" ht="21" customHeight="1">
      <c r="A28" s="84">
        <v>8</v>
      </c>
      <c r="B28" s="119" t="s">
        <v>26</v>
      </c>
      <c r="C28" s="83" t="s">
        <v>27</v>
      </c>
      <c r="D28" s="84" t="s">
        <v>28</v>
      </c>
      <c r="E28" s="102" t="e">
        <f>#REF!+#REF!+#REF!+#REF!+#REF!+#REF!+'12.16'!E12+#REF!+#REF!+#REF!+#REF!+#REF!</f>
        <v>#REF!</v>
      </c>
      <c r="F28" s="92">
        <v>4.55</v>
      </c>
      <c r="G28" s="86">
        <v>13892.97</v>
      </c>
      <c r="H28" s="8"/>
      <c r="I28" s="8"/>
      <c r="J28" s="8"/>
      <c r="K28" s="8"/>
    </row>
    <row r="29" spans="1:11" ht="21" customHeight="1">
      <c r="A29" s="84">
        <v>9</v>
      </c>
      <c r="B29" s="93" t="s">
        <v>81</v>
      </c>
      <c r="C29" s="94" t="s">
        <v>38</v>
      </c>
      <c r="D29" s="95" t="s">
        <v>119</v>
      </c>
      <c r="E29" s="92">
        <v>0</v>
      </c>
      <c r="F29" s="85">
        <v>147.03</v>
      </c>
      <c r="G29" s="92">
        <v>447.22</v>
      </c>
      <c r="H29" s="8"/>
      <c r="I29" s="8"/>
      <c r="J29" s="8"/>
      <c r="K29" s="8"/>
    </row>
    <row r="30" spans="1:11" ht="19.5" customHeight="1">
      <c r="A30" s="225" t="s">
        <v>120</v>
      </c>
      <c r="B30" s="226"/>
      <c r="C30" s="226"/>
      <c r="D30" s="226"/>
      <c r="E30" s="226"/>
      <c r="F30" s="226"/>
      <c r="G30" s="227"/>
      <c r="H30" s="47"/>
      <c r="I30" s="8"/>
      <c r="J30" s="8"/>
      <c r="K30" s="8"/>
    </row>
    <row r="31" spans="1:11" ht="19.5" customHeight="1">
      <c r="A31" s="82"/>
      <c r="B31" s="96" t="s">
        <v>5</v>
      </c>
      <c r="C31" s="82"/>
      <c r="D31" s="82"/>
      <c r="E31" s="102"/>
      <c r="F31" s="91"/>
      <c r="G31" s="160"/>
      <c r="H31" s="33"/>
      <c r="I31" s="8"/>
      <c r="J31" s="8"/>
      <c r="K31" s="8"/>
    </row>
    <row r="32" spans="1:11" ht="33" customHeight="1">
      <c r="A32" s="97">
        <v>10</v>
      </c>
      <c r="B32" s="157" t="s">
        <v>31</v>
      </c>
      <c r="C32" s="90" t="s">
        <v>37</v>
      </c>
      <c r="D32" s="84" t="s">
        <v>30</v>
      </c>
      <c r="E32" s="102" t="e">
        <f>#REF!+#REF!+#REF!+#REF!+#REF!+#REF!+'12.16'!E27+#REF!+#REF!+#REF!+#REF!+#REF!</f>
        <v>#REF!</v>
      </c>
      <c r="F32" s="99">
        <v>1527.22</v>
      </c>
      <c r="G32" s="86">
        <v>763.61</v>
      </c>
      <c r="H32" s="33"/>
      <c r="I32" s="8"/>
      <c r="J32" s="8"/>
      <c r="K32" s="8"/>
    </row>
    <row r="33" spans="1:12" ht="18.75" customHeight="1">
      <c r="A33" s="97">
        <v>11</v>
      </c>
      <c r="B33" s="157" t="s">
        <v>85</v>
      </c>
      <c r="C33" s="90" t="s">
        <v>34</v>
      </c>
      <c r="D33" s="84" t="s">
        <v>117</v>
      </c>
      <c r="E33" s="102" t="e">
        <f>#REF!+#REF!+#REF!+#REF!+#REF!+#REF!+'12.16'!E28+#REF!+#REF!+#REF!+#REF!+#REF!</f>
        <v>#REF!</v>
      </c>
      <c r="F33" s="99">
        <v>2102.71</v>
      </c>
      <c r="G33" s="86">
        <v>1441.76</v>
      </c>
      <c r="H33" s="33"/>
      <c r="I33" s="44"/>
      <c r="J33" s="8"/>
      <c r="K33" s="8"/>
    </row>
    <row r="34" spans="1:12" ht="21.75" hidden="1" customHeight="1">
      <c r="A34" s="97">
        <v>8</v>
      </c>
      <c r="B34" s="157" t="s">
        <v>137</v>
      </c>
      <c r="C34" s="90" t="s">
        <v>34</v>
      </c>
      <c r="D34" s="84" t="s">
        <v>138</v>
      </c>
      <c r="E34" s="102"/>
      <c r="F34" s="99">
        <v>2247.8000000000002</v>
      </c>
      <c r="G34" s="86">
        <v>1000.67</v>
      </c>
      <c r="H34" s="33"/>
      <c r="I34" s="44"/>
      <c r="J34" s="8"/>
      <c r="K34" s="8"/>
    </row>
    <row r="35" spans="1:12" ht="68.25" customHeight="1">
      <c r="A35" s="97">
        <v>12</v>
      </c>
      <c r="B35" s="93" t="s">
        <v>112</v>
      </c>
      <c r="C35" s="90" t="s">
        <v>34</v>
      </c>
      <c r="D35" s="84" t="s">
        <v>182</v>
      </c>
      <c r="E35" s="102" t="e">
        <f>#REF!+#REF!+#REF!+#REF!+#REF!+#REF!+'12.16'!E29+#REF!+#REF!+#REF!+#REF!+#REF!</f>
        <v>#REF!</v>
      </c>
      <c r="F35" s="99">
        <v>5803.28</v>
      </c>
      <c r="G35" s="86">
        <v>2321.31</v>
      </c>
      <c r="H35" s="33"/>
      <c r="I35" s="8"/>
      <c r="J35" s="8"/>
      <c r="K35" s="8"/>
    </row>
    <row r="36" spans="1:12" ht="33" customHeight="1">
      <c r="A36" s="97">
        <v>13</v>
      </c>
      <c r="B36" s="157" t="s">
        <v>139</v>
      </c>
      <c r="C36" s="90" t="s">
        <v>34</v>
      </c>
      <c r="D36" s="84" t="s">
        <v>121</v>
      </c>
      <c r="E36" s="102" t="e">
        <f>#REF!+#REF!+#REF!+#REF!+#REF!+#REF!+'12.16'!E30+#REF!+#REF!+#REF!+#REF!+#REF!</f>
        <v>#REF!</v>
      </c>
      <c r="F36" s="99">
        <v>350.75</v>
      </c>
      <c r="G36" s="86">
        <v>807.34</v>
      </c>
      <c r="H36" s="33"/>
      <c r="I36" s="45"/>
      <c r="J36" s="8"/>
      <c r="K36" s="8"/>
    </row>
    <row r="37" spans="1:12" ht="22.5" customHeight="1">
      <c r="A37" s="97">
        <v>14</v>
      </c>
      <c r="B37" s="157" t="s">
        <v>132</v>
      </c>
      <c r="C37" s="90" t="s">
        <v>34</v>
      </c>
      <c r="D37" s="84" t="s">
        <v>118</v>
      </c>
      <c r="E37" s="86" t="e">
        <f>#REF!+#REF!+#REF!+#REF!+#REF!+#REF!+'12.16'!E31+#REF!+#REF!+#REF!+#REF!+#REF!</f>
        <v>#REF!</v>
      </c>
      <c r="F37" s="99">
        <v>428.7</v>
      </c>
      <c r="G37" s="86">
        <v>286.16000000000003</v>
      </c>
      <c r="H37" s="33"/>
      <c r="I37" s="8"/>
      <c r="J37" s="8"/>
      <c r="K37" s="8"/>
    </row>
    <row r="38" spans="1:12" ht="17.25" customHeight="1">
      <c r="A38" s="97">
        <v>15</v>
      </c>
      <c r="B38" s="157" t="s">
        <v>157</v>
      </c>
      <c r="C38" s="83" t="s">
        <v>38</v>
      </c>
      <c r="D38" s="89"/>
      <c r="E38" s="102" t="e">
        <f>#REF!+#REF!+#REF!+#REF!+#REF!+#REF!+'12.16'!E32+#REF!+#REF!+#REF!+#REF!+#REF!</f>
        <v>#REF!</v>
      </c>
      <c r="F38" s="99">
        <v>798</v>
      </c>
      <c r="G38" s="86">
        <v>119.7</v>
      </c>
      <c r="H38" s="33"/>
      <c r="I38" s="8"/>
      <c r="J38" s="8"/>
      <c r="K38" s="8"/>
    </row>
    <row r="39" spans="1:12" ht="0.75" customHeight="1">
      <c r="A39" s="146"/>
      <c r="B39" s="228" t="s">
        <v>129</v>
      </c>
      <c r="C39" s="229"/>
      <c r="D39" s="229"/>
      <c r="E39" s="229"/>
      <c r="F39" s="229"/>
      <c r="G39" s="230"/>
      <c r="H39" s="48"/>
      <c r="I39" s="8"/>
    </row>
    <row r="40" spans="1:12" ht="20.25" hidden="1" customHeight="1">
      <c r="A40" s="141">
        <v>16</v>
      </c>
      <c r="B40" s="143" t="s">
        <v>39</v>
      </c>
      <c r="C40" s="144" t="s">
        <v>34</v>
      </c>
      <c r="D40" s="139" t="s">
        <v>75</v>
      </c>
      <c r="E40" s="140" t="e">
        <f>#REF!+#REF!+#REF!+#REF!+#REF!+#REF!+'12.16'!E36+#REF!+#REF!+#REF!+#REF!+#REF!</f>
        <v>#REF!</v>
      </c>
      <c r="F40" s="145">
        <v>1098.72</v>
      </c>
      <c r="G40" s="142" t="e">
        <f>#REF!+#REF!+#REF!+#REF!+#REF!+#REF!+'12.16'!G36+#REF!+#REF!+#REF!+#REF!+#REF!</f>
        <v>#REF!</v>
      </c>
      <c r="H40" s="34"/>
    </row>
    <row r="41" spans="1:12" ht="22.5" hidden="1" customHeight="1">
      <c r="A41" s="141">
        <v>17</v>
      </c>
      <c r="B41" s="143" t="s">
        <v>40</v>
      </c>
      <c r="C41" s="144" t="s">
        <v>41</v>
      </c>
      <c r="D41" s="139" t="s">
        <v>75</v>
      </c>
      <c r="E41" s="140" t="e">
        <f>#REF!+#REF!+#REF!+#REF!+#REF!+#REF!+'12.16'!E37+#REF!+#REF!+#REF!+#REF!+#REF!</f>
        <v>#REF!</v>
      </c>
      <c r="F41" s="145">
        <v>94.18</v>
      </c>
      <c r="G41" s="142" t="e">
        <f>#REF!+#REF!+#REF!+#REF!+#REF!+#REF!+'12.16'!G36+#REF!+#REF!+#REF!+#REF!+#REF!</f>
        <v>#REF!</v>
      </c>
      <c r="H41" s="34"/>
    </row>
    <row r="42" spans="1:12" ht="25.5" hidden="1" customHeight="1">
      <c r="A42" s="141">
        <v>18</v>
      </c>
      <c r="B42" s="143" t="s">
        <v>42</v>
      </c>
      <c r="C42" s="144" t="s">
        <v>34</v>
      </c>
      <c r="D42" s="139" t="s">
        <v>75</v>
      </c>
      <c r="E42" s="140" t="e">
        <f>#REF!+#REF!+#REF!+#REF!+#REF!+#REF!+'12.16'!E38+#REF!+#REF!+#REF!+#REF!+#REF!</f>
        <v>#REF!</v>
      </c>
      <c r="F42" s="145">
        <v>749.49</v>
      </c>
      <c r="G42" s="142" t="e">
        <f>#REF!+#REF!+#REF!+#REF!+#REF!+#REF!+'12.16'!G37+#REF!+#REF!+#REF!+#REF!+#REF!</f>
        <v>#REF!</v>
      </c>
      <c r="H42" s="34"/>
    </row>
    <row r="43" spans="1:12" ht="20.25" hidden="1" customHeight="1">
      <c r="A43" s="141">
        <v>19</v>
      </c>
      <c r="B43" s="143" t="s">
        <v>43</v>
      </c>
      <c r="C43" s="144" t="s">
        <v>34</v>
      </c>
      <c r="D43" s="139" t="s">
        <v>75</v>
      </c>
      <c r="E43" s="140" t="e">
        <f>#REF!+#REF!+#REF!+#REF!+#REF!+#REF!+'12.16'!E39+#REF!+#REF!+#REF!+#REF!+#REF!</f>
        <v>#REF!</v>
      </c>
      <c r="F43" s="145">
        <v>749.49</v>
      </c>
      <c r="G43" s="142" t="e">
        <f>#REF!+#REF!+#REF!+#REF!+#REF!+#REF!+'12.16'!G39+#REF!+#REF!+#REF!+#REF!+#REF!</f>
        <v>#REF!</v>
      </c>
      <c r="H43" s="34"/>
    </row>
    <row r="44" spans="1:12" ht="21.75" hidden="1" customHeight="1">
      <c r="A44" s="141">
        <v>20</v>
      </c>
      <c r="B44" s="143" t="s">
        <v>44</v>
      </c>
      <c r="C44" s="144" t="s">
        <v>34</v>
      </c>
      <c r="D44" s="139" t="s">
        <v>75</v>
      </c>
      <c r="E44" s="140" t="e">
        <f>#REF!+#REF!+#REF!+#REF!+#REF!+#REF!+'12.16'!E40+#REF!+#REF!+#REF!+#REF!+#REF!</f>
        <v>#REF!</v>
      </c>
      <c r="F44" s="145">
        <v>784.8</v>
      </c>
      <c r="G44" s="142" t="e">
        <f>#REF!+#REF!+#REF!+#REF!+#REF!+#REF!+'12.16'!G40+#REF!+#REF!+#REF!+#REF!+#REF!</f>
        <v>#REF!</v>
      </c>
      <c r="H44" s="34"/>
    </row>
    <row r="45" spans="1:12" ht="19.5" hidden="1" customHeight="1">
      <c r="A45" s="141">
        <v>21</v>
      </c>
      <c r="B45" s="143" t="s">
        <v>70</v>
      </c>
      <c r="C45" s="144" t="s">
        <v>34</v>
      </c>
      <c r="D45" s="139" t="s">
        <v>75</v>
      </c>
      <c r="E45" s="140" t="e">
        <f>#REF!+#REF!+#REF!+#REF!+#REF!+#REF!+'12.16'!E41+#REF!+#REF!+#REF!+#REF!+#REF!</f>
        <v>#REF!</v>
      </c>
      <c r="F45" s="145">
        <v>1599.61</v>
      </c>
      <c r="G45" s="142" t="e">
        <f>#REF!+#REF!+#REF!+#REF!+#REF!+#REF!+'12.16'!G41+#REF!+#REF!+#REF!+#REF!+#REF!</f>
        <v>#REF!</v>
      </c>
      <c r="H45" s="34"/>
    </row>
    <row r="46" spans="1:12" ht="22.5" hidden="1" customHeight="1">
      <c r="A46" s="141">
        <v>22</v>
      </c>
      <c r="B46" s="143" t="s">
        <v>45</v>
      </c>
      <c r="C46" s="144" t="s">
        <v>34</v>
      </c>
      <c r="D46" s="139" t="s">
        <v>75</v>
      </c>
      <c r="E46" s="140" t="e">
        <f>#REF!+#REF!+#REF!+#REF!+#REF!+#REF!+'12.16'!E42+#REF!+#REF!+#REF!+#REF!+#REF!</f>
        <v>#REF!</v>
      </c>
      <c r="F46" s="145">
        <v>1599.61</v>
      </c>
      <c r="G46" s="142" t="e">
        <f>#REF!+#REF!+#REF!+#REF!+#REF!+#REF!+'12.16'!G42+#REF!+#REF!+#REF!+#REF!+#REF!</f>
        <v>#REF!</v>
      </c>
      <c r="H46" s="34"/>
    </row>
    <row r="47" spans="1:12" ht="24" hidden="1" customHeight="1">
      <c r="A47" s="141">
        <v>23</v>
      </c>
      <c r="B47" s="143" t="s">
        <v>46</v>
      </c>
      <c r="C47" s="144" t="s">
        <v>47</v>
      </c>
      <c r="D47" s="139" t="s">
        <v>75</v>
      </c>
      <c r="E47" s="140" t="e">
        <f>#REF!+#REF!+#REF!+#REF!+#REF!+#REF!+'12.16'!E43+#REF!+#REF!+#REF!+#REF!+#REF!</f>
        <v>#REF!</v>
      </c>
      <c r="F47" s="145">
        <v>3599.1</v>
      </c>
      <c r="G47" s="142" t="e">
        <f>#REF!+#REF!+#REF!+#REF!+#REF!+#REF!+'12.16'!G43+#REF!+#REF!+#REF!+#REF!+#REF!</f>
        <v>#REF!</v>
      </c>
      <c r="H47" s="34"/>
      <c r="J47" s="27"/>
      <c r="K47" s="28"/>
      <c r="L47" s="29"/>
    </row>
    <row r="48" spans="1:12" ht="25.5" hidden="1" customHeight="1">
      <c r="A48" s="141">
        <v>24</v>
      </c>
      <c r="B48" s="143" t="s">
        <v>48</v>
      </c>
      <c r="C48" s="144" t="s">
        <v>49</v>
      </c>
      <c r="D48" s="139" t="s">
        <v>75</v>
      </c>
      <c r="E48" s="140" t="e">
        <f>#REF!+#REF!+#REF!+#REF!+#REF!+#REF!+'12.16'!E44+#REF!+#REF!+#REF!+#REF!+#REF!</f>
        <v>#REF!</v>
      </c>
      <c r="F48" s="145">
        <v>7450.14</v>
      </c>
      <c r="G48" s="142" t="e">
        <f>#REF!+#REF!+#REF!+#REF!+#REF!+#REF!+'12.16'!G44+#REF!+#REF!+#REF!+#REF!+#REF!</f>
        <v>#REF!</v>
      </c>
      <c r="H48" s="34"/>
      <c r="J48" s="27"/>
      <c r="K48" s="28"/>
      <c r="L48" s="29"/>
    </row>
    <row r="49" spans="1:12" ht="24" hidden="1" customHeight="1">
      <c r="A49" s="141">
        <v>25</v>
      </c>
      <c r="B49" s="147" t="s">
        <v>50</v>
      </c>
      <c r="C49" s="148" t="s">
        <v>36</v>
      </c>
      <c r="D49" s="149" t="s">
        <v>51</v>
      </c>
      <c r="E49" s="140">
        <v>32</v>
      </c>
      <c r="F49" s="145">
        <v>158.66</v>
      </c>
      <c r="G49" s="142">
        <f>E49*F49</f>
        <v>5077.12</v>
      </c>
      <c r="H49" s="34"/>
      <c r="J49" s="27"/>
      <c r="K49" s="28"/>
      <c r="L49" s="29"/>
    </row>
    <row r="50" spans="1:12" ht="22.5" hidden="1" customHeight="1">
      <c r="A50" s="141">
        <v>26</v>
      </c>
      <c r="B50" s="143" t="s">
        <v>52</v>
      </c>
      <c r="C50" s="148" t="s">
        <v>36</v>
      </c>
      <c r="D50" s="139" t="s">
        <v>53</v>
      </c>
      <c r="E50" s="140">
        <v>32</v>
      </c>
      <c r="F50" s="145">
        <v>73.84</v>
      </c>
      <c r="G50" s="142">
        <f>E50*F50</f>
        <v>2362.88</v>
      </c>
      <c r="H50" s="34"/>
      <c r="J50" s="27"/>
      <c r="K50" s="28"/>
      <c r="L50" s="29"/>
    </row>
    <row r="51" spans="1:12" ht="21.75" hidden="1" customHeight="1">
      <c r="A51" s="150"/>
      <c r="B51" s="228" t="s">
        <v>130</v>
      </c>
      <c r="C51" s="229"/>
      <c r="D51" s="229"/>
      <c r="E51" s="229"/>
      <c r="F51" s="229"/>
      <c r="G51" s="230"/>
      <c r="H51" s="49"/>
      <c r="J51" s="27"/>
      <c r="K51" s="28"/>
      <c r="L51" s="29"/>
    </row>
    <row r="52" spans="1:12" ht="18.75" customHeight="1">
      <c r="A52" s="146"/>
      <c r="B52" s="100" t="s">
        <v>54</v>
      </c>
      <c r="C52" s="144"/>
      <c r="D52" s="151"/>
      <c r="E52" s="140"/>
      <c r="F52" s="152"/>
      <c r="G52" s="142"/>
      <c r="H52" s="34"/>
      <c r="J52" s="27"/>
      <c r="K52" s="28"/>
      <c r="L52" s="29"/>
    </row>
    <row r="53" spans="1:12" ht="52.5" customHeight="1">
      <c r="A53" s="82">
        <v>16</v>
      </c>
      <c r="B53" s="157" t="s">
        <v>133</v>
      </c>
      <c r="C53" s="90" t="s">
        <v>65</v>
      </c>
      <c r="D53" s="88" t="s">
        <v>35</v>
      </c>
      <c r="E53" s="86" t="e">
        <f>#REF!+#REF!+#REF!+#REF!+#REF!+#REF!+'12.16'!E51+#REF!+#REF!+#REF!+#REF!+#REF!</f>
        <v>#REF!</v>
      </c>
      <c r="F53" s="99">
        <v>1547.28</v>
      </c>
      <c r="G53" s="86">
        <v>2526.71</v>
      </c>
      <c r="H53" s="34"/>
      <c r="J53" s="27"/>
      <c r="K53" s="28"/>
      <c r="L53" s="29"/>
    </row>
    <row r="54" spans="1:12" ht="0.75" hidden="1" customHeight="1">
      <c r="A54" s="161">
        <v>10</v>
      </c>
      <c r="B54" s="93" t="s">
        <v>140</v>
      </c>
      <c r="C54" s="94" t="s">
        <v>65</v>
      </c>
      <c r="D54" s="95" t="s">
        <v>141</v>
      </c>
      <c r="E54" s="126"/>
      <c r="F54" s="84">
        <v>1654.04</v>
      </c>
      <c r="G54" s="162">
        <v>24.83</v>
      </c>
      <c r="H54" s="34"/>
      <c r="J54" s="27"/>
      <c r="K54" s="28"/>
      <c r="L54" s="29"/>
    </row>
    <row r="55" spans="1:12" ht="19.5" customHeight="1">
      <c r="A55" s="82"/>
      <c r="B55" s="100" t="s">
        <v>55</v>
      </c>
      <c r="C55" s="163"/>
      <c r="D55" s="163"/>
      <c r="E55" s="86"/>
      <c r="F55" s="164"/>
      <c r="G55" s="160"/>
      <c r="H55" s="34"/>
      <c r="J55" s="27"/>
      <c r="K55" s="28"/>
      <c r="L55" s="29"/>
    </row>
    <row r="56" spans="1:12" ht="18.75" customHeight="1">
      <c r="A56" s="82">
        <v>17</v>
      </c>
      <c r="B56" s="165" t="s">
        <v>144</v>
      </c>
      <c r="C56" s="92" t="s">
        <v>67</v>
      </c>
      <c r="D56" s="86" t="s">
        <v>35</v>
      </c>
      <c r="E56" s="86" t="e">
        <f>#REF!+#REF!+#REF!+#REF!+#REF!+#REF!+'12.16'!E53+#REF!+#REF!+#REF!+#REF!+#REF!</f>
        <v>#REF!</v>
      </c>
      <c r="F56" s="86">
        <v>2.6</v>
      </c>
      <c r="G56" s="86">
        <v>663.52</v>
      </c>
      <c r="H56" s="34"/>
      <c r="J56" s="27"/>
      <c r="K56" s="28"/>
      <c r="L56" s="29"/>
    </row>
    <row r="57" spans="1:12" ht="19.5" customHeight="1">
      <c r="A57" s="166"/>
      <c r="B57" s="167" t="s">
        <v>57</v>
      </c>
      <c r="C57" s="92"/>
      <c r="D57" s="86"/>
      <c r="E57" s="86"/>
      <c r="F57" s="86"/>
      <c r="G57" s="86"/>
      <c r="H57" s="34"/>
      <c r="J57" s="27"/>
      <c r="K57" s="28"/>
      <c r="L57" s="29"/>
    </row>
    <row r="58" spans="1:12" ht="20.25" customHeight="1">
      <c r="A58" s="166">
        <v>18</v>
      </c>
      <c r="B58" s="168" t="s">
        <v>58</v>
      </c>
      <c r="C58" s="92" t="s">
        <v>172</v>
      </c>
      <c r="D58" s="84" t="s">
        <v>30</v>
      </c>
      <c r="E58" s="86"/>
      <c r="F58" s="86">
        <v>222.4</v>
      </c>
      <c r="G58" s="86">
        <v>222.4</v>
      </c>
      <c r="H58" s="34"/>
      <c r="J58" s="27"/>
      <c r="K58" s="28"/>
      <c r="L58" s="29"/>
    </row>
    <row r="59" spans="1:12" ht="20.25" customHeight="1">
      <c r="A59" s="146"/>
      <c r="B59" s="167" t="s">
        <v>92</v>
      </c>
      <c r="C59" s="154"/>
      <c r="D59" s="154"/>
      <c r="E59" s="140"/>
      <c r="F59" s="140"/>
      <c r="G59" s="140"/>
      <c r="H59" s="34"/>
      <c r="J59" s="27"/>
      <c r="K59" s="28"/>
      <c r="L59" s="29"/>
    </row>
    <row r="60" spans="1:12" ht="17.25" customHeight="1">
      <c r="A60" s="161">
        <v>19</v>
      </c>
      <c r="B60" s="104" t="s">
        <v>93</v>
      </c>
      <c r="C60" s="155" t="s">
        <v>94</v>
      </c>
      <c r="D60" s="153"/>
      <c r="E60" s="153" t="e">
        <f>#REF!+#REF!+#REF!+#REF!+#REF!+#REF!+'12.16'!E61+#REF!+#REF!+#REF!+#REF!+#REF!</f>
        <v>#REF!</v>
      </c>
      <c r="F60" s="86">
        <v>501.62</v>
      </c>
      <c r="G60" s="86">
        <v>100.32</v>
      </c>
      <c r="H60" s="34"/>
      <c r="J60" s="27"/>
      <c r="K60" s="28"/>
      <c r="L60" s="29"/>
    </row>
    <row r="61" spans="1:12" ht="17.25" customHeight="1">
      <c r="A61" s="161"/>
      <c r="B61" s="231" t="s">
        <v>131</v>
      </c>
      <c r="C61" s="232"/>
      <c r="D61" s="232"/>
      <c r="E61" s="232"/>
      <c r="F61" s="232"/>
      <c r="G61" s="233"/>
      <c r="H61" s="34"/>
      <c r="J61" s="27"/>
      <c r="K61" s="28"/>
      <c r="L61" s="29"/>
    </row>
    <row r="62" spans="1:12" ht="18" customHeight="1">
      <c r="A62" s="161">
        <v>20</v>
      </c>
      <c r="B62" s="169" t="s">
        <v>100</v>
      </c>
      <c r="C62" s="92" t="s">
        <v>67</v>
      </c>
      <c r="D62" s="156" t="s">
        <v>68</v>
      </c>
      <c r="E62" s="165" t="e">
        <f>#REF!+#REF!+#REF!+#REF!+#REF!+#REF!+'12.16'!E65+#REF!+#REF!+#REF!+#REF!+#REF!</f>
        <v>#REF!</v>
      </c>
      <c r="F62" s="156">
        <v>2.1</v>
      </c>
      <c r="G62" s="86">
        <v>6412.14</v>
      </c>
      <c r="H62" s="31">
        <f>G60+G62</f>
        <v>6512.46</v>
      </c>
      <c r="J62" s="27">
        <f>6846.6/3934.8/12</f>
        <v>0.14500101657009251</v>
      </c>
      <c r="K62" s="28"/>
      <c r="L62" s="29"/>
    </row>
    <row r="63" spans="1:12" ht="47.25">
      <c r="A63" s="84">
        <v>21</v>
      </c>
      <c r="B63" s="104" t="s">
        <v>97</v>
      </c>
      <c r="C63" s="90" t="s">
        <v>67</v>
      </c>
      <c r="D63" s="84" t="s">
        <v>68</v>
      </c>
      <c r="E63" s="88"/>
      <c r="F63" s="98">
        <v>1.63</v>
      </c>
      <c r="G63" s="92">
        <v>4977.04</v>
      </c>
      <c r="H63" s="32">
        <f>H30+H39+H51+H62</f>
        <v>6512.46</v>
      </c>
      <c r="J63" s="43"/>
    </row>
    <row r="64" spans="1:12" ht="15.75">
      <c r="A64" s="87"/>
      <c r="B64" s="105" t="s">
        <v>102</v>
      </c>
      <c r="C64" s="82"/>
      <c r="D64" s="88"/>
      <c r="E64" s="88"/>
      <c r="F64" s="86"/>
      <c r="G64" s="106">
        <f>SUM(G18+G19+G20+G21+G22+G25+G28+G29+G32+G33+G35+G36+G37+G38+G53+G56+G58+G60+G62+G63)</f>
        <v>43561.48</v>
      </c>
    </row>
    <row r="65" spans="1:7" ht="36" customHeight="1">
      <c r="A65" s="161"/>
      <c r="B65" s="170" t="s">
        <v>74</v>
      </c>
      <c r="C65" s="170"/>
      <c r="D65" s="170"/>
      <c r="E65" s="88"/>
      <c r="F65" s="86"/>
      <c r="G65" s="86"/>
    </row>
    <row r="66" spans="1:7" ht="18.75" customHeight="1">
      <c r="A66" s="161">
        <v>22</v>
      </c>
      <c r="B66" s="171" t="s">
        <v>181</v>
      </c>
      <c r="C66" s="84" t="s">
        <v>104</v>
      </c>
      <c r="D66" s="170"/>
      <c r="E66" s="84"/>
      <c r="F66" s="86">
        <v>18</v>
      </c>
      <c r="G66" s="86">
        <v>18</v>
      </c>
    </row>
    <row r="67" spans="1:7" ht="33" customHeight="1">
      <c r="A67" s="161">
        <v>23</v>
      </c>
      <c r="B67" s="107" t="s">
        <v>173</v>
      </c>
      <c r="C67" s="159" t="s">
        <v>142</v>
      </c>
      <c r="D67" s="170"/>
      <c r="E67" s="84"/>
      <c r="F67" s="86">
        <v>50.68</v>
      </c>
      <c r="G67" s="86">
        <v>3294.2</v>
      </c>
    </row>
    <row r="68" spans="1:7" ht="33" customHeight="1">
      <c r="A68" s="161">
        <v>24</v>
      </c>
      <c r="B68" s="107" t="s">
        <v>174</v>
      </c>
      <c r="C68" s="159" t="s">
        <v>175</v>
      </c>
      <c r="D68" s="170"/>
      <c r="E68" s="84"/>
      <c r="F68" s="86">
        <v>625.07000000000005</v>
      </c>
      <c r="G68" s="86">
        <v>625.07000000000005</v>
      </c>
    </row>
    <row r="69" spans="1:7" ht="24.75" hidden="1" customHeight="1">
      <c r="A69" s="161">
        <v>11</v>
      </c>
      <c r="B69" s="107" t="s">
        <v>159</v>
      </c>
      <c r="C69" s="159" t="s">
        <v>160</v>
      </c>
      <c r="D69" s="170"/>
      <c r="E69" s="84"/>
      <c r="F69" s="86">
        <v>51.39</v>
      </c>
      <c r="G69" s="86">
        <v>51.39</v>
      </c>
    </row>
    <row r="70" spans="1:7" ht="28.5" hidden="1" customHeight="1">
      <c r="A70" s="161">
        <v>14</v>
      </c>
      <c r="B70" s="171" t="s">
        <v>115</v>
      </c>
      <c r="C70" s="84">
        <v>1</v>
      </c>
      <c r="D70" s="170"/>
      <c r="E70" s="84"/>
      <c r="F70" s="86">
        <v>290.91000000000003</v>
      </c>
      <c r="G70" s="86">
        <v>290.91000000000003</v>
      </c>
    </row>
    <row r="71" spans="1:7" ht="27" hidden="1" customHeight="1">
      <c r="A71" s="161">
        <v>6</v>
      </c>
      <c r="B71" s="107" t="s">
        <v>107</v>
      </c>
      <c r="C71" s="84" t="s">
        <v>36</v>
      </c>
      <c r="D71" s="170"/>
      <c r="E71" s="84"/>
      <c r="F71" s="86">
        <v>180.15</v>
      </c>
      <c r="G71" s="86">
        <v>360.3</v>
      </c>
    </row>
    <row r="72" spans="1:7" ht="26.25" hidden="1" customHeight="1">
      <c r="A72" s="161">
        <v>7</v>
      </c>
      <c r="B72" s="107" t="s">
        <v>154</v>
      </c>
      <c r="C72" s="84" t="s">
        <v>155</v>
      </c>
      <c r="D72" s="170"/>
      <c r="E72" s="84"/>
      <c r="F72" s="86">
        <v>1063.47</v>
      </c>
      <c r="G72" s="86">
        <v>2126.94</v>
      </c>
    </row>
    <row r="73" spans="1:7" ht="37.5" hidden="1" customHeight="1">
      <c r="A73" s="161">
        <v>8</v>
      </c>
      <c r="B73" s="107" t="s">
        <v>134</v>
      </c>
      <c r="C73" s="84" t="s">
        <v>36</v>
      </c>
      <c r="D73" s="170"/>
      <c r="E73" s="84"/>
      <c r="F73" s="86">
        <v>559.62</v>
      </c>
      <c r="G73" s="86">
        <v>559.62</v>
      </c>
    </row>
    <row r="74" spans="1:7" ht="26.25" hidden="1" customHeight="1">
      <c r="A74" s="161">
        <v>9</v>
      </c>
      <c r="B74" s="107" t="s">
        <v>45</v>
      </c>
      <c r="C74" s="84" t="s">
        <v>34</v>
      </c>
      <c r="D74" s="170"/>
      <c r="E74" s="84"/>
      <c r="F74" s="86">
        <v>1510.06</v>
      </c>
      <c r="G74" s="86">
        <v>1.51</v>
      </c>
    </row>
    <row r="75" spans="1:7" ht="25.5" hidden="1" customHeight="1">
      <c r="A75" s="161">
        <v>10</v>
      </c>
      <c r="B75" s="107" t="s">
        <v>156</v>
      </c>
      <c r="C75" s="84" t="s">
        <v>149</v>
      </c>
      <c r="D75" s="170"/>
      <c r="E75" s="84"/>
      <c r="F75" s="86">
        <v>8916.31</v>
      </c>
      <c r="G75" s="86">
        <v>368.24</v>
      </c>
    </row>
    <row r="76" spans="1:7" ht="23.25" hidden="1" customHeight="1">
      <c r="A76" s="161"/>
      <c r="B76" s="107" t="s">
        <v>135</v>
      </c>
      <c r="C76" s="84" t="s">
        <v>104</v>
      </c>
      <c r="D76" s="170"/>
      <c r="E76" s="84"/>
      <c r="F76" s="86">
        <v>1146</v>
      </c>
      <c r="G76" s="86">
        <v>802.2</v>
      </c>
    </row>
    <row r="77" spans="1:7" ht="23.25" hidden="1" customHeight="1">
      <c r="A77" s="161"/>
      <c r="B77" s="107" t="s">
        <v>101</v>
      </c>
      <c r="C77" s="84" t="s">
        <v>36</v>
      </c>
      <c r="D77" s="170"/>
      <c r="E77" s="84"/>
      <c r="F77" s="86">
        <v>79.09</v>
      </c>
      <c r="G77" s="86">
        <v>79.09</v>
      </c>
    </row>
    <row r="78" spans="1:7" ht="19.5" customHeight="1">
      <c r="A78" s="161">
        <v>25</v>
      </c>
      <c r="B78" s="179" t="s">
        <v>145</v>
      </c>
      <c r="C78" s="180" t="s">
        <v>146</v>
      </c>
      <c r="D78" s="170"/>
      <c r="E78" s="84"/>
      <c r="F78" s="92">
        <v>1063.47</v>
      </c>
      <c r="G78" s="86">
        <v>1063.47</v>
      </c>
    </row>
    <row r="79" spans="1:7" ht="21.75" hidden="1" customHeight="1">
      <c r="A79" s="161">
        <v>20</v>
      </c>
      <c r="B79" s="125" t="s">
        <v>114</v>
      </c>
      <c r="C79" s="173" t="s">
        <v>94</v>
      </c>
      <c r="D79" s="170"/>
      <c r="E79" s="84"/>
      <c r="F79" s="92">
        <v>3800</v>
      </c>
      <c r="G79" s="86">
        <v>760</v>
      </c>
    </row>
    <row r="80" spans="1:7" ht="28.5" hidden="1" customHeight="1">
      <c r="A80" s="161">
        <v>23</v>
      </c>
      <c r="B80" s="125" t="s">
        <v>116</v>
      </c>
      <c r="C80" s="159" t="s">
        <v>142</v>
      </c>
      <c r="D80" s="170"/>
      <c r="E80" s="84"/>
      <c r="F80" s="92">
        <v>179.96</v>
      </c>
      <c r="G80" s="181">
        <v>179.96</v>
      </c>
    </row>
    <row r="81" spans="1:20" ht="26.25" hidden="1" customHeight="1">
      <c r="A81" s="161">
        <v>24</v>
      </c>
      <c r="B81" s="107" t="s">
        <v>147</v>
      </c>
      <c r="C81" s="159" t="s">
        <v>104</v>
      </c>
      <c r="D81" s="170"/>
      <c r="E81" s="84"/>
      <c r="F81" s="92">
        <v>1206</v>
      </c>
      <c r="G81" s="86">
        <v>9648</v>
      </c>
    </row>
    <row r="82" spans="1:20" ht="24" hidden="1" customHeight="1">
      <c r="A82" s="161">
        <v>25</v>
      </c>
      <c r="B82" s="107" t="s">
        <v>148</v>
      </c>
      <c r="C82" s="84" t="s">
        <v>149</v>
      </c>
      <c r="D82" s="170"/>
      <c r="E82" s="84"/>
      <c r="F82" s="92">
        <v>19775.830000000002</v>
      </c>
      <c r="G82" s="86">
        <v>395.52</v>
      </c>
    </row>
    <row r="83" spans="1:20" ht="24" hidden="1" customHeight="1">
      <c r="A83" s="161">
        <v>26</v>
      </c>
      <c r="B83" s="107" t="s">
        <v>150</v>
      </c>
      <c r="C83" s="173" t="s">
        <v>151</v>
      </c>
      <c r="D83" s="170"/>
      <c r="E83" s="84"/>
      <c r="F83" s="92">
        <v>2041.36</v>
      </c>
      <c r="G83" s="86">
        <v>2041.36</v>
      </c>
    </row>
    <row r="84" spans="1:20" ht="23.25" hidden="1" customHeight="1">
      <c r="A84" s="161">
        <v>27</v>
      </c>
      <c r="B84" s="125" t="s">
        <v>152</v>
      </c>
      <c r="C84" s="173" t="s">
        <v>142</v>
      </c>
      <c r="D84" s="170"/>
      <c r="E84" s="84"/>
      <c r="F84" s="92">
        <v>154.51</v>
      </c>
      <c r="G84" s="86">
        <v>309.02</v>
      </c>
    </row>
    <row r="85" spans="1:20" ht="24" hidden="1" customHeight="1">
      <c r="A85" s="161">
        <v>28</v>
      </c>
      <c r="B85" s="125" t="s">
        <v>153</v>
      </c>
      <c r="C85" s="173" t="s">
        <v>94</v>
      </c>
      <c r="D85" s="170"/>
      <c r="E85" s="84"/>
      <c r="F85" s="92">
        <v>3800</v>
      </c>
      <c r="G85" s="86">
        <v>760</v>
      </c>
    </row>
    <row r="86" spans="1:20" ht="32.25" customHeight="1">
      <c r="A86" s="161">
        <v>26</v>
      </c>
      <c r="B86" s="107" t="s">
        <v>101</v>
      </c>
      <c r="C86" s="159" t="s">
        <v>142</v>
      </c>
      <c r="D86" s="170"/>
      <c r="E86" s="84"/>
      <c r="F86" s="86">
        <v>79.09</v>
      </c>
      <c r="G86" s="86">
        <v>79.09</v>
      </c>
    </row>
    <row r="87" spans="1:20" ht="50.25" customHeight="1">
      <c r="A87" s="161">
        <v>27</v>
      </c>
      <c r="B87" s="107" t="s">
        <v>111</v>
      </c>
      <c r="C87" s="159" t="s">
        <v>47</v>
      </c>
      <c r="D87" s="170"/>
      <c r="E87" s="84"/>
      <c r="F87" s="86">
        <v>3397.65</v>
      </c>
      <c r="G87" s="86">
        <v>33.979999999999997</v>
      </c>
    </row>
    <row r="88" spans="1:20" ht="19.5" hidden="1" customHeight="1">
      <c r="A88" s="161">
        <v>21</v>
      </c>
      <c r="B88" s="93" t="s">
        <v>143</v>
      </c>
      <c r="C88" s="94" t="s">
        <v>142</v>
      </c>
      <c r="D88" s="170"/>
      <c r="E88" s="88"/>
      <c r="F88" s="172">
        <v>175.6</v>
      </c>
      <c r="G88" s="86">
        <v>0</v>
      </c>
    </row>
    <row r="89" spans="1:20" ht="16.5" customHeight="1">
      <c r="A89" s="84"/>
      <c r="B89" s="158" t="s">
        <v>63</v>
      </c>
      <c r="C89" s="109"/>
      <c r="D89" s="110"/>
      <c r="E89" s="109">
        <v>1</v>
      </c>
      <c r="F89" s="109"/>
      <c r="G89" s="106">
        <f>SUM(G66+G67+G68+G78+G86+G87)</f>
        <v>5113.8099999999995</v>
      </c>
    </row>
    <row r="90" spans="1:20" ht="18" customHeight="1">
      <c r="A90" s="84"/>
      <c r="B90" s="119" t="s">
        <v>98</v>
      </c>
      <c r="C90" s="88"/>
      <c r="D90" s="88"/>
      <c r="E90" s="111"/>
      <c r="F90" s="112"/>
      <c r="G90" s="113">
        <v>0</v>
      </c>
    </row>
    <row r="91" spans="1:20" ht="15.75">
      <c r="A91" s="30"/>
      <c r="B91" s="114" t="s">
        <v>158</v>
      </c>
      <c r="C91" s="101"/>
      <c r="D91" s="101"/>
      <c r="E91" s="101"/>
      <c r="F91" s="101"/>
      <c r="G91" s="115">
        <f>G64+G89</f>
        <v>48675.29</v>
      </c>
    </row>
    <row r="92" spans="1:20" ht="18" customHeight="1">
      <c r="A92" s="219" t="s">
        <v>224</v>
      </c>
      <c r="B92" s="219"/>
      <c r="C92" s="219"/>
      <c r="D92" s="219"/>
      <c r="E92" s="219"/>
      <c r="F92" s="219"/>
      <c r="G92" s="219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9"/>
    </row>
    <row r="93" spans="1:20" ht="18" customHeight="1">
      <c r="A93" s="10" t="s">
        <v>6</v>
      </c>
      <c r="B93" s="221" t="s">
        <v>225</v>
      </c>
      <c r="C93" s="221"/>
      <c r="D93" s="221"/>
      <c r="E93" s="221"/>
      <c r="F93" s="221"/>
      <c r="G93" s="3"/>
      <c r="H93" s="38"/>
      <c r="I93" s="38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20" ht="18.75" customHeight="1">
      <c r="A94" s="178"/>
      <c r="B94" s="242" t="s">
        <v>7</v>
      </c>
      <c r="C94" s="242"/>
      <c r="D94" s="242"/>
      <c r="E94" s="242"/>
      <c r="F94" s="242"/>
      <c r="G94" s="117"/>
      <c r="H94" s="5"/>
      <c r="I94" s="5"/>
      <c r="J94" s="5"/>
      <c r="K94" s="5"/>
      <c r="L94" s="5"/>
      <c r="M94" s="5"/>
      <c r="N94" s="5"/>
      <c r="O94" s="5"/>
      <c r="P94" s="216"/>
      <c r="Q94" s="216"/>
      <c r="R94" s="216"/>
      <c r="S94" s="216"/>
    </row>
    <row r="95" spans="1:20" ht="15" customHeight="1">
      <c r="A95" s="118"/>
      <c r="B95" s="118"/>
      <c r="C95" s="118"/>
      <c r="D95" s="118"/>
      <c r="E95" s="118"/>
      <c r="F95" s="118"/>
      <c r="G95" s="118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</row>
    <row r="96" spans="1:20" ht="15.75">
      <c r="A96" s="217" t="s">
        <v>8</v>
      </c>
      <c r="B96" s="217"/>
      <c r="C96" s="217"/>
      <c r="D96" s="217"/>
      <c r="E96" s="217"/>
      <c r="F96" s="217"/>
      <c r="G96" s="217"/>
    </row>
    <row r="97" spans="1:7" ht="26.25" customHeight="1">
      <c r="A97" s="218" t="s">
        <v>9</v>
      </c>
      <c r="B97" s="218"/>
      <c r="C97" s="218"/>
      <c r="D97" s="218"/>
      <c r="E97" s="218"/>
      <c r="F97" s="218"/>
      <c r="G97" s="218"/>
    </row>
    <row r="98" spans="1:7" ht="15.75">
      <c r="A98" s="219" t="s">
        <v>10</v>
      </c>
      <c r="B98" s="219"/>
      <c r="C98" s="219"/>
      <c r="D98" s="219"/>
      <c r="E98" s="219"/>
      <c r="F98" s="219"/>
      <c r="G98" s="219"/>
    </row>
    <row r="99" spans="1:7" ht="15.75" customHeight="1">
      <c r="A99" s="12"/>
      <c r="B99" s="116"/>
      <c r="C99" s="116"/>
      <c r="D99" s="116"/>
      <c r="E99" s="116"/>
      <c r="F99" s="116"/>
      <c r="G99" s="116"/>
    </row>
    <row r="100" spans="1:7" ht="15.75">
      <c r="A100" s="220" t="s">
        <v>11</v>
      </c>
      <c r="B100" s="220"/>
      <c r="C100" s="220"/>
      <c r="D100" s="220"/>
      <c r="E100" s="220"/>
      <c r="F100" s="220"/>
      <c r="G100" s="220"/>
    </row>
    <row r="101" spans="1:7" ht="15.75">
      <c r="A101" s="4"/>
      <c r="B101" s="116"/>
      <c r="C101" s="116"/>
      <c r="D101" s="116"/>
      <c r="E101" s="116"/>
      <c r="F101" s="116"/>
      <c r="G101" s="116"/>
    </row>
    <row r="102" spans="1:7" ht="15.75">
      <c r="A102" s="219" t="s">
        <v>12</v>
      </c>
      <c r="B102" s="219"/>
      <c r="C102" s="224" t="s">
        <v>136</v>
      </c>
      <c r="D102" s="224"/>
      <c r="E102" s="224"/>
      <c r="G102" s="35"/>
    </row>
    <row r="103" spans="1:7" ht="15.75">
      <c r="A103" s="178"/>
      <c r="B103" s="116"/>
      <c r="C103" s="222" t="s">
        <v>13</v>
      </c>
      <c r="D103" s="222"/>
      <c r="E103" s="222"/>
      <c r="G103" s="36" t="s">
        <v>14</v>
      </c>
    </row>
    <row r="104" spans="1:7" ht="15.75">
      <c r="A104" s="38"/>
      <c r="B104" s="116"/>
      <c r="C104" s="13"/>
      <c r="D104" s="13"/>
      <c r="F104" s="13"/>
    </row>
    <row r="105" spans="1:7" ht="15.75">
      <c r="A105" s="219" t="s">
        <v>15</v>
      </c>
      <c r="B105" s="219"/>
      <c r="C105" s="223"/>
      <c r="D105" s="223"/>
      <c r="E105" s="223"/>
      <c r="G105" s="35"/>
    </row>
    <row r="106" spans="1:7" ht="18" customHeight="1">
      <c r="A106" s="39"/>
      <c r="C106" s="216" t="s">
        <v>13</v>
      </c>
      <c r="D106" s="216"/>
      <c r="E106" s="216"/>
      <c r="G106" s="36" t="s">
        <v>14</v>
      </c>
    </row>
    <row r="107" spans="1:7" ht="17.25" customHeight="1">
      <c r="A107" s="4" t="s">
        <v>16</v>
      </c>
    </row>
    <row r="108" spans="1:7">
      <c r="A108" s="234" t="s">
        <v>17</v>
      </c>
      <c r="B108" s="234"/>
      <c r="C108" s="234"/>
      <c r="D108" s="234"/>
      <c r="E108" s="234"/>
      <c r="F108" s="234"/>
      <c r="G108" s="234"/>
    </row>
    <row r="109" spans="1:7" ht="45" customHeight="1">
      <c r="A109" s="235" t="s">
        <v>18</v>
      </c>
      <c r="B109" s="235"/>
      <c r="C109" s="235"/>
      <c r="D109" s="235"/>
      <c r="E109" s="235"/>
      <c r="F109" s="235"/>
      <c r="G109" s="235"/>
    </row>
    <row r="110" spans="1:7" ht="28.5" customHeight="1">
      <c r="A110" s="235" t="s">
        <v>19</v>
      </c>
      <c r="B110" s="235"/>
      <c r="C110" s="235"/>
      <c r="D110" s="235"/>
      <c r="E110" s="235"/>
      <c r="F110" s="235"/>
      <c r="G110" s="235"/>
    </row>
    <row r="111" spans="1:7" ht="27" customHeight="1">
      <c r="A111" s="235" t="s">
        <v>24</v>
      </c>
      <c r="B111" s="235"/>
      <c r="C111" s="235"/>
      <c r="D111" s="235"/>
      <c r="E111" s="235"/>
      <c r="F111" s="235"/>
      <c r="G111" s="235"/>
    </row>
    <row r="112" spans="1:7" ht="15" customHeight="1">
      <c r="A112" s="235" t="s">
        <v>23</v>
      </c>
      <c r="B112" s="235"/>
      <c r="C112" s="235"/>
      <c r="D112" s="235"/>
      <c r="E112" s="235"/>
      <c r="F112" s="235"/>
      <c r="G112" s="235"/>
    </row>
    <row r="114" spans="1:6" ht="27.75" customHeight="1">
      <c r="A114" s="14" t="s">
        <v>22</v>
      </c>
      <c r="B114" s="14"/>
      <c r="C114" s="14"/>
      <c r="D114" s="14"/>
      <c r="E114" s="14"/>
      <c r="F114" s="14"/>
    </row>
  </sheetData>
  <autoFilter ref="G15:G90"/>
  <mergeCells count="29">
    <mergeCell ref="A108:G108"/>
    <mergeCell ref="A109:G109"/>
    <mergeCell ref="A110:G110"/>
    <mergeCell ref="A111:G111"/>
    <mergeCell ref="A112:G112"/>
    <mergeCell ref="A92:G92"/>
    <mergeCell ref="A17:G17"/>
    <mergeCell ref="A30:G30"/>
    <mergeCell ref="B39:G39"/>
    <mergeCell ref="B51:G51"/>
    <mergeCell ref="B61:G61"/>
    <mergeCell ref="B93:F93"/>
    <mergeCell ref="C103:E103"/>
    <mergeCell ref="A105:B105"/>
    <mergeCell ref="C105:E105"/>
    <mergeCell ref="C106:E106"/>
    <mergeCell ref="B94:F94"/>
    <mergeCell ref="A102:B102"/>
    <mergeCell ref="C102:E102"/>
    <mergeCell ref="P94:S94"/>
    <mergeCell ref="A96:G96"/>
    <mergeCell ref="A97:G97"/>
    <mergeCell ref="A98:G98"/>
    <mergeCell ref="A100:G100"/>
    <mergeCell ref="A4:G4"/>
    <mergeCell ref="A5:G5"/>
    <mergeCell ref="B6:F6"/>
    <mergeCell ref="A10:G10"/>
    <mergeCell ref="A12:G12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T107"/>
  <sheetViews>
    <sheetView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A1" s="41" t="s">
        <v>123</v>
      </c>
      <c r="G1" s="40"/>
      <c r="H1" s="1"/>
      <c r="I1" s="1"/>
      <c r="J1" s="1"/>
      <c r="K1" s="1"/>
    </row>
    <row r="2" spans="1:11" ht="15.75" customHeight="1">
      <c r="A2" s="42" t="s">
        <v>79</v>
      </c>
      <c r="H2" s="2"/>
      <c r="I2" s="2"/>
      <c r="J2" s="2"/>
      <c r="K2" s="2"/>
    </row>
    <row r="3" spans="1:11" ht="15.75" customHeight="1">
      <c r="A3" s="236" t="s">
        <v>183</v>
      </c>
      <c r="B3" s="236"/>
      <c r="C3" s="236"/>
      <c r="D3" s="236"/>
      <c r="E3" s="236"/>
      <c r="F3" s="236"/>
      <c r="G3" s="236"/>
      <c r="H3" s="3"/>
      <c r="I3" s="3"/>
      <c r="J3" s="3"/>
    </row>
    <row r="4" spans="1:11" ht="31.5" customHeight="1">
      <c r="A4" s="237" t="s">
        <v>211</v>
      </c>
      <c r="B4" s="237"/>
      <c r="C4" s="237"/>
      <c r="D4" s="237"/>
      <c r="E4" s="237"/>
      <c r="F4" s="237"/>
      <c r="G4" s="237"/>
    </row>
    <row r="5" spans="1:11" ht="15.75" customHeight="1">
      <c r="A5" s="236" t="s">
        <v>184</v>
      </c>
      <c r="B5" s="238"/>
      <c r="C5" s="238"/>
      <c r="D5" s="238"/>
      <c r="E5" s="238"/>
      <c r="F5" s="238"/>
      <c r="G5" s="238"/>
      <c r="H5" s="2"/>
      <c r="I5" s="2"/>
      <c r="J5" s="2"/>
      <c r="K5" s="2"/>
    </row>
    <row r="6" spans="1:11" ht="15.75" customHeight="1">
      <c r="A6" s="2"/>
      <c r="B6" s="183"/>
      <c r="C6" s="183"/>
      <c r="D6" s="183"/>
      <c r="E6" s="183"/>
      <c r="F6" s="183"/>
      <c r="G6" s="50">
        <v>42735</v>
      </c>
      <c r="H6" s="2"/>
      <c r="I6" s="2"/>
      <c r="J6" s="2"/>
      <c r="K6" s="2"/>
    </row>
    <row r="7" spans="1:11" ht="15.75" customHeight="1">
      <c r="B7" s="185"/>
      <c r="C7" s="185"/>
      <c r="D7" s="185"/>
      <c r="E7" s="3"/>
      <c r="F7" s="3"/>
      <c r="H7" s="3"/>
      <c r="I7" s="3"/>
      <c r="J7" s="3"/>
      <c r="K7" s="3"/>
    </row>
    <row r="8" spans="1:11" ht="78.75" customHeight="1">
      <c r="A8" s="214" t="s">
        <v>226</v>
      </c>
      <c r="B8" s="214"/>
      <c r="C8" s="214"/>
      <c r="D8" s="214"/>
      <c r="E8" s="214"/>
      <c r="F8" s="214"/>
      <c r="G8" s="214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215" t="s">
        <v>212</v>
      </c>
      <c r="B10" s="215"/>
      <c r="C10" s="215"/>
      <c r="D10" s="215"/>
      <c r="E10" s="215"/>
      <c r="F10" s="215"/>
      <c r="G10" s="215"/>
      <c r="H10" s="2"/>
      <c r="I10" s="2"/>
      <c r="J10" s="2"/>
      <c r="K10" s="2"/>
    </row>
    <row r="11" spans="1:11" ht="15.75">
      <c r="A11" s="3"/>
      <c r="B11" s="3"/>
      <c r="C11" s="37"/>
      <c r="D11" s="37"/>
      <c r="E11" s="37"/>
      <c r="F11" s="37"/>
      <c r="G11" s="37"/>
      <c r="H11" s="3"/>
    </row>
    <row r="12" spans="1:11" ht="15.75">
      <c r="A12" s="4"/>
    </row>
    <row r="13" spans="1:11" ht="47.25" customHeight="1">
      <c r="A13" s="6" t="s">
        <v>0</v>
      </c>
      <c r="B13" s="6" t="s">
        <v>1</v>
      </c>
      <c r="C13" s="6" t="s">
        <v>2</v>
      </c>
      <c r="D13" s="6" t="s">
        <v>20</v>
      </c>
      <c r="E13" s="6" t="s">
        <v>21</v>
      </c>
      <c r="F13" s="6" t="s">
        <v>25</v>
      </c>
      <c r="G13" s="6" t="s">
        <v>3</v>
      </c>
    </row>
    <row r="14" spans="1:11">
      <c r="A14" s="7">
        <v>1</v>
      </c>
      <c r="B14" s="7">
        <v>2</v>
      </c>
      <c r="C14" s="7">
        <v>3</v>
      </c>
      <c r="D14" s="7">
        <v>4</v>
      </c>
      <c r="E14" s="7">
        <v>5</v>
      </c>
      <c r="F14" s="7">
        <v>5</v>
      </c>
      <c r="G14" s="7">
        <v>6</v>
      </c>
      <c r="H14" s="8"/>
      <c r="I14" s="8"/>
      <c r="J14" s="8"/>
      <c r="K14" s="8"/>
    </row>
    <row r="15" spans="1:11" ht="15.75" customHeight="1">
      <c r="A15" s="239" t="s">
        <v>73</v>
      </c>
      <c r="B15" s="239"/>
      <c r="C15" s="239"/>
      <c r="D15" s="239"/>
      <c r="E15" s="239"/>
      <c r="F15" s="239"/>
      <c r="G15" s="239"/>
      <c r="H15" s="8"/>
      <c r="I15" s="8"/>
      <c r="J15" s="8"/>
      <c r="K15" s="8"/>
    </row>
    <row r="16" spans="1:11" ht="15.75" customHeight="1">
      <c r="A16" s="239" t="s">
        <v>4</v>
      </c>
      <c r="B16" s="239"/>
      <c r="C16" s="239"/>
      <c r="D16" s="239"/>
      <c r="E16" s="239"/>
      <c r="F16" s="239"/>
      <c r="G16" s="239"/>
      <c r="H16" s="8"/>
      <c r="I16" s="8"/>
      <c r="J16" s="8"/>
      <c r="K16" s="8"/>
    </row>
    <row r="17" spans="1:11" ht="15.75" customHeight="1">
      <c r="A17" s="46">
        <v>1</v>
      </c>
      <c r="B17" s="55" t="s">
        <v>125</v>
      </c>
      <c r="C17" s="69" t="s">
        <v>163</v>
      </c>
      <c r="D17" s="55" t="s">
        <v>213</v>
      </c>
      <c r="E17" s="188"/>
      <c r="F17" s="54">
        <v>175.38</v>
      </c>
      <c r="G17" s="189">
        <v>2108.94</v>
      </c>
      <c r="H17" s="8"/>
      <c r="I17" s="8"/>
      <c r="J17" s="8"/>
      <c r="K17" s="8"/>
    </row>
    <row r="18" spans="1:11" ht="15.75" customHeight="1">
      <c r="A18" s="46">
        <v>2</v>
      </c>
      <c r="B18" s="55" t="s">
        <v>185</v>
      </c>
      <c r="C18" s="69" t="s">
        <v>163</v>
      </c>
      <c r="D18" s="55" t="s">
        <v>214</v>
      </c>
      <c r="E18" s="188"/>
      <c r="F18" s="54">
        <v>175.38</v>
      </c>
      <c r="G18" s="189">
        <v>4389.6400000000003</v>
      </c>
      <c r="H18" s="33"/>
      <c r="I18" s="8"/>
      <c r="J18" s="8"/>
      <c r="K18" s="8"/>
    </row>
    <row r="19" spans="1:11" ht="15.75" customHeight="1">
      <c r="A19" s="46">
        <v>3</v>
      </c>
      <c r="B19" s="55" t="s">
        <v>186</v>
      </c>
      <c r="C19" s="69" t="s">
        <v>163</v>
      </c>
      <c r="D19" s="55" t="s">
        <v>35</v>
      </c>
      <c r="E19" s="188"/>
      <c r="F19" s="54">
        <v>504.5</v>
      </c>
      <c r="G19" s="189">
        <v>1923.66</v>
      </c>
      <c r="H19" s="33"/>
      <c r="I19" s="8"/>
      <c r="J19" s="8"/>
      <c r="K19" s="8"/>
    </row>
    <row r="20" spans="1:11" ht="15.75" hidden="1" customHeight="1">
      <c r="A20" s="46"/>
      <c r="B20" s="55" t="s">
        <v>187</v>
      </c>
      <c r="C20" s="69" t="s">
        <v>188</v>
      </c>
      <c r="D20" s="55" t="s">
        <v>189</v>
      </c>
      <c r="E20" s="188"/>
      <c r="F20" s="54">
        <v>170.16</v>
      </c>
      <c r="G20" s="189">
        <v>0</v>
      </c>
      <c r="H20" s="33"/>
      <c r="I20" s="8"/>
      <c r="J20" s="8"/>
      <c r="K20" s="8"/>
    </row>
    <row r="21" spans="1:11" ht="15.75" customHeight="1">
      <c r="A21" s="46">
        <v>4</v>
      </c>
      <c r="B21" s="55" t="s">
        <v>162</v>
      </c>
      <c r="C21" s="69" t="s">
        <v>163</v>
      </c>
      <c r="D21" s="55" t="s">
        <v>35</v>
      </c>
      <c r="E21" s="188"/>
      <c r="F21" s="54">
        <v>217.88</v>
      </c>
      <c r="G21" s="189">
        <v>59.48</v>
      </c>
      <c r="H21" s="33"/>
      <c r="I21" s="8"/>
      <c r="J21" s="8"/>
      <c r="K21" s="8"/>
    </row>
    <row r="22" spans="1:11" ht="15.75" customHeight="1">
      <c r="A22" s="46">
        <v>5</v>
      </c>
      <c r="B22" s="55" t="s">
        <v>178</v>
      </c>
      <c r="C22" s="69" t="s">
        <v>163</v>
      </c>
      <c r="D22" s="55" t="s">
        <v>35</v>
      </c>
      <c r="E22" s="188"/>
      <c r="F22" s="54">
        <v>216.12</v>
      </c>
      <c r="G22" s="189">
        <v>19.62</v>
      </c>
      <c r="H22" s="33"/>
      <c r="I22" s="8"/>
      <c r="J22" s="8"/>
      <c r="K22" s="8"/>
    </row>
    <row r="23" spans="1:11" ht="15.75" hidden="1" customHeight="1">
      <c r="A23" s="46">
        <v>6</v>
      </c>
      <c r="B23" s="55" t="s">
        <v>166</v>
      </c>
      <c r="C23" s="69" t="s">
        <v>65</v>
      </c>
      <c r="D23" s="55" t="s">
        <v>189</v>
      </c>
      <c r="E23" s="188"/>
      <c r="F23" s="54">
        <v>44.29</v>
      </c>
      <c r="G23" s="189">
        <v>0</v>
      </c>
      <c r="H23" s="33"/>
      <c r="I23" s="8"/>
      <c r="J23" s="8"/>
      <c r="K23" s="8"/>
    </row>
    <row r="24" spans="1:11" ht="15.75" customHeight="1">
      <c r="A24" s="46">
        <v>6</v>
      </c>
      <c r="B24" s="55" t="s">
        <v>168</v>
      </c>
      <c r="C24" s="69" t="s">
        <v>65</v>
      </c>
      <c r="D24" s="55" t="s">
        <v>169</v>
      </c>
      <c r="E24" s="188"/>
      <c r="F24" s="54">
        <v>389.72</v>
      </c>
      <c r="G24" s="189">
        <v>77.94</v>
      </c>
      <c r="H24" s="33"/>
      <c r="I24" s="8"/>
      <c r="J24" s="8"/>
      <c r="K24" s="8"/>
    </row>
    <row r="25" spans="1:11" ht="15.75" hidden="1" customHeight="1">
      <c r="A25" s="46">
        <v>8</v>
      </c>
      <c r="B25" s="55" t="s">
        <v>170</v>
      </c>
      <c r="C25" s="69" t="s">
        <v>65</v>
      </c>
      <c r="D25" s="55" t="s">
        <v>189</v>
      </c>
      <c r="E25" s="188"/>
      <c r="F25" s="54">
        <v>520.79999999999995</v>
      </c>
      <c r="G25" s="189">
        <v>0</v>
      </c>
      <c r="H25" s="33"/>
      <c r="I25" s="8"/>
      <c r="J25" s="8"/>
      <c r="K25" s="8"/>
    </row>
    <row r="26" spans="1:11" ht="15.75" customHeight="1">
      <c r="A26" s="70">
        <v>7</v>
      </c>
      <c r="B26" s="55" t="s">
        <v>81</v>
      </c>
      <c r="C26" s="69" t="s">
        <v>38</v>
      </c>
      <c r="D26" s="55" t="s">
        <v>119</v>
      </c>
      <c r="E26" s="24"/>
      <c r="F26" s="54">
        <v>147.03</v>
      </c>
      <c r="G26" s="189">
        <v>447.22</v>
      </c>
      <c r="H26" s="33"/>
      <c r="I26" s="8"/>
      <c r="J26" s="8"/>
      <c r="K26" s="8"/>
    </row>
    <row r="27" spans="1:11" ht="15.75" customHeight="1">
      <c r="A27" s="70">
        <v>8</v>
      </c>
      <c r="B27" s="15" t="s">
        <v>26</v>
      </c>
      <c r="C27" s="16" t="s">
        <v>27</v>
      </c>
      <c r="D27" s="46"/>
      <c r="E27" s="24">
        <v>506.1</v>
      </c>
      <c r="F27" s="54">
        <v>4.55</v>
      </c>
      <c r="G27" s="189">
        <v>13892.97</v>
      </c>
      <c r="H27" s="33"/>
      <c r="I27" s="8"/>
      <c r="J27" s="8"/>
      <c r="K27" s="8"/>
    </row>
    <row r="28" spans="1:11" ht="15.75" customHeight="1">
      <c r="A28" s="239" t="s">
        <v>120</v>
      </c>
      <c r="B28" s="239"/>
      <c r="C28" s="239"/>
      <c r="D28" s="239"/>
      <c r="E28" s="239"/>
      <c r="F28" s="239"/>
      <c r="G28" s="239"/>
      <c r="H28" s="33"/>
      <c r="I28" s="8"/>
      <c r="J28" s="8"/>
      <c r="K28" s="8"/>
    </row>
    <row r="29" spans="1:11" ht="15.75" hidden="1" customHeight="1">
      <c r="A29" s="70"/>
      <c r="B29" s="80" t="s">
        <v>33</v>
      </c>
      <c r="C29" s="80"/>
      <c r="D29" s="80"/>
      <c r="E29" s="80"/>
      <c r="F29" s="80"/>
      <c r="G29" s="25"/>
      <c r="H29" s="33"/>
      <c r="I29" s="8"/>
      <c r="J29" s="8"/>
      <c r="K29" s="8"/>
    </row>
    <row r="30" spans="1:11" ht="15.75" hidden="1" customHeight="1">
      <c r="A30" s="70">
        <v>2</v>
      </c>
      <c r="B30" s="55" t="s">
        <v>190</v>
      </c>
      <c r="C30" s="69" t="s">
        <v>191</v>
      </c>
      <c r="D30" s="55" t="s">
        <v>215</v>
      </c>
      <c r="E30" s="19">
        <v>2.31</v>
      </c>
      <c r="F30" s="54">
        <v>155.88999999999999</v>
      </c>
      <c r="G30" s="18">
        <v>0</v>
      </c>
      <c r="H30" s="33"/>
      <c r="I30" s="8"/>
      <c r="J30" s="8"/>
      <c r="K30" s="8"/>
    </row>
    <row r="31" spans="1:11" ht="31.5" hidden="1" customHeight="1">
      <c r="A31" s="70">
        <v>3</v>
      </c>
      <c r="B31" s="55" t="s">
        <v>192</v>
      </c>
      <c r="C31" s="69" t="s">
        <v>191</v>
      </c>
      <c r="D31" s="55" t="s">
        <v>216</v>
      </c>
      <c r="E31" s="18">
        <f>0.0024*3*4.5</f>
        <v>3.2399999999999998E-2</v>
      </c>
      <c r="F31" s="54">
        <v>258.63</v>
      </c>
      <c r="G31" s="25">
        <v>0</v>
      </c>
      <c r="H31" s="33"/>
      <c r="I31" s="8"/>
      <c r="J31" s="8"/>
      <c r="K31" s="8"/>
    </row>
    <row r="32" spans="1:11" ht="15.75" hidden="1" customHeight="1">
      <c r="A32" s="70">
        <v>4</v>
      </c>
      <c r="B32" s="55" t="s">
        <v>32</v>
      </c>
      <c r="C32" s="69" t="s">
        <v>191</v>
      </c>
      <c r="D32" s="55" t="s">
        <v>66</v>
      </c>
      <c r="E32" s="23">
        <v>0</v>
      </c>
      <c r="F32" s="54">
        <v>3020.33</v>
      </c>
      <c r="G32" s="25">
        <v>0</v>
      </c>
      <c r="H32" s="33"/>
      <c r="I32" s="8"/>
      <c r="J32" s="8"/>
      <c r="K32" s="8"/>
    </row>
    <row r="33" spans="1:12" ht="15.75" hidden="1" customHeight="1">
      <c r="A33" s="70">
        <v>5</v>
      </c>
      <c r="B33" s="55" t="s">
        <v>193</v>
      </c>
      <c r="C33" s="69" t="s">
        <v>36</v>
      </c>
      <c r="D33" s="55" t="s">
        <v>80</v>
      </c>
      <c r="E33" s="23">
        <v>0</v>
      </c>
      <c r="F33" s="54">
        <v>56.69</v>
      </c>
      <c r="G33" s="25">
        <v>0</v>
      </c>
      <c r="H33" s="33"/>
      <c r="I33" s="8"/>
      <c r="J33" s="8"/>
      <c r="K33" s="8"/>
    </row>
    <row r="34" spans="1:12" ht="15.75" hidden="1" customHeight="1">
      <c r="A34" s="70">
        <v>4</v>
      </c>
      <c r="B34" s="55" t="s">
        <v>82</v>
      </c>
      <c r="C34" s="69" t="s">
        <v>38</v>
      </c>
      <c r="D34" s="55" t="s">
        <v>84</v>
      </c>
      <c r="E34" s="18">
        <v>3.75</v>
      </c>
      <c r="F34" s="54">
        <v>191.32</v>
      </c>
      <c r="G34" s="18">
        <v>0</v>
      </c>
      <c r="H34" s="33"/>
      <c r="I34" s="8"/>
      <c r="J34" s="8"/>
      <c r="K34" s="8"/>
    </row>
    <row r="35" spans="1:12" ht="15.75" hidden="1" customHeight="1">
      <c r="A35" s="46">
        <v>8</v>
      </c>
      <c r="B35" s="55" t="s">
        <v>83</v>
      </c>
      <c r="C35" s="69" t="s">
        <v>37</v>
      </c>
      <c r="D35" s="55" t="s">
        <v>84</v>
      </c>
      <c r="E35" s="18"/>
      <c r="F35" s="54">
        <v>1136.33</v>
      </c>
      <c r="G35" s="18">
        <v>0</v>
      </c>
      <c r="H35" s="33"/>
      <c r="I35" s="8"/>
    </row>
    <row r="36" spans="1:12" ht="15.75" customHeight="1">
      <c r="A36" s="70"/>
      <c r="B36" s="78" t="s">
        <v>5</v>
      </c>
      <c r="C36" s="78"/>
      <c r="D36" s="78"/>
      <c r="E36" s="18"/>
      <c r="F36" s="19"/>
      <c r="G36" s="25"/>
      <c r="H36" s="34"/>
    </row>
    <row r="37" spans="1:12" ht="15.75" customHeight="1">
      <c r="A37" s="56">
        <v>9</v>
      </c>
      <c r="B37" s="57" t="s">
        <v>31</v>
      </c>
      <c r="C37" s="69" t="s">
        <v>37</v>
      </c>
      <c r="D37" s="55"/>
      <c r="E37" s="18">
        <v>0</v>
      </c>
      <c r="F37" s="54">
        <v>1527.22</v>
      </c>
      <c r="G37" s="18">
        <v>763.61</v>
      </c>
      <c r="H37" s="34"/>
    </row>
    <row r="38" spans="1:12" ht="15.75" customHeight="1">
      <c r="A38" s="56">
        <v>10</v>
      </c>
      <c r="B38" s="57" t="s">
        <v>194</v>
      </c>
      <c r="C38" s="190" t="s">
        <v>34</v>
      </c>
      <c r="D38" s="57" t="s">
        <v>217</v>
      </c>
      <c r="E38" s="18">
        <v>0</v>
      </c>
      <c r="F38" s="58">
        <v>2102.71</v>
      </c>
      <c r="G38" s="18">
        <v>1441.76</v>
      </c>
      <c r="H38" s="34"/>
    </row>
    <row r="39" spans="1:12" ht="15.75" customHeight="1">
      <c r="A39" s="56">
        <v>11</v>
      </c>
      <c r="B39" s="55" t="s">
        <v>86</v>
      </c>
      <c r="C39" s="69" t="s">
        <v>34</v>
      </c>
      <c r="D39" s="55" t="s">
        <v>218</v>
      </c>
      <c r="E39" s="18"/>
      <c r="F39" s="54">
        <v>350.75</v>
      </c>
      <c r="G39" s="18">
        <v>807.34</v>
      </c>
      <c r="H39" s="34"/>
    </row>
    <row r="40" spans="1:12" ht="47.25" customHeight="1">
      <c r="A40" s="56">
        <v>12</v>
      </c>
      <c r="B40" s="55" t="s">
        <v>112</v>
      </c>
      <c r="C40" s="69" t="s">
        <v>191</v>
      </c>
      <c r="D40" s="55" t="s">
        <v>219</v>
      </c>
      <c r="E40" s="18"/>
      <c r="F40" s="54">
        <v>5803.28</v>
      </c>
      <c r="G40" s="18">
        <v>2321.31</v>
      </c>
      <c r="H40" s="34"/>
    </row>
    <row r="41" spans="1:12" ht="15.75" customHeight="1">
      <c r="A41" s="56">
        <v>13</v>
      </c>
      <c r="B41" s="55" t="s">
        <v>195</v>
      </c>
      <c r="C41" s="69" t="s">
        <v>191</v>
      </c>
      <c r="D41" s="55" t="s">
        <v>87</v>
      </c>
      <c r="E41" s="18"/>
      <c r="F41" s="54">
        <v>428.7</v>
      </c>
      <c r="G41" s="18">
        <v>286.16000000000003</v>
      </c>
      <c r="H41" s="34"/>
    </row>
    <row r="42" spans="1:12" ht="15.75" customHeight="1">
      <c r="A42" s="56">
        <v>14</v>
      </c>
      <c r="B42" s="57" t="s">
        <v>88</v>
      </c>
      <c r="C42" s="190" t="s">
        <v>38</v>
      </c>
      <c r="D42" s="57"/>
      <c r="E42" s="18">
        <v>0</v>
      </c>
      <c r="F42" s="58">
        <v>798</v>
      </c>
      <c r="G42" s="18">
        <v>119.7</v>
      </c>
      <c r="H42" s="34"/>
    </row>
    <row r="43" spans="1:12" ht="15.75" customHeight="1">
      <c r="A43" s="282" t="s">
        <v>255</v>
      </c>
      <c r="B43" s="283"/>
      <c r="C43" s="283"/>
      <c r="D43" s="283"/>
      <c r="E43" s="283"/>
      <c r="F43" s="283"/>
      <c r="G43" s="284"/>
      <c r="H43" s="34"/>
      <c r="J43" s="27"/>
      <c r="K43" s="28"/>
      <c r="L43" s="29"/>
    </row>
    <row r="44" spans="1:12" ht="15.75" hidden="1" customHeight="1">
      <c r="A44" s="70">
        <v>15</v>
      </c>
      <c r="B44" s="55" t="s">
        <v>196</v>
      </c>
      <c r="C44" s="69" t="s">
        <v>191</v>
      </c>
      <c r="D44" s="55" t="s">
        <v>53</v>
      </c>
      <c r="E44" s="25">
        <v>0.42</v>
      </c>
      <c r="F44" s="61">
        <v>809.74</v>
      </c>
      <c r="G44" s="26">
        <v>0</v>
      </c>
      <c r="H44" s="34"/>
      <c r="J44" s="27"/>
      <c r="K44" s="28"/>
      <c r="L44" s="29"/>
    </row>
    <row r="45" spans="1:12" ht="15.75" hidden="1" customHeight="1">
      <c r="A45" s="70">
        <v>16</v>
      </c>
      <c r="B45" s="55" t="s">
        <v>42</v>
      </c>
      <c r="C45" s="69" t="s">
        <v>191</v>
      </c>
      <c r="D45" s="55" t="s">
        <v>53</v>
      </c>
      <c r="E45" s="25">
        <v>1.35</v>
      </c>
      <c r="F45" s="61">
        <v>579.48</v>
      </c>
      <c r="G45" s="26">
        <v>0</v>
      </c>
      <c r="H45" s="34"/>
      <c r="J45" s="27"/>
      <c r="K45" s="28"/>
      <c r="L45" s="29"/>
    </row>
    <row r="46" spans="1:12" ht="15.75" hidden="1" customHeight="1">
      <c r="A46" s="70">
        <v>17</v>
      </c>
      <c r="B46" s="55" t="s">
        <v>43</v>
      </c>
      <c r="C46" s="69" t="s">
        <v>191</v>
      </c>
      <c r="D46" s="55" t="s">
        <v>53</v>
      </c>
      <c r="E46" s="25">
        <v>0.03</v>
      </c>
      <c r="F46" s="61">
        <v>579.48</v>
      </c>
      <c r="G46" s="26">
        <v>0</v>
      </c>
      <c r="H46" s="34"/>
      <c r="J46" s="27"/>
      <c r="K46" s="28"/>
      <c r="L46" s="29"/>
    </row>
    <row r="47" spans="1:12" ht="15.75" hidden="1" customHeight="1">
      <c r="A47" s="70"/>
      <c r="B47" s="55" t="s">
        <v>44</v>
      </c>
      <c r="C47" s="69" t="s">
        <v>191</v>
      </c>
      <c r="D47" s="55" t="s">
        <v>53</v>
      </c>
      <c r="E47" s="25"/>
      <c r="F47" s="61">
        <v>606.77</v>
      </c>
      <c r="G47" s="26"/>
      <c r="H47" s="34"/>
      <c r="J47" s="27"/>
      <c r="K47" s="28"/>
      <c r="L47" s="29"/>
    </row>
    <row r="48" spans="1:12" ht="15.75" hidden="1" customHeight="1">
      <c r="A48" s="70">
        <v>18</v>
      </c>
      <c r="B48" s="55" t="s">
        <v>40</v>
      </c>
      <c r="C48" s="69" t="s">
        <v>41</v>
      </c>
      <c r="D48" s="55" t="s">
        <v>53</v>
      </c>
      <c r="E48" s="25">
        <v>0.33</v>
      </c>
      <c r="F48" s="61">
        <v>72.81</v>
      </c>
      <c r="G48" s="26">
        <v>0</v>
      </c>
      <c r="H48" s="34"/>
      <c r="J48" s="27"/>
      <c r="K48" s="28"/>
      <c r="L48" s="29"/>
    </row>
    <row r="49" spans="1:12" ht="15.75" customHeight="1">
      <c r="A49" s="70">
        <v>15</v>
      </c>
      <c r="B49" s="55" t="s">
        <v>70</v>
      </c>
      <c r="C49" s="69" t="s">
        <v>191</v>
      </c>
      <c r="D49" s="55" t="s">
        <v>197</v>
      </c>
      <c r="E49" s="25">
        <v>0.22</v>
      </c>
      <c r="F49" s="61">
        <v>1213.55</v>
      </c>
      <c r="G49" s="18">
        <v>2097.0100000000002</v>
      </c>
      <c r="H49" s="34"/>
      <c r="J49" s="27"/>
      <c r="K49" s="28"/>
      <c r="L49" s="29"/>
    </row>
    <row r="50" spans="1:12" ht="31.5" customHeight="1">
      <c r="A50" s="70">
        <v>16</v>
      </c>
      <c r="B50" s="55" t="s">
        <v>198</v>
      </c>
      <c r="C50" s="69" t="s">
        <v>191</v>
      </c>
      <c r="D50" s="55" t="s">
        <v>53</v>
      </c>
      <c r="E50" s="25">
        <v>0.22</v>
      </c>
      <c r="F50" s="61">
        <v>1213.55</v>
      </c>
      <c r="G50" s="26">
        <v>838.81</v>
      </c>
      <c r="H50" s="34"/>
      <c r="J50" s="27"/>
      <c r="K50" s="28"/>
      <c r="L50" s="29"/>
    </row>
    <row r="51" spans="1:12" ht="31.5" customHeight="1">
      <c r="A51" s="70">
        <v>17</v>
      </c>
      <c r="B51" s="55" t="s">
        <v>199</v>
      </c>
      <c r="C51" s="69" t="s">
        <v>47</v>
      </c>
      <c r="D51" s="55" t="s">
        <v>53</v>
      </c>
      <c r="E51" s="25">
        <v>0.02</v>
      </c>
      <c r="F51" s="61">
        <v>2730.49</v>
      </c>
      <c r="G51" s="26">
        <v>218.44</v>
      </c>
      <c r="H51" s="34"/>
      <c r="J51" s="27"/>
      <c r="K51" s="28"/>
      <c r="L51" s="29"/>
    </row>
    <row r="52" spans="1:12" ht="15.75" customHeight="1">
      <c r="A52" s="70">
        <v>18</v>
      </c>
      <c r="B52" s="55" t="s">
        <v>48</v>
      </c>
      <c r="C52" s="69" t="s">
        <v>49</v>
      </c>
      <c r="D52" s="55" t="s">
        <v>53</v>
      </c>
      <c r="E52" s="25">
        <v>0.01</v>
      </c>
      <c r="F52" s="61">
        <v>5652.13</v>
      </c>
      <c r="G52" s="26">
        <v>22.61</v>
      </c>
      <c r="H52" s="34"/>
      <c r="J52" s="27"/>
      <c r="K52" s="28"/>
      <c r="L52" s="29"/>
    </row>
    <row r="53" spans="1:12" ht="15.75" hidden="1" customHeight="1">
      <c r="A53" s="70">
        <v>23</v>
      </c>
      <c r="B53" s="55" t="s">
        <v>52</v>
      </c>
      <c r="C53" s="69" t="s">
        <v>142</v>
      </c>
      <c r="D53" s="55" t="s">
        <v>89</v>
      </c>
      <c r="E53" s="25">
        <v>8</v>
      </c>
      <c r="F53" s="62">
        <v>65.67</v>
      </c>
      <c r="G53" s="18">
        <v>0</v>
      </c>
      <c r="H53" s="34"/>
      <c r="J53" s="27"/>
      <c r="K53" s="28"/>
      <c r="L53" s="29"/>
    </row>
    <row r="54" spans="1:12" ht="15.75" customHeight="1">
      <c r="A54" s="282" t="s">
        <v>256</v>
      </c>
      <c r="B54" s="283"/>
      <c r="C54" s="283"/>
      <c r="D54" s="283"/>
      <c r="E54" s="283"/>
      <c r="F54" s="283"/>
      <c r="G54" s="284"/>
      <c r="H54" s="34"/>
      <c r="J54" s="27"/>
      <c r="K54" s="28"/>
      <c r="L54" s="29"/>
    </row>
    <row r="55" spans="1:12" ht="15.75" customHeight="1">
      <c r="A55" s="121"/>
      <c r="B55" s="77" t="s">
        <v>54</v>
      </c>
      <c r="C55" s="22"/>
      <c r="D55" s="21"/>
      <c r="E55" s="21"/>
      <c r="F55" s="46"/>
      <c r="G55" s="25"/>
      <c r="H55" s="34"/>
      <c r="J55" s="27"/>
      <c r="K55" s="28"/>
      <c r="L55" s="29"/>
    </row>
    <row r="56" spans="1:12" ht="31.5" customHeight="1">
      <c r="A56" s="70">
        <v>19</v>
      </c>
      <c r="B56" s="55" t="s">
        <v>200</v>
      </c>
      <c r="C56" s="69" t="s">
        <v>163</v>
      </c>
      <c r="D56" s="55" t="s">
        <v>201</v>
      </c>
      <c r="E56" s="25">
        <v>0</v>
      </c>
      <c r="F56" s="61">
        <v>1547.28</v>
      </c>
      <c r="G56" s="26">
        <v>2526.71</v>
      </c>
      <c r="H56" s="34"/>
      <c r="J56" s="27"/>
      <c r="K56" s="28"/>
      <c r="L56" s="29"/>
    </row>
    <row r="57" spans="1:12" ht="15.75" customHeight="1">
      <c r="A57" s="70"/>
      <c r="B57" s="188" t="s">
        <v>55</v>
      </c>
      <c r="C57" s="188"/>
      <c r="D57" s="188"/>
      <c r="E57" s="188"/>
      <c r="F57" s="188"/>
      <c r="G57" s="60"/>
      <c r="H57" s="34"/>
      <c r="J57" s="27"/>
      <c r="K57" s="28"/>
      <c r="L57" s="29"/>
    </row>
    <row r="58" spans="1:12" ht="15.75" hidden="1" customHeight="1">
      <c r="A58" s="70"/>
      <c r="B58" s="55" t="s">
        <v>56</v>
      </c>
      <c r="C58" s="69" t="s">
        <v>163</v>
      </c>
      <c r="D58" s="55" t="s">
        <v>66</v>
      </c>
      <c r="E58" s="201"/>
      <c r="F58" s="61">
        <v>793.61</v>
      </c>
      <c r="G58" s="203">
        <v>0</v>
      </c>
      <c r="H58" s="34"/>
      <c r="J58" s="27"/>
      <c r="K58" s="28"/>
      <c r="L58" s="29"/>
    </row>
    <row r="59" spans="1:12" ht="15.75" customHeight="1">
      <c r="A59" s="70">
        <v>20</v>
      </c>
      <c r="B59" s="191" t="s">
        <v>144</v>
      </c>
      <c r="C59" s="67" t="s">
        <v>29</v>
      </c>
      <c r="D59" s="192" t="s">
        <v>35</v>
      </c>
      <c r="E59" s="193">
        <v>0</v>
      </c>
      <c r="F59" s="62">
        <v>2.6</v>
      </c>
      <c r="G59" s="26">
        <v>663.52</v>
      </c>
      <c r="H59" s="34"/>
      <c r="J59" s="27"/>
      <c r="K59" s="28"/>
      <c r="L59" s="29"/>
    </row>
    <row r="60" spans="1:12" ht="15.75" hidden="1" customHeight="1">
      <c r="A60" s="70"/>
      <c r="B60" s="188" t="s">
        <v>57</v>
      </c>
      <c r="C60" s="22"/>
      <c r="D60" s="21"/>
      <c r="E60" s="21"/>
      <c r="F60" s="194"/>
      <c r="G60" s="25"/>
      <c r="H60" s="34"/>
      <c r="J60" s="27"/>
      <c r="K60" s="28"/>
      <c r="L60" s="29"/>
    </row>
    <row r="61" spans="1:12" ht="15.75" hidden="1" customHeight="1">
      <c r="A61" s="70">
        <v>23</v>
      </c>
      <c r="B61" s="192" t="s">
        <v>58</v>
      </c>
      <c r="C61" s="65" t="s">
        <v>142</v>
      </c>
      <c r="D61" s="64" t="s">
        <v>84</v>
      </c>
      <c r="E61" s="25">
        <v>0</v>
      </c>
      <c r="F61" s="61">
        <v>222.4</v>
      </c>
      <c r="G61" s="26">
        <v>0</v>
      </c>
      <c r="H61" s="34"/>
      <c r="J61" s="27"/>
      <c r="K61" s="28"/>
      <c r="L61" s="29"/>
    </row>
    <row r="62" spans="1:12" ht="15.75" hidden="1" customHeight="1">
      <c r="A62" s="46">
        <v>29</v>
      </c>
      <c r="B62" s="192" t="s">
        <v>59</v>
      </c>
      <c r="C62" s="65" t="s">
        <v>142</v>
      </c>
      <c r="D62" s="64" t="s">
        <v>84</v>
      </c>
      <c r="E62" s="25">
        <v>0</v>
      </c>
      <c r="F62" s="61">
        <v>76.25</v>
      </c>
      <c r="G62" s="26">
        <v>0</v>
      </c>
      <c r="H62" s="34"/>
      <c r="J62" s="27"/>
      <c r="K62" s="28"/>
      <c r="L62" s="29"/>
    </row>
    <row r="63" spans="1:12" ht="15.75" hidden="1" customHeight="1">
      <c r="A63" s="46">
        <v>8</v>
      </c>
      <c r="B63" s="192" t="s">
        <v>60</v>
      </c>
      <c r="C63" s="67" t="s">
        <v>202</v>
      </c>
      <c r="D63" s="64" t="s">
        <v>66</v>
      </c>
      <c r="E63" s="25">
        <v>13.47</v>
      </c>
      <c r="F63" s="61">
        <v>212.15</v>
      </c>
      <c r="G63" s="25">
        <v>0</v>
      </c>
      <c r="H63" s="34"/>
      <c r="J63" s="27"/>
      <c r="K63" s="28"/>
      <c r="L63" s="29"/>
    </row>
    <row r="64" spans="1:12" ht="15.75" hidden="1" customHeight="1">
      <c r="A64" s="46">
        <v>9</v>
      </c>
      <c r="B64" s="192" t="s">
        <v>61</v>
      </c>
      <c r="C64" s="65" t="s">
        <v>203</v>
      </c>
      <c r="D64" s="64"/>
      <c r="E64" s="25">
        <v>1.35</v>
      </c>
      <c r="F64" s="61">
        <v>165.21</v>
      </c>
      <c r="G64" s="25">
        <v>0</v>
      </c>
      <c r="H64" s="34"/>
      <c r="J64" s="27"/>
      <c r="K64" s="28"/>
      <c r="L64" s="29"/>
    </row>
    <row r="65" spans="1:20" ht="15.75" hidden="1" customHeight="1">
      <c r="A65" s="46">
        <v>10</v>
      </c>
      <c r="B65" s="192" t="s">
        <v>62</v>
      </c>
      <c r="C65" s="65" t="s">
        <v>96</v>
      </c>
      <c r="D65" s="64" t="s">
        <v>66</v>
      </c>
      <c r="E65" s="25">
        <v>0</v>
      </c>
      <c r="F65" s="61">
        <v>2074.63</v>
      </c>
      <c r="G65" s="25">
        <v>0</v>
      </c>
      <c r="H65" s="34"/>
      <c r="J65" s="27"/>
      <c r="K65" s="28"/>
      <c r="L65" s="29"/>
    </row>
    <row r="66" spans="1:20" ht="15.75" hidden="1" customHeight="1">
      <c r="A66" s="46">
        <v>11</v>
      </c>
      <c r="B66" s="122" t="s">
        <v>204</v>
      </c>
      <c r="C66" s="65" t="s">
        <v>38</v>
      </c>
      <c r="D66" s="64"/>
      <c r="E66" s="17">
        <v>0</v>
      </c>
      <c r="F66" s="61">
        <v>45.32</v>
      </c>
      <c r="G66" s="25">
        <v>0</v>
      </c>
      <c r="H66" s="34"/>
      <c r="J66" s="27"/>
    </row>
    <row r="67" spans="1:20" ht="15.75" hidden="1" customHeight="1">
      <c r="A67" s="46">
        <v>12</v>
      </c>
      <c r="B67" s="122" t="s">
        <v>205</v>
      </c>
      <c r="C67" s="65" t="s">
        <v>38</v>
      </c>
      <c r="D67" s="64"/>
      <c r="E67" s="17"/>
      <c r="F67" s="61">
        <v>42.28</v>
      </c>
      <c r="G67" s="25">
        <v>0</v>
      </c>
      <c r="H67" s="34"/>
      <c r="J67" s="27"/>
    </row>
    <row r="68" spans="1:20" ht="15.75" hidden="1" customHeight="1">
      <c r="A68" s="46">
        <v>13</v>
      </c>
      <c r="B68" s="64" t="s">
        <v>71</v>
      </c>
      <c r="C68" s="65" t="s">
        <v>72</v>
      </c>
      <c r="D68" s="64" t="s">
        <v>66</v>
      </c>
      <c r="E68" s="17"/>
      <c r="F68" s="61">
        <v>49.88</v>
      </c>
      <c r="G68" s="25">
        <v>0</v>
      </c>
    </row>
    <row r="69" spans="1:20" ht="15.75" hidden="1" customHeight="1">
      <c r="A69" s="121"/>
      <c r="B69" s="188" t="s">
        <v>206</v>
      </c>
      <c r="C69" s="188"/>
      <c r="D69" s="188"/>
      <c r="E69" s="188"/>
      <c r="F69" s="188"/>
      <c r="G69" s="25"/>
    </row>
    <row r="70" spans="1:20" ht="15.75" hidden="1" customHeight="1">
      <c r="A70" s="46">
        <v>36</v>
      </c>
      <c r="B70" s="195" t="s">
        <v>207</v>
      </c>
      <c r="C70" s="196"/>
      <c r="D70" s="197" t="s">
        <v>66</v>
      </c>
      <c r="E70" s="193">
        <v>0</v>
      </c>
      <c r="F70" s="63">
        <v>11370</v>
      </c>
      <c r="G70" s="25">
        <v>0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9"/>
    </row>
    <row r="71" spans="1:20" ht="15.75" hidden="1" customHeight="1">
      <c r="A71" s="46"/>
      <c r="B71" s="78" t="s">
        <v>92</v>
      </c>
      <c r="C71" s="78"/>
      <c r="D71" s="78"/>
      <c r="E71" s="25"/>
      <c r="F71" s="46"/>
      <c r="G71" s="25"/>
      <c r="H71" s="38"/>
      <c r="I71" s="38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20" ht="15.75" hidden="1" customHeight="1">
      <c r="A72" s="46">
        <v>15</v>
      </c>
      <c r="B72" s="64" t="s">
        <v>93</v>
      </c>
      <c r="C72" s="65" t="s">
        <v>94</v>
      </c>
      <c r="D72" s="64" t="s">
        <v>84</v>
      </c>
      <c r="E72" s="25"/>
      <c r="F72" s="61">
        <v>501.62</v>
      </c>
      <c r="G72" s="25">
        <v>0</v>
      </c>
      <c r="H72" s="3"/>
      <c r="I72" s="3"/>
      <c r="J72" s="3"/>
      <c r="K72" s="3"/>
      <c r="L72" s="3"/>
      <c r="M72" s="3"/>
      <c r="N72" s="3"/>
      <c r="O72" s="3"/>
      <c r="Q72" s="3"/>
      <c r="R72" s="3"/>
      <c r="S72" s="3"/>
    </row>
    <row r="73" spans="1:20" ht="15.75" hidden="1" customHeight="1">
      <c r="A73" s="46"/>
      <c r="B73" s="64" t="s">
        <v>220</v>
      </c>
      <c r="C73" s="65" t="s">
        <v>142</v>
      </c>
      <c r="D73" s="64" t="s">
        <v>84</v>
      </c>
      <c r="E73" s="25"/>
      <c r="F73" s="61">
        <v>852.99</v>
      </c>
      <c r="G73" s="25">
        <v>0</v>
      </c>
      <c r="H73" s="5"/>
      <c r="I73" s="5"/>
      <c r="J73" s="5"/>
      <c r="K73" s="5"/>
      <c r="L73" s="5"/>
      <c r="M73" s="5"/>
      <c r="N73" s="5"/>
      <c r="O73" s="5"/>
      <c r="P73" s="216"/>
      <c r="Q73" s="216"/>
      <c r="R73" s="216"/>
      <c r="S73" s="216"/>
    </row>
    <row r="74" spans="1:20" ht="15.75" hidden="1" customHeight="1">
      <c r="A74" s="46"/>
      <c r="B74" s="79" t="s">
        <v>95</v>
      </c>
      <c r="C74" s="65"/>
      <c r="D74" s="46"/>
      <c r="E74" s="25"/>
      <c r="F74" s="202"/>
      <c r="G74" s="25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1:20" ht="15.75" hidden="1" customHeight="1">
      <c r="A75" s="46">
        <v>39</v>
      </c>
      <c r="B75" s="66" t="s">
        <v>208</v>
      </c>
      <c r="C75" s="67" t="s">
        <v>96</v>
      </c>
      <c r="D75" s="192"/>
      <c r="E75" s="25"/>
      <c r="F75" s="62">
        <v>2759.44</v>
      </c>
      <c r="G75" s="25">
        <v>0</v>
      </c>
    </row>
    <row r="76" spans="1:20" ht="15.75" customHeight="1">
      <c r="A76" s="282" t="s">
        <v>257</v>
      </c>
      <c r="B76" s="283"/>
      <c r="C76" s="283"/>
      <c r="D76" s="283"/>
      <c r="E76" s="283"/>
      <c r="F76" s="283"/>
      <c r="G76" s="284"/>
    </row>
    <row r="77" spans="1:20" ht="15.75" customHeight="1">
      <c r="A77" s="287">
        <v>21</v>
      </c>
      <c r="B77" s="304" t="s">
        <v>209</v>
      </c>
      <c r="C77" s="305" t="s">
        <v>67</v>
      </c>
      <c r="D77" s="299" t="s">
        <v>68</v>
      </c>
      <c r="E77" s="306">
        <v>327.9</v>
      </c>
      <c r="F77" s="307">
        <v>2.1</v>
      </c>
      <c r="G77" s="292">
        <v>6412.14</v>
      </c>
    </row>
    <row r="78" spans="1:20" ht="31.5" customHeight="1">
      <c r="A78" s="46">
        <v>22</v>
      </c>
      <c r="B78" s="64" t="s">
        <v>97</v>
      </c>
      <c r="C78" s="65"/>
      <c r="D78" s="299" t="s">
        <v>68</v>
      </c>
      <c r="E78" s="21"/>
      <c r="F78" s="61">
        <v>1.63</v>
      </c>
      <c r="G78" s="18">
        <v>4977.04</v>
      </c>
    </row>
    <row r="79" spans="1:20" ht="15.75" customHeight="1">
      <c r="A79" s="121"/>
      <c r="B79" s="68" t="s">
        <v>102</v>
      </c>
      <c r="C79" s="70"/>
      <c r="D79" s="21"/>
      <c r="E79" s="21"/>
      <c r="F79" s="25"/>
      <c r="G79" s="53">
        <f>SUM(G17+G18+G19+G21+G22+G24+G26+G27+G37+G38+G39+G40+G41+G42+G49+G50+G51+G52+G56+G59+G77+G78)</f>
        <v>46415.63</v>
      </c>
    </row>
    <row r="80" spans="1:20" ht="15.75" customHeight="1">
      <c r="A80" s="121"/>
      <c r="B80" s="198" t="s">
        <v>74</v>
      </c>
      <c r="C80" s="198"/>
      <c r="D80" s="198"/>
      <c r="E80" s="198"/>
      <c r="F80" s="198"/>
      <c r="G80" s="198"/>
    </row>
    <row r="81" spans="1:7" ht="15.75" customHeight="1">
      <c r="A81" s="46">
        <v>23</v>
      </c>
      <c r="B81" s="199" t="s">
        <v>221</v>
      </c>
      <c r="C81" s="200" t="s">
        <v>175</v>
      </c>
      <c r="D81" s="46">
        <v>1</v>
      </c>
      <c r="E81" s="198"/>
      <c r="F81" s="18">
        <v>625.07000000000005</v>
      </c>
      <c r="G81" s="46">
        <v>625.07000000000005</v>
      </c>
    </row>
    <row r="82" spans="1:7" ht="15.75" customHeight="1">
      <c r="A82" s="46">
        <v>24</v>
      </c>
      <c r="B82" s="199" t="s">
        <v>173</v>
      </c>
      <c r="C82" s="200" t="s">
        <v>142</v>
      </c>
      <c r="D82" s="46">
        <v>65</v>
      </c>
      <c r="E82" s="198"/>
      <c r="F82" s="18">
        <v>50.68</v>
      </c>
      <c r="G82" s="189">
        <v>3294.2</v>
      </c>
    </row>
    <row r="83" spans="1:7" ht="15.75" customHeight="1">
      <c r="A83" s="46"/>
      <c r="B83" s="75" t="s">
        <v>63</v>
      </c>
      <c r="C83" s="71"/>
      <c r="D83" s="123"/>
      <c r="E83" s="71">
        <v>1</v>
      </c>
      <c r="F83" s="71"/>
      <c r="G83" s="53">
        <f>SUM(G81:G82)</f>
        <v>3919.27</v>
      </c>
    </row>
    <row r="84" spans="1:7" ht="15.75" customHeight="1">
      <c r="A84" s="46"/>
      <c r="B84" s="81" t="s">
        <v>98</v>
      </c>
      <c r="C84" s="21"/>
      <c r="D84" s="21"/>
      <c r="E84" s="72"/>
      <c r="F84" s="73"/>
      <c r="G84" s="24">
        <v>0</v>
      </c>
    </row>
    <row r="85" spans="1:7" ht="15.75" customHeight="1">
      <c r="A85" s="124"/>
      <c r="B85" s="76" t="s">
        <v>64</v>
      </c>
      <c r="C85" s="59"/>
      <c r="D85" s="59"/>
      <c r="E85" s="59"/>
      <c r="F85" s="59"/>
      <c r="G85" s="74">
        <f>G79+G83</f>
        <v>50334.899999999994</v>
      </c>
    </row>
    <row r="86" spans="1:7" ht="15.75">
      <c r="A86" s="240" t="s">
        <v>222</v>
      </c>
      <c r="B86" s="240"/>
      <c r="C86" s="240"/>
      <c r="D86" s="240"/>
      <c r="E86" s="240"/>
      <c r="F86" s="240"/>
      <c r="G86" s="240"/>
    </row>
    <row r="87" spans="1:7" ht="15.75">
      <c r="A87" s="187"/>
      <c r="B87" s="241" t="s">
        <v>223</v>
      </c>
      <c r="C87" s="241"/>
      <c r="D87" s="241"/>
      <c r="E87" s="241"/>
      <c r="F87" s="241"/>
      <c r="G87" s="3"/>
    </row>
    <row r="88" spans="1:7">
      <c r="A88" s="182"/>
      <c r="B88" s="222" t="s">
        <v>7</v>
      </c>
      <c r="C88" s="222"/>
      <c r="D88" s="222"/>
      <c r="E88" s="222"/>
      <c r="F88" s="222"/>
      <c r="G88" s="5"/>
    </row>
    <row r="89" spans="1:7" ht="15.75" customHeight="1">
      <c r="A89" s="11"/>
      <c r="B89" s="11"/>
      <c r="C89" s="11"/>
      <c r="D89" s="11"/>
      <c r="E89" s="11"/>
      <c r="F89" s="11"/>
      <c r="G89" s="11"/>
    </row>
    <row r="90" spans="1:7" ht="15.75" customHeight="1">
      <c r="A90" s="217" t="s">
        <v>8</v>
      </c>
      <c r="B90" s="217"/>
      <c r="C90" s="217"/>
      <c r="D90" s="217"/>
      <c r="E90" s="217"/>
      <c r="F90" s="217"/>
      <c r="G90" s="217"/>
    </row>
    <row r="91" spans="1:7" ht="15.75" customHeight="1">
      <c r="A91" s="217" t="s">
        <v>9</v>
      </c>
      <c r="B91" s="217"/>
      <c r="C91" s="217"/>
      <c r="D91" s="217"/>
      <c r="E91" s="217"/>
      <c r="F91" s="217"/>
      <c r="G91" s="217"/>
    </row>
    <row r="92" spans="1:7" ht="15.75" customHeight="1">
      <c r="A92" s="219" t="s">
        <v>76</v>
      </c>
      <c r="B92" s="219"/>
      <c r="C92" s="219"/>
      <c r="D92" s="219"/>
      <c r="E92" s="219"/>
      <c r="F92" s="219"/>
      <c r="G92" s="219"/>
    </row>
    <row r="93" spans="1:7" ht="15.75" customHeight="1">
      <c r="A93" s="12"/>
    </row>
    <row r="94" spans="1:7" ht="15.75" customHeight="1">
      <c r="A94" s="220" t="s">
        <v>11</v>
      </c>
      <c r="B94" s="220"/>
      <c r="C94" s="220"/>
      <c r="D94" s="220"/>
      <c r="E94" s="220"/>
      <c r="F94" s="220"/>
      <c r="G94" s="220"/>
    </row>
    <row r="95" spans="1:7" ht="15.75" customHeight="1">
      <c r="A95" s="4"/>
    </row>
    <row r="96" spans="1:7" ht="15.75" customHeight="1">
      <c r="B96" s="185" t="s">
        <v>12</v>
      </c>
      <c r="C96" s="224" t="s">
        <v>210</v>
      </c>
      <c r="D96" s="224"/>
      <c r="E96" s="224"/>
      <c r="G96" s="186"/>
    </row>
    <row r="97" spans="1:7" ht="15.75" customHeight="1">
      <c r="A97" s="182"/>
      <c r="C97" s="222" t="s">
        <v>13</v>
      </c>
      <c r="D97" s="222"/>
      <c r="E97" s="222"/>
      <c r="G97" s="184" t="s">
        <v>14</v>
      </c>
    </row>
    <row r="98" spans="1:7" ht="15.75" customHeight="1">
      <c r="A98" s="38"/>
      <c r="C98" s="13"/>
      <c r="D98" s="13"/>
      <c r="F98" s="13"/>
    </row>
    <row r="99" spans="1:7" ht="15.75" customHeight="1">
      <c r="B99" s="185" t="s">
        <v>15</v>
      </c>
      <c r="C99" s="223"/>
      <c r="D99" s="223"/>
      <c r="E99" s="223"/>
      <c r="G99" s="186"/>
    </row>
    <row r="100" spans="1:7" ht="15.75" customHeight="1">
      <c r="A100" s="182"/>
      <c r="C100" s="216" t="s">
        <v>13</v>
      </c>
      <c r="D100" s="216"/>
      <c r="E100" s="216"/>
      <c r="G100" s="184" t="s">
        <v>14</v>
      </c>
    </row>
    <row r="101" spans="1:7" ht="15.75" customHeight="1"/>
    <row r="102" spans="1:7" ht="15.75" customHeight="1">
      <c r="A102" s="4" t="s">
        <v>16</v>
      </c>
    </row>
    <row r="103" spans="1:7">
      <c r="A103" s="234" t="s">
        <v>17</v>
      </c>
      <c r="B103" s="234"/>
      <c r="C103" s="234"/>
      <c r="D103" s="234"/>
      <c r="E103" s="234"/>
      <c r="F103" s="234"/>
      <c r="G103" s="234"/>
    </row>
    <row r="104" spans="1:7" ht="47.25" customHeight="1">
      <c r="A104" s="235" t="s">
        <v>18</v>
      </c>
      <c r="B104" s="235"/>
      <c r="C104" s="235"/>
      <c r="D104" s="235"/>
      <c r="E104" s="235"/>
      <c r="F104" s="235"/>
      <c r="G104" s="235"/>
    </row>
    <row r="105" spans="1:7" ht="31.5" customHeight="1">
      <c r="A105" s="235" t="s">
        <v>19</v>
      </c>
      <c r="B105" s="235"/>
      <c r="C105" s="235"/>
      <c r="D105" s="235"/>
      <c r="E105" s="235"/>
      <c r="F105" s="235"/>
      <c r="G105" s="235"/>
    </row>
    <row r="106" spans="1:7" ht="31.5" customHeight="1">
      <c r="A106" s="235" t="s">
        <v>24</v>
      </c>
      <c r="B106" s="235"/>
      <c r="C106" s="235"/>
      <c r="D106" s="235"/>
      <c r="E106" s="235"/>
      <c r="F106" s="235"/>
      <c r="G106" s="235"/>
    </row>
    <row r="107" spans="1:7" ht="15.75">
      <c r="A107" s="235" t="s">
        <v>23</v>
      </c>
      <c r="B107" s="235"/>
      <c r="C107" s="235"/>
      <c r="D107" s="235"/>
      <c r="E107" s="235"/>
      <c r="F107" s="235"/>
      <c r="G107" s="235"/>
    </row>
  </sheetData>
  <autoFilter ref="G13:G68"/>
  <mergeCells count="28">
    <mergeCell ref="A76:G76"/>
    <mergeCell ref="A104:G104"/>
    <mergeCell ref="A105:G105"/>
    <mergeCell ref="A106:G106"/>
    <mergeCell ref="A107:G107"/>
    <mergeCell ref="C96:E96"/>
    <mergeCell ref="C97:E97"/>
    <mergeCell ref="C99:E99"/>
    <mergeCell ref="C100:E100"/>
    <mergeCell ref="A103:G103"/>
    <mergeCell ref="A86:G86"/>
    <mergeCell ref="B87:F87"/>
    <mergeCell ref="B88:F88"/>
    <mergeCell ref="A94:G94"/>
    <mergeCell ref="A90:G90"/>
    <mergeCell ref="A91:G91"/>
    <mergeCell ref="A92:G92"/>
    <mergeCell ref="P73:S73"/>
    <mergeCell ref="A3:G3"/>
    <mergeCell ref="A4:G4"/>
    <mergeCell ref="A8:G8"/>
    <mergeCell ref="A10:G10"/>
    <mergeCell ref="A5:G5"/>
    <mergeCell ref="A15:G15"/>
    <mergeCell ref="A16:G16"/>
    <mergeCell ref="A28:G28"/>
    <mergeCell ref="A43:G43"/>
    <mergeCell ref="A54:G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0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123</v>
      </c>
      <c r="I1" s="40"/>
      <c r="J1" s="1"/>
      <c r="K1" s="1"/>
      <c r="L1" s="1"/>
      <c r="M1" s="1"/>
    </row>
    <row r="2" spans="1:13" ht="15.75" customHeight="1">
      <c r="A2" s="42" t="s">
        <v>79</v>
      </c>
      <c r="J2" s="2"/>
      <c r="K2" s="2"/>
      <c r="L2" s="2"/>
      <c r="M2" s="2"/>
    </row>
    <row r="3" spans="1:13" ht="15.75" customHeight="1">
      <c r="A3" s="236" t="s">
        <v>259</v>
      </c>
      <c r="B3" s="236"/>
      <c r="C3" s="236"/>
      <c r="D3" s="236"/>
      <c r="E3" s="236"/>
      <c r="F3" s="236"/>
      <c r="G3" s="236"/>
      <c r="H3" s="236"/>
      <c r="I3" s="236"/>
      <c r="J3" s="3"/>
      <c r="K3" s="3"/>
      <c r="L3" s="3"/>
    </row>
    <row r="4" spans="1:13" ht="31.5" customHeight="1">
      <c r="A4" s="237" t="s">
        <v>211</v>
      </c>
      <c r="B4" s="237"/>
      <c r="C4" s="237"/>
      <c r="D4" s="237"/>
      <c r="E4" s="237"/>
      <c r="F4" s="237"/>
      <c r="G4" s="237"/>
      <c r="H4" s="237"/>
      <c r="I4" s="237"/>
    </row>
    <row r="5" spans="1:13" ht="15.75" customHeight="1">
      <c r="A5" s="236" t="s">
        <v>103</v>
      </c>
      <c r="B5" s="238"/>
      <c r="C5" s="238"/>
      <c r="D5" s="238"/>
      <c r="E5" s="238"/>
      <c r="F5" s="238"/>
      <c r="G5" s="238"/>
      <c r="H5" s="238"/>
      <c r="I5" s="238"/>
      <c r="J5" s="2"/>
      <c r="K5" s="2"/>
      <c r="L5" s="2"/>
      <c r="M5" s="2"/>
    </row>
    <row r="6" spans="1:13" ht="15.75" customHeight="1">
      <c r="A6" s="2"/>
      <c r="B6" s="209"/>
      <c r="C6" s="209"/>
      <c r="D6" s="209"/>
      <c r="E6" s="209"/>
      <c r="F6" s="209"/>
      <c r="G6" s="209"/>
      <c r="H6" s="209"/>
      <c r="I6" s="50">
        <v>42429</v>
      </c>
      <c r="J6" s="2"/>
      <c r="K6" s="2"/>
      <c r="L6" s="2"/>
      <c r="M6" s="2"/>
    </row>
    <row r="7" spans="1:13" ht="15.75" customHeight="1">
      <c r="B7" s="204"/>
      <c r="C7" s="204"/>
      <c r="D7" s="20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4" t="s">
        <v>226</v>
      </c>
      <c r="B8" s="214"/>
      <c r="C8" s="214"/>
      <c r="D8" s="214"/>
      <c r="E8" s="214"/>
      <c r="F8" s="214"/>
      <c r="G8" s="214"/>
      <c r="H8" s="214"/>
      <c r="I8" s="21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5" t="s">
        <v>212</v>
      </c>
      <c r="B10" s="215"/>
      <c r="C10" s="215"/>
      <c r="D10" s="215"/>
      <c r="E10" s="215"/>
      <c r="F10" s="215"/>
      <c r="G10" s="215"/>
      <c r="H10" s="215"/>
      <c r="I10" s="21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9" t="s">
        <v>73</v>
      </c>
      <c r="B14" s="239"/>
      <c r="C14" s="239"/>
      <c r="D14" s="239"/>
      <c r="E14" s="239"/>
      <c r="F14" s="239"/>
      <c r="G14" s="239"/>
      <c r="H14" s="239"/>
      <c r="I14" s="239"/>
      <c r="J14" s="8"/>
      <c r="K14" s="8"/>
      <c r="L14" s="8"/>
      <c r="M14" s="8"/>
    </row>
    <row r="15" spans="1:13" ht="15.75" customHeight="1">
      <c r="A15" s="277" t="s">
        <v>4</v>
      </c>
      <c r="B15" s="277"/>
      <c r="C15" s="277"/>
      <c r="D15" s="277"/>
      <c r="E15" s="277"/>
      <c r="F15" s="277"/>
      <c r="G15" s="277"/>
      <c r="H15" s="277"/>
      <c r="I15" s="277"/>
      <c r="J15" s="8"/>
      <c r="K15" s="8"/>
      <c r="L15" s="8"/>
      <c r="M15" s="8"/>
    </row>
    <row r="16" spans="1:13" ht="31.5" customHeight="1">
      <c r="A16" s="46">
        <v>1</v>
      </c>
      <c r="B16" s="247" t="s">
        <v>125</v>
      </c>
      <c r="C16" s="248" t="s">
        <v>163</v>
      </c>
      <c r="D16" s="247" t="s">
        <v>228</v>
      </c>
      <c r="E16" s="249">
        <v>92.5</v>
      </c>
      <c r="F16" s="250">
        <f>SUM(E16*156/100)</f>
        <v>144.30000000000001</v>
      </c>
      <c r="G16" s="250">
        <v>175.38</v>
      </c>
      <c r="H16" s="251">
        <f t="shared" ref="H16:H24" si="0">SUM(F16*G16/1000)</f>
        <v>25.307334000000001</v>
      </c>
      <c r="I16" s="18">
        <f>F16/12*G16</f>
        <v>2108.9445000000001</v>
      </c>
      <c r="J16" s="8"/>
      <c r="K16" s="8"/>
      <c r="L16" s="8"/>
      <c r="M16" s="8"/>
    </row>
    <row r="17" spans="1:13" ht="31.5" customHeight="1">
      <c r="A17" s="46">
        <v>2</v>
      </c>
      <c r="B17" s="247" t="s">
        <v>185</v>
      </c>
      <c r="C17" s="248" t="s">
        <v>163</v>
      </c>
      <c r="D17" s="247" t="s">
        <v>229</v>
      </c>
      <c r="E17" s="249">
        <v>288.8</v>
      </c>
      <c r="F17" s="250">
        <f>SUM(E17*104/100)</f>
        <v>300.35200000000003</v>
      </c>
      <c r="G17" s="250">
        <v>175.38</v>
      </c>
      <c r="H17" s="251">
        <f t="shared" si="0"/>
        <v>52.67573376</v>
      </c>
      <c r="I17" s="18">
        <f>F17/12*G17</f>
        <v>4389.6444800000008</v>
      </c>
      <c r="J17" s="33"/>
      <c r="K17" s="8"/>
      <c r="L17" s="8"/>
      <c r="M17" s="8"/>
    </row>
    <row r="18" spans="1:13" ht="31.5" customHeight="1">
      <c r="A18" s="46">
        <v>3</v>
      </c>
      <c r="B18" s="247" t="s">
        <v>252</v>
      </c>
      <c r="C18" s="248" t="s">
        <v>163</v>
      </c>
      <c r="D18" s="247" t="s">
        <v>253</v>
      </c>
      <c r="E18" s="249">
        <f>SUM(E16+E17)</f>
        <v>381.3</v>
      </c>
      <c r="F18" s="250">
        <f>SUM(E18*12/100)</f>
        <v>45.756</v>
      </c>
      <c r="G18" s="250">
        <v>504.5</v>
      </c>
      <c r="H18" s="251">
        <f t="shared" si="0"/>
        <v>23.083902000000002</v>
      </c>
      <c r="I18" s="18">
        <f>F18/12*G18</f>
        <v>1923.6585</v>
      </c>
      <c r="J18" s="33"/>
      <c r="K18" s="8"/>
      <c r="L18" s="8"/>
      <c r="M18" s="8"/>
    </row>
    <row r="19" spans="1:13" ht="15.75" hidden="1" customHeight="1">
      <c r="A19" s="46">
        <v>4</v>
      </c>
      <c r="B19" s="247" t="s">
        <v>187</v>
      </c>
      <c r="C19" s="248" t="s">
        <v>188</v>
      </c>
      <c r="D19" s="247" t="s">
        <v>189</v>
      </c>
      <c r="E19" s="249">
        <v>19.2</v>
      </c>
      <c r="F19" s="250">
        <f>SUM(E19/10)</f>
        <v>1.92</v>
      </c>
      <c r="G19" s="250">
        <v>170.16</v>
      </c>
      <c r="H19" s="251">
        <f t="shared" si="0"/>
        <v>0.32670719999999998</v>
      </c>
      <c r="I19" s="18">
        <v>0</v>
      </c>
      <c r="J19" s="33"/>
      <c r="K19" s="8"/>
      <c r="L19" s="8"/>
      <c r="M19" s="8"/>
    </row>
    <row r="20" spans="1:13" ht="15.75" customHeight="1">
      <c r="A20" s="46">
        <v>4</v>
      </c>
      <c r="B20" s="247" t="s">
        <v>162</v>
      </c>
      <c r="C20" s="248" t="s">
        <v>163</v>
      </c>
      <c r="D20" s="247" t="s">
        <v>35</v>
      </c>
      <c r="E20" s="249">
        <v>27.3</v>
      </c>
      <c r="F20" s="250">
        <f>SUM(E20*12/100)</f>
        <v>3.2760000000000002</v>
      </c>
      <c r="G20" s="250">
        <v>217.88</v>
      </c>
      <c r="H20" s="251">
        <f t="shared" si="0"/>
        <v>0.71377488</v>
      </c>
      <c r="I20" s="18">
        <f>F20/12*G20</f>
        <v>59.48124</v>
      </c>
      <c r="J20" s="33"/>
      <c r="K20" s="8"/>
      <c r="L20" s="8"/>
      <c r="M20" s="8"/>
    </row>
    <row r="21" spans="1:13" ht="15.75" customHeight="1">
      <c r="A21" s="46">
        <v>5</v>
      </c>
      <c r="B21" s="247" t="s">
        <v>178</v>
      </c>
      <c r="C21" s="248" t="s">
        <v>163</v>
      </c>
      <c r="D21" s="247" t="s">
        <v>35</v>
      </c>
      <c r="E21" s="249">
        <v>9.08</v>
      </c>
      <c r="F21" s="250">
        <f>SUM(E21*12/100)</f>
        <v>1.0896000000000001</v>
      </c>
      <c r="G21" s="250">
        <v>216.12</v>
      </c>
      <c r="H21" s="251">
        <f t="shared" si="0"/>
        <v>0.23548435200000004</v>
      </c>
      <c r="I21" s="18">
        <f>F21/12*G21</f>
        <v>19.623696000000002</v>
      </c>
      <c r="J21" s="33"/>
      <c r="K21" s="8"/>
      <c r="L21" s="8"/>
      <c r="M21" s="8"/>
    </row>
    <row r="22" spans="1:13" ht="15.75" hidden="1" customHeight="1">
      <c r="A22" s="46">
        <v>7</v>
      </c>
      <c r="B22" s="247" t="s">
        <v>166</v>
      </c>
      <c r="C22" s="248" t="s">
        <v>65</v>
      </c>
      <c r="D22" s="247" t="s">
        <v>189</v>
      </c>
      <c r="E22" s="252">
        <v>12.6</v>
      </c>
      <c r="F22" s="250">
        <f>SUM(E22/100)</f>
        <v>0.126</v>
      </c>
      <c r="G22" s="250">
        <v>44.29</v>
      </c>
      <c r="H22" s="251">
        <f t="shared" si="0"/>
        <v>5.5805400000000002E-3</v>
      </c>
      <c r="I22" s="18">
        <v>0</v>
      </c>
      <c r="J22" s="33"/>
      <c r="K22" s="8"/>
      <c r="L22" s="8"/>
      <c r="M22" s="8"/>
    </row>
    <row r="23" spans="1:13" ht="15.75" customHeight="1">
      <c r="A23" s="46">
        <v>6</v>
      </c>
      <c r="B23" s="247" t="s">
        <v>168</v>
      </c>
      <c r="C23" s="248" t="s">
        <v>65</v>
      </c>
      <c r="D23" s="247" t="s">
        <v>169</v>
      </c>
      <c r="E23" s="249">
        <v>20</v>
      </c>
      <c r="F23" s="250">
        <f>E23*12/100</f>
        <v>2.4</v>
      </c>
      <c r="G23" s="250">
        <v>389.72</v>
      </c>
      <c r="H23" s="251">
        <f t="shared" si="0"/>
        <v>0.93532799999999994</v>
      </c>
      <c r="I23" s="18">
        <f>F23/12*G23</f>
        <v>77.944000000000003</v>
      </c>
      <c r="J23" s="33"/>
      <c r="K23" s="8"/>
      <c r="L23" s="8"/>
      <c r="M23" s="8"/>
    </row>
    <row r="24" spans="1:13" ht="15.75" hidden="1" customHeight="1">
      <c r="A24" s="46">
        <v>9</v>
      </c>
      <c r="B24" s="247" t="s">
        <v>170</v>
      </c>
      <c r="C24" s="248" t="s">
        <v>65</v>
      </c>
      <c r="D24" s="247" t="s">
        <v>189</v>
      </c>
      <c r="E24" s="249">
        <v>17</v>
      </c>
      <c r="F24" s="250">
        <f>SUM(E24/100)</f>
        <v>0.17</v>
      </c>
      <c r="G24" s="250">
        <v>520.79999999999995</v>
      </c>
      <c r="H24" s="251">
        <f t="shared" si="0"/>
        <v>8.8536000000000004E-2</v>
      </c>
      <c r="I24" s="18">
        <v>0</v>
      </c>
      <c r="J24" s="33"/>
      <c r="K24" s="8"/>
      <c r="L24" s="8"/>
      <c r="M24" s="8"/>
    </row>
    <row r="25" spans="1:13" ht="15.75" customHeight="1">
      <c r="A25" s="46">
        <v>7</v>
      </c>
      <c r="B25" s="247" t="s">
        <v>81</v>
      </c>
      <c r="C25" s="248" t="s">
        <v>38</v>
      </c>
      <c r="D25" s="247" t="s">
        <v>232</v>
      </c>
      <c r="E25" s="249">
        <v>0.1</v>
      </c>
      <c r="F25" s="250">
        <f>SUM(E25*365)</f>
        <v>36.5</v>
      </c>
      <c r="G25" s="250">
        <v>147.03</v>
      </c>
      <c r="H25" s="251">
        <f>SUM(F25*G25/1000)</f>
        <v>5.3665950000000002</v>
      </c>
      <c r="I25" s="18">
        <f>F25/12*G25</f>
        <v>447.21625</v>
      </c>
      <c r="J25" s="33"/>
      <c r="K25" s="8"/>
      <c r="L25" s="8"/>
      <c r="M25" s="8"/>
    </row>
    <row r="26" spans="1:13" ht="15.75" customHeight="1">
      <c r="A26" s="46">
        <v>8</v>
      </c>
      <c r="B26" s="257" t="s">
        <v>26</v>
      </c>
      <c r="C26" s="248" t="s">
        <v>27</v>
      </c>
      <c r="D26" s="257" t="s">
        <v>234</v>
      </c>
      <c r="E26" s="249">
        <v>3053.4</v>
      </c>
      <c r="F26" s="250">
        <f>SUM(E26*12)</f>
        <v>36640.800000000003</v>
      </c>
      <c r="G26" s="250">
        <v>4.55</v>
      </c>
      <c r="H26" s="251">
        <f>SUM(F26*G26/1000)</f>
        <v>166.71564000000001</v>
      </c>
      <c r="I26" s="18">
        <f>F26/12*G26</f>
        <v>13892.97</v>
      </c>
      <c r="J26" s="34"/>
    </row>
    <row r="27" spans="1:13" ht="15.75" customHeight="1">
      <c r="A27" s="278" t="s">
        <v>120</v>
      </c>
      <c r="B27" s="279"/>
      <c r="C27" s="279"/>
      <c r="D27" s="279"/>
      <c r="E27" s="279"/>
      <c r="F27" s="279"/>
      <c r="G27" s="279"/>
      <c r="H27" s="279"/>
      <c r="I27" s="280"/>
      <c r="J27" s="33"/>
      <c r="K27" s="8"/>
      <c r="L27" s="8"/>
      <c r="M27" s="8"/>
    </row>
    <row r="28" spans="1:13" ht="15.75" hidden="1" customHeight="1">
      <c r="A28" s="46"/>
      <c r="B28" s="281" t="s">
        <v>33</v>
      </c>
      <c r="C28" s="248"/>
      <c r="D28" s="247"/>
      <c r="E28" s="249"/>
      <c r="F28" s="250"/>
      <c r="G28" s="250"/>
      <c r="H28" s="254"/>
      <c r="I28" s="255"/>
      <c r="J28" s="33"/>
      <c r="K28" s="8"/>
      <c r="L28" s="8"/>
      <c r="M28" s="8"/>
    </row>
    <row r="29" spans="1:13" ht="31.5" hidden="1" customHeight="1">
      <c r="A29" s="46">
        <v>9</v>
      </c>
      <c r="B29" s="247" t="s">
        <v>190</v>
      </c>
      <c r="C29" s="248" t="s">
        <v>191</v>
      </c>
      <c r="D29" s="247" t="s">
        <v>230</v>
      </c>
      <c r="E29" s="250">
        <v>561.6</v>
      </c>
      <c r="F29" s="250">
        <f>SUM(E29*52/1000)</f>
        <v>29.203200000000002</v>
      </c>
      <c r="G29" s="250">
        <v>155.88999999999999</v>
      </c>
      <c r="H29" s="251">
        <f t="shared" ref="H29:H34" si="1">SUM(F29*G29/1000)</f>
        <v>4.5524868479999991</v>
      </c>
      <c r="I29" s="18">
        <f t="shared" ref="I29:I32" si="2">F29/6*G29</f>
        <v>758.74780799999996</v>
      </c>
      <c r="J29" s="33"/>
      <c r="K29" s="8"/>
      <c r="L29" s="8"/>
      <c r="M29" s="8"/>
    </row>
    <row r="30" spans="1:13" ht="31.5" hidden="1" customHeight="1">
      <c r="A30" s="46">
        <v>10</v>
      </c>
      <c r="B30" s="247" t="s">
        <v>254</v>
      </c>
      <c r="C30" s="248" t="s">
        <v>191</v>
      </c>
      <c r="D30" s="247" t="s">
        <v>231</v>
      </c>
      <c r="E30" s="250">
        <v>205.7</v>
      </c>
      <c r="F30" s="250">
        <f>SUM(E30*78/1000)</f>
        <v>16.044599999999999</v>
      </c>
      <c r="G30" s="250">
        <v>258.63</v>
      </c>
      <c r="H30" s="251">
        <f t="shared" si="1"/>
        <v>4.1496148979999994</v>
      </c>
      <c r="I30" s="18">
        <f t="shared" si="2"/>
        <v>691.60248299999989</v>
      </c>
      <c r="J30" s="33"/>
      <c r="K30" s="8"/>
      <c r="L30" s="8"/>
      <c r="M30" s="8"/>
    </row>
    <row r="31" spans="1:13" ht="15.75" hidden="1" customHeight="1">
      <c r="A31" s="46">
        <v>11</v>
      </c>
      <c r="B31" s="247" t="s">
        <v>32</v>
      </c>
      <c r="C31" s="248" t="s">
        <v>191</v>
      </c>
      <c r="D31" s="247" t="s">
        <v>66</v>
      </c>
      <c r="E31" s="250">
        <v>561.6</v>
      </c>
      <c r="F31" s="250">
        <f>SUM(E31/1000)</f>
        <v>0.56159999999999999</v>
      </c>
      <c r="G31" s="250">
        <v>3020.33</v>
      </c>
      <c r="H31" s="251">
        <f t="shared" si="1"/>
        <v>1.6962173279999999</v>
      </c>
      <c r="I31" s="18">
        <f>F31*G31</f>
        <v>1696.217328</v>
      </c>
      <c r="J31" s="33"/>
      <c r="K31" s="8"/>
      <c r="L31" s="8"/>
      <c r="M31" s="8"/>
    </row>
    <row r="32" spans="1:13" ht="15.75" hidden="1" customHeight="1">
      <c r="A32" s="46">
        <v>11</v>
      </c>
      <c r="B32" s="247" t="s">
        <v>193</v>
      </c>
      <c r="C32" s="248" t="s">
        <v>36</v>
      </c>
      <c r="D32" s="247" t="s">
        <v>80</v>
      </c>
      <c r="E32" s="256">
        <v>0.33333333333333331</v>
      </c>
      <c r="F32" s="250">
        <f>155/3</f>
        <v>51.666666666666664</v>
      </c>
      <c r="G32" s="250">
        <v>56.69</v>
      </c>
      <c r="H32" s="251">
        <f>SUM(G32*155/3/1000)</f>
        <v>2.9289833333333331</v>
      </c>
      <c r="I32" s="18">
        <f t="shared" si="2"/>
        <v>488.16388888888883</v>
      </c>
      <c r="J32" s="33"/>
      <c r="K32" s="8"/>
      <c r="L32" s="8"/>
      <c r="M32" s="8"/>
    </row>
    <row r="33" spans="1:14" ht="15.75" hidden="1" customHeight="1">
      <c r="A33" s="46"/>
      <c r="B33" s="247" t="s">
        <v>82</v>
      </c>
      <c r="C33" s="248" t="s">
        <v>38</v>
      </c>
      <c r="D33" s="247" t="s">
        <v>84</v>
      </c>
      <c r="E33" s="249"/>
      <c r="F33" s="250">
        <v>2</v>
      </c>
      <c r="G33" s="250">
        <v>191.32</v>
      </c>
      <c r="H33" s="251">
        <f t="shared" si="1"/>
        <v>0.38263999999999998</v>
      </c>
      <c r="I33" s="18">
        <v>0</v>
      </c>
      <c r="J33" s="33"/>
      <c r="K33" s="8"/>
      <c r="L33" s="8"/>
      <c r="M33" s="8"/>
    </row>
    <row r="34" spans="1:14" ht="15.75" hidden="1" customHeight="1">
      <c r="A34" s="46"/>
      <c r="B34" s="247" t="s">
        <v>83</v>
      </c>
      <c r="C34" s="248" t="s">
        <v>37</v>
      </c>
      <c r="D34" s="247" t="s">
        <v>84</v>
      </c>
      <c r="E34" s="249"/>
      <c r="F34" s="250">
        <v>1</v>
      </c>
      <c r="G34" s="250">
        <v>1136.33</v>
      </c>
      <c r="H34" s="251">
        <f t="shared" si="1"/>
        <v>1.1363299999999998</v>
      </c>
      <c r="I34" s="18">
        <v>0</v>
      </c>
      <c r="J34" s="33"/>
      <c r="K34" s="8"/>
    </row>
    <row r="35" spans="1:14" ht="15.75" customHeight="1">
      <c r="A35" s="46"/>
      <c r="B35" s="281" t="s">
        <v>5</v>
      </c>
      <c r="C35" s="248"/>
      <c r="D35" s="247"/>
      <c r="E35" s="249"/>
      <c r="F35" s="250"/>
      <c r="G35" s="250"/>
      <c r="H35" s="254" t="s">
        <v>234</v>
      </c>
      <c r="I35" s="255"/>
      <c r="J35" s="34"/>
    </row>
    <row r="36" spans="1:14" ht="15.75" customHeight="1">
      <c r="A36" s="46">
        <v>9</v>
      </c>
      <c r="B36" s="247" t="s">
        <v>31</v>
      </c>
      <c r="C36" s="248" t="s">
        <v>37</v>
      </c>
      <c r="D36" s="247"/>
      <c r="E36" s="249"/>
      <c r="F36" s="250">
        <v>3</v>
      </c>
      <c r="G36" s="250">
        <v>1527.22</v>
      </c>
      <c r="H36" s="251">
        <f t="shared" ref="H36:H38" si="3">SUM(F36*G36/1000)</f>
        <v>4.5816600000000003</v>
      </c>
      <c r="I36" s="18">
        <f t="shared" ref="I36:I41" si="4">F36/6*G36</f>
        <v>763.61</v>
      </c>
      <c r="J36" s="34"/>
    </row>
    <row r="37" spans="1:14" ht="15.75" customHeight="1">
      <c r="A37" s="46">
        <v>10</v>
      </c>
      <c r="B37" s="247" t="s">
        <v>85</v>
      </c>
      <c r="C37" s="248" t="s">
        <v>34</v>
      </c>
      <c r="D37" s="247" t="s">
        <v>217</v>
      </c>
      <c r="E37" s="250">
        <v>205.7</v>
      </c>
      <c r="F37" s="250">
        <f>SUM(E37*20/1000)</f>
        <v>4.1139999999999999</v>
      </c>
      <c r="G37" s="250">
        <v>2102.71</v>
      </c>
      <c r="H37" s="251">
        <f t="shared" si="3"/>
        <v>8.6505489400000002</v>
      </c>
      <c r="I37" s="18">
        <f t="shared" si="4"/>
        <v>1441.7581566666665</v>
      </c>
      <c r="J37" s="34"/>
    </row>
    <row r="38" spans="1:14" ht="15.75" customHeight="1">
      <c r="A38" s="46">
        <v>11</v>
      </c>
      <c r="B38" s="247" t="s">
        <v>86</v>
      </c>
      <c r="C38" s="248" t="s">
        <v>34</v>
      </c>
      <c r="D38" s="247" t="s">
        <v>218</v>
      </c>
      <c r="E38" s="249">
        <v>89.1</v>
      </c>
      <c r="F38" s="250">
        <f>SUM(E38*155/1000)</f>
        <v>13.810499999999999</v>
      </c>
      <c r="G38" s="250">
        <v>350.75</v>
      </c>
      <c r="H38" s="251">
        <f t="shared" si="3"/>
        <v>4.8440328749999999</v>
      </c>
      <c r="I38" s="18">
        <f t="shared" si="4"/>
        <v>807.3388124999999</v>
      </c>
      <c r="J38" s="34"/>
    </row>
    <row r="39" spans="1:14" ht="47.25" customHeight="1">
      <c r="A39" s="46">
        <v>12</v>
      </c>
      <c r="B39" s="247" t="s">
        <v>112</v>
      </c>
      <c r="C39" s="248" t="s">
        <v>191</v>
      </c>
      <c r="D39" s="247" t="s">
        <v>219</v>
      </c>
      <c r="E39" s="250">
        <v>48</v>
      </c>
      <c r="F39" s="250">
        <f>SUM(E39*50/1000)</f>
        <v>2.4</v>
      </c>
      <c r="G39" s="250">
        <v>5803.28</v>
      </c>
      <c r="H39" s="251">
        <f>SUM(F39*G39/1000)</f>
        <v>13.927871999999999</v>
      </c>
      <c r="I39" s="18">
        <f t="shared" si="4"/>
        <v>2321.3119999999999</v>
      </c>
      <c r="J39" s="34"/>
    </row>
    <row r="40" spans="1:14" ht="15.75" customHeight="1">
      <c r="A40" s="46">
        <v>13</v>
      </c>
      <c r="B40" s="247" t="s">
        <v>195</v>
      </c>
      <c r="C40" s="248" t="s">
        <v>191</v>
      </c>
      <c r="D40" s="247" t="s">
        <v>87</v>
      </c>
      <c r="E40" s="250">
        <v>89</v>
      </c>
      <c r="F40" s="250">
        <f>SUM(E40*45/1000)</f>
        <v>4.0049999999999999</v>
      </c>
      <c r="G40" s="250">
        <v>428.7</v>
      </c>
      <c r="H40" s="251">
        <f t="shared" ref="H40:H41" si="5">SUM(F40*G40/1000)</f>
        <v>1.7169435</v>
      </c>
      <c r="I40" s="18">
        <f t="shared" si="4"/>
        <v>286.15724999999998</v>
      </c>
      <c r="J40" s="34"/>
      <c r="L40" s="27"/>
      <c r="M40" s="28"/>
      <c r="N40" s="29"/>
    </row>
    <row r="41" spans="1:14" ht="15.75" customHeight="1">
      <c r="A41" s="285">
        <v>14</v>
      </c>
      <c r="B41" s="261" t="s">
        <v>88</v>
      </c>
      <c r="C41" s="262" t="s">
        <v>38</v>
      </c>
      <c r="D41" s="261"/>
      <c r="E41" s="258"/>
      <c r="F41" s="263">
        <v>0.9</v>
      </c>
      <c r="G41" s="263">
        <v>798</v>
      </c>
      <c r="H41" s="264">
        <f t="shared" si="5"/>
        <v>0.71820000000000006</v>
      </c>
      <c r="I41" s="286">
        <f t="shared" si="4"/>
        <v>119.69999999999999</v>
      </c>
      <c r="J41" s="34"/>
      <c r="L41" s="27"/>
      <c r="M41" s="28"/>
      <c r="N41" s="29"/>
    </row>
    <row r="42" spans="1:14" ht="15.75" customHeight="1">
      <c r="A42" s="282" t="s">
        <v>255</v>
      </c>
      <c r="B42" s="283"/>
      <c r="C42" s="283"/>
      <c r="D42" s="283"/>
      <c r="E42" s="283"/>
      <c r="F42" s="283"/>
      <c r="G42" s="283"/>
      <c r="H42" s="283"/>
      <c r="I42" s="284"/>
      <c r="J42" s="34"/>
      <c r="L42" s="27"/>
      <c r="M42" s="28"/>
      <c r="N42" s="29"/>
    </row>
    <row r="43" spans="1:14" ht="15.75" hidden="1" customHeight="1">
      <c r="A43" s="287"/>
      <c r="B43" s="288" t="s">
        <v>196</v>
      </c>
      <c r="C43" s="289" t="s">
        <v>191</v>
      </c>
      <c r="D43" s="288" t="s">
        <v>53</v>
      </c>
      <c r="E43" s="290">
        <v>1632.75</v>
      </c>
      <c r="F43" s="291">
        <f>SUM(E43*2/1000)</f>
        <v>3.2654999999999998</v>
      </c>
      <c r="G43" s="292">
        <v>809.74</v>
      </c>
      <c r="H43" s="293">
        <f t="shared" ref="H43:H52" si="6">SUM(F43*G43/1000)</f>
        <v>2.6442059699999998</v>
      </c>
      <c r="I43" s="292">
        <v>0</v>
      </c>
      <c r="J43" s="34"/>
      <c r="L43" s="27"/>
      <c r="M43" s="28"/>
      <c r="N43" s="29"/>
    </row>
    <row r="44" spans="1:14" ht="15.75" hidden="1" customHeight="1">
      <c r="A44" s="46"/>
      <c r="B44" s="247" t="s">
        <v>42</v>
      </c>
      <c r="C44" s="248" t="s">
        <v>191</v>
      </c>
      <c r="D44" s="247" t="s">
        <v>53</v>
      </c>
      <c r="E44" s="249">
        <v>53.75</v>
      </c>
      <c r="F44" s="250">
        <f>SUM(E44*2/1000)</f>
        <v>0.1075</v>
      </c>
      <c r="G44" s="18">
        <v>579.48</v>
      </c>
      <c r="H44" s="251">
        <f t="shared" si="6"/>
        <v>6.2294099999999998E-2</v>
      </c>
      <c r="I44" s="18">
        <v>0</v>
      </c>
      <c r="J44" s="34"/>
      <c r="L44" s="27"/>
      <c r="M44" s="28"/>
      <c r="N44" s="29"/>
    </row>
    <row r="45" spans="1:14" ht="15.75" hidden="1" customHeight="1">
      <c r="A45" s="46"/>
      <c r="B45" s="247" t="s">
        <v>43</v>
      </c>
      <c r="C45" s="248" t="s">
        <v>191</v>
      </c>
      <c r="D45" s="247" t="s">
        <v>53</v>
      </c>
      <c r="E45" s="249">
        <v>2285.6</v>
      </c>
      <c r="F45" s="250">
        <f>SUM(E45*2/1000)</f>
        <v>4.5712000000000002</v>
      </c>
      <c r="G45" s="18">
        <v>579.48</v>
      </c>
      <c r="H45" s="251">
        <f t="shared" si="6"/>
        <v>2.6489189760000005</v>
      </c>
      <c r="I45" s="18">
        <v>0</v>
      </c>
      <c r="J45" s="34"/>
      <c r="L45" s="27"/>
      <c r="M45" s="28"/>
      <c r="N45" s="29"/>
    </row>
    <row r="46" spans="1:14" ht="15.75" hidden="1" customHeight="1">
      <c r="A46" s="46"/>
      <c r="B46" s="247" t="s">
        <v>44</v>
      </c>
      <c r="C46" s="248" t="s">
        <v>191</v>
      </c>
      <c r="D46" s="247" t="s">
        <v>53</v>
      </c>
      <c r="E46" s="249">
        <v>1860</v>
      </c>
      <c r="F46" s="250">
        <f>SUM(E46*2/1000)</f>
        <v>3.72</v>
      </c>
      <c r="G46" s="18">
        <v>606.77</v>
      </c>
      <c r="H46" s="251">
        <f t="shared" si="6"/>
        <v>2.2571844000000003</v>
      </c>
      <c r="I46" s="18">
        <v>0</v>
      </c>
      <c r="J46" s="34"/>
      <c r="L46" s="27"/>
      <c r="M46" s="28"/>
      <c r="N46" s="29"/>
    </row>
    <row r="47" spans="1:14" ht="15.75" hidden="1" customHeight="1">
      <c r="A47" s="46"/>
      <c r="B47" s="247" t="s">
        <v>40</v>
      </c>
      <c r="C47" s="248" t="s">
        <v>41</v>
      </c>
      <c r="D47" s="247" t="s">
        <v>53</v>
      </c>
      <c r="E47" s="249">
        <v>120.49</v>
      </c>
      <c r="F47" s="250">
        <f>SUM(E47*2/100)</f>
        <v>2.4097999999999997</v>
      </c>
      <c r="G47" s="18">
        <v>72.81</v>
      </c>
      <c r="H47" s="251">
        <f t="shared" si="6"/>
        <v>0.17545753799999997</v>
      </c>
      <c r="I47" s="18">
        <v>0</v>
      </c>
      <c r="J47" s="34"/>
      <c r="L47" s="27"/>
      <c r="M47" s="28"/>
      <c r="N47" s="29"/>
    </row>
    <row r="48" spans="1:14" ht="15.75" customHeight="1">
      <c r="A48" s="46">
        <v>15</v>
      </c>
      <c r="B48" s="247" t="s">
        <v>70</v>
      </c>
      <c r="C48" s="248" t="s">
        <v>191</v>
      </c>
      <c r="D48" s="247" t="s">
        <v>258</v>
      </c>
      <c r="E48" s="249">
        <v>1728</v>
      </c>
      <c r="F48" s="250">
        <f>SUM(E48*5/1000)</f>
        <v>8.64</v>
      </c>
      <c r="G48" s="18">
        <v>1213.55</v>
      </c>
      <c r="H48" s="251">
        <f t="shared" si="6"/>
        <v>10.485072000000001</v>
      </c>
      <c r="I48" s="18">
        <f>F48/5*G48</f>
        <v>2097.0144</v>
      </c>
      <c r="J48" s="34"/>
      <c r="L48" s="27"/>
      <c r="M48" s="28"/>
      <c r="N48" s="29"/>
    </row>
    <row r="49" spans="1:22" ht="31.5" hidden="1" customHeight="1">
      <c r="A49" s="46"/>
      <c r="B49" s="247" t="s">
        <v>198</v>
      </c>
      <c r="C49" s="248" t="s">
        <v>191</v>
      </c>
      <c r="D49" s="247" t="s">
        <v>53</v>
      </c>
      <c r="E49" s="249">
        <v>1728</v>
      </c>
      <c r="F49" s="250">
        <f>SUM(E49*2/1000)</f>
        <v>3.456</v>
      </c>
      <c r="G49" s="18">
        <v>1213.55</v>
      </c>
      <c r="H49" s="251">
        <f t="shared" si="6"/>
        <v>4.1940287999999999</v>
      </c>
      <c r="I49" s="18">
        <v>0</v>
      </c>
      <c r="J49" s="34"/>
      <c r="L49" s="27"/>
      <c r="M49" s="28"/>
      <c r="N49" s="29"/>
    </row>
    <row r="50" spans="1:22" ht="31.5" hidden="1" customHeight="1">
      <c r="A50" s="46"/>
      <c r="B50" s="247" t="s">
        <v>235</v>
      </c>
      <c r="C50" s="248" t="s">
        <v>47</v>
      </c>
      <c r="D50" s="247" t="s">
        <v>53</v>
      </c>
      <c r="E50" s="249">
        <v>20</v>
      </c>
      <c r="F50" s="250">
        <f>SUM(E50*2/100)</f>
        <v>0.4</v>
      </c>
      <c r="G50" s="18">
        <v>2730.49</v>
      </c>
      <c r="H50" s="251">
        <f t="shared" si="6"/>
        <v>1.0921959999999999</v>
      </c>
      <c r="I50" s="18">
        <v>0</v>
      </c>
      <c r="J50" s="34"/>
      <c r="L50" s="27"/>
      <c r="M50" s="28"/>
      <c r="N50" s="29"/>
    </row>
    <row r="51" spans="1:22" ht="15.75" hidden="1" customHeight="1">
      <c r="A51" s="46"/>
      <c r="B51" s="247" t="s">
        <v>48</v>
      </c>
      <c r="C51" s="248" t="s">
        <v>49</v>
      </c>
      <c r="D51" s="247" t="s">
        <v>53</v>
      </c>
      <c r="E51" s="249">
        <v>1</v>
      </c>
      <c r="F51" s="250">
        <v>0.02</v>
      </c>
      <c r="G51" s="18">
        <v>5652.13</v>
      </c>
      <c r="H51" s="251">
        <f t="shared" si="6"/>
        <v>0.11304260000000001</v>
      </c>
      <c r="I51" s="18">
        <v>0</v>
      </c>
      <c r="J51" s="34"/>
      <c r="L51" s="27"/>
      <c r="M51" s="28"/>
      <c r="N51" s="29"/>
    </row>
    <row r="52" spans="1:22" ht="15.75" hidden="1" customHeight="1">
      <c r="A52" s="46">
        <v>16</v>
      </c>
      <c r="B52" s="247" t="s">
        <v>52</v>
      </c>
      <c r="C52" s="248" t="s">
        <v>142</v>
      </c>
      <c r="D52" s="247" t="s">
        <v>89</v>
      </c>
      <c r="E52" s="249">
        <v>128</v>
      </c>
      <c r="F52" s="250">
        <f>SUM(E52)*3</f>
        <v>384</v>
      </c>
      <c r="G52" s="18">
        <v>65.67</v>
      </c>
      <c r="H52" s="251">
        <f t="shared" si="6"/>
        <v>25.217279999999999</v>
      </c>
      <c r="I52" s="18">
        <f>24*G52</f>
        <v>1576.08</v>
      </c>
      <c r="J52" s="34"/>
      <c r="L52" s="27"/>
      <c r="M52" s="28"/>
      <c r="N52" s="29"/>
    </row>
    <row r="53" spans="1:22" ht="15.75" customHeight="1">
      <c r="A53" s="278" t="s">
        <v>256</v>
      </c>
      <c r="B53" s="279"/>
      <c r="C53" s="279"/>
      <c r="D53" s="279"/>
      <c r="E53" s="279"/>
      <c r="F53" s="279"/>
      <c r="G53" s="279"/>
      <c r="H53" s="279"/>
      <c r="I53" s="280"/>
      <c r="J53" s="34"/>
      <c r="L53" s="27"/>
      <c r="M53" s="28"/>
      <c r="N53" s="29"/>
    </row>
    <row r="54" spans="1:22" ht="15.75" customHeight="1">
      <c r="A54" s="46"/>
      <c r="B54" s="281" t="s">
        <v>54</v>
      </c>
      <c r="C54" s="248"/>
      <c r="D54" s="247"/>
      <c r="E54" s="249"/>
      <c r="F54" s="250"/>
      <c r="G54" s="250"/>
      <c r="H54" s="254"/>
      <c r="I54" s="255"/>
      <c r="J54" s="34"/>
      <c r="L54" s="27"/>
      <c r="M54" s="28"/>
      <c r="N54" s="29"/>
    </row>
    <row r="55" spans="1:22" ht="31.5" customHeight="1">
      <c r="A55" s="46">
        <v>16</v>
      </c>
      <c r="B55" s="247" t="s">
        <v>200</v>
      </c>
      <c r="C55" s="248" t="s">
        <v>163</v>
      </c>
      <c r="D55" s="247" t="s">
        <v>201</v>
      </c>
      <c r="E55" s="249">
        <v>163.30000000000001</v>
      </c>
      <c r="F55" s="250">
        <f>SUM(E55*6/100)</f>
        <v>9.798</v>
      </c>
      <c r="G55" s="18">
        <v>1547.28</v>
      </c>
      <c r="H55" s="251">
        <f>SUM(F55*G55/1000)</f>
        <v>15.160249439999999</v>
      </c>
      <c r="I55" s="18">
        <f>F55/6*G55</f>
        <v>2526.7082399999999</v>
      </c>
      <c r="J55" s="34"/>
      <c r="L55" s="27"/>
      <c r="M55" s="28"/>
      <c r="N55" s="29"/>
    </row>
    <row r="56" spans="1:22" ht="15.75" customHeight="1">
      <c r="A56" s="46"/>
      <c r="B56" s="281" t="s">
        <v>55</v>
      </c>
      <c r="C56" s="248"/>
      <c r="D56" s="247"/>
      <c r="E56" s="249"/>
      <c r="F56" s="250"/>
      <c r="G56" s="250"/>
      <c r="H56" s="251" t="s">
        <v>234</v>
      </c>
      <c r="I56" s="255"/>
      <c r="J56" s="34"/>
      <c r="L56" s="27"/>
      <c r="M56" s="28"/>
      <c r="N56" s="29"/>
    </row>
    <row r="57" spans="1:22" ht="15.75" hidden="1" customHeight="1">
      <c r="A57" s="46"/>
      <c r="B57" s="247" t="s">
        <v>56</v>
      </c>
      <c r="C57" s="248" t="s">
        <v>163</v>
      </c>
      <c r="D57" s="247" t="s">
        <v>66</v>
      </c>
      <c r="E57" s="258">
        <v>1155.2</v>
      </c>
      <c r="F57" s="259">
        <v>11.6</v>
      </c>
      <c r="G57" s="18">
        <v>793.61</v>
      </c>
      <c r="H57" s="260">
        <v>9.1679999999999993</v>
      </c>
      <c r="I57" s="18">
        <v>0</v>
      </c>
      <c r="J57" s="34"/>
      <c r="L57" s="27"/>
      <c r="M57" s="28"/>
      <c r="N57" s="29"/>
    </row>
    <row r="58" spans="1:22" ht="15.75" customHeight="1">
      <c r="A58" s="46">
        <v>17</v>
      </c>
      <c r="B58" s="261" t="s">
        <v>144</v>
      </c>
      <c r="C58" s="262" t="s">
        <v>29</v>
      </c>
      <c r="D58" s="261" t="s">
        <v>35</v>
      </c>
      <c r="E58" s="258">
        <v>255.2</v>
      </c>
      <c r="F58" s="263">
        <v>3062.4</v>
      </c>
      <c r="G58" s="243">
        <v>2.6</v>
      </c>
      <c r="H58" s="264">
        <f>G58*F58/1000</f>
        <v>7.9622400000000004</v>
      </c>
      <c r="I58" s="18">
        <f>F58/12*G58</f>
        <v>663.5200000000001</v>
      </c>
      <c r="J58" s="34"/>
      <c r="L58" s="27"/>
      <c r="M58" s="28"/>
      <c r="N58" s="29"/>
    </row>
    <row r="59" spans="1:22" ht="15.75" hidden="1" customHeight="1">
      <c r="A59" s="46"/>
      <c r="B59" s="294" t="s">
        <v>57</v>
      </c>
      <c r="C59" s="262"/>
      <c r="D59" s="261"/>
      <c r="E59" s="258"/>
      <c r="F59" s="263"/>
      <c r="G59" s="263"/>
      <c r="H59" s="264" t="s">
        <v>234</v>
      </c>
      <c r="I59" s="255"/>
      <c r="J59" s="34"/>
      <c r="L59" s="27"/>
      <c r="M59" s="28"/>
      <c r="N59" s="29"/>
    </row>
    <row r="60" spans="1:22" ht="15.75" hidden="1" customHeight="1">
      <c r="A60" s="46"/>
      <c r="B60" s="20" t="s">
        <v>58</v>
      </c>
      <c r="C60" s="22" t="s">
        <v>142</v>
      </c>
      <c r="D60" s="20" t="s">
        <v>233</v>
      </c>
      <c r="E60" s="25">
        <v>5</v>
      </c>
      <c r="F60" s="250">
        <v>5</v>
      </c>
      <c r="G60" s="18">
        <v>222.4</v>
      </c>
      <c r="H60" s="265">
        <f t="shared" ref="H60:H67" si="7">SUM(F60*G60/1000)</f>
        <v>1.1120000000000001</v>
      </c>
      <c r="I60" s="18">
        <v>0</v>
      </c>
      <c r="J60" s="34"/>
      <c r="L60" s="27"/>
    </row>
    <row r="61" spans="1:22" ht="15.75" hidden="1" customHeight="1">
      <c r="A61" s="46"/>
      <c r="B61" s="20" t="s">
        <v>59</v>
      </c>
      <c r="C61" s="22" t="s">
        <v>142</v>
      </c>
      <c r="D61" s="20" t="s">
        <v>233</v>
      </c>
      <c r="E61" s="25">
        <v>4</v>
      </c>
      <c r="F61" s="250">
        <v>4</v>
      </c>
      <c r="G61" s="18">
        <v>76.25</v>
      </c>
      <c r="H61" s="265">
        <f t="shared" si="7"/>
        <v>0.30499999999999999</v>
      </c>
      <c r="I61" s="18">
        <v>0</v>
      </c>
      <c r="J61" s="34"/>
      <c r="L61" s="27"/>
    </row>
    <row r="62" spans="1:22" ht="15.75" hidden="1" customHeight="1">
      <c r="A62" s="46"/>
      <c r="B62" s="20" t="s">
        <v>60</v>
      </c>
      <c r="C62" s="22" t="s">
        <v>202</v>
      </c>
      <c r="D62" s="20" t="s">
        <v>66</v>
      </c>
      <c r="E62" s="249">
        <v>15552</v>
      </c>
      <c r="F62" s="18">
        <f>SUM(E62/100)</f>
        <v>155.52000000000001</v>
      </c>
      <c r="G62" s="18">
        <v>212.15</v>
      </c>
      <c r="H62" s="265">
        <f t="shared" si="7"/>
        <v>32.993568000000003</v>
      </c>
      <c r="I62" s="18">
        <v>0</v>
      </c>
    </row>
    <row r="63" spans="1:22" ht="15.75" hidden="1" customHeight="1">
      <c r="A63" s="46"/>
      <c r="B63" s="20" t="s">
        <v>61</v>
      </c>
      <c r="C63" s="22" t="s">
        <v>203</v>
      </c>
      <c r="D63" s="20"/>
      <c r="E63" s="249">
        <v>15552</v>
      </c>
      <c r="F63" s="18">
        <f>SUM(E63/1000)</f>
        <v>15.552</v>
      </c>
      <c r="G63" s="18">
        <v>165.21</v>
      </c>
      <c r="H63" s="265">
        <f t="shared" si="7"/>
        <v>2.5693459200000004</v>
      </c>
      <c r="I63" s="18">
        <v>0</v>
      </c>
    </row>
    <row r="64" spans="1:22" ht="15.75" hidden="1" customHeight="1">
      <c r="A64" s="46"/>
      <c r="B64" s="20" t="s">
        <v>62</v>
      </c>
      <c r="C64" s="22" t="s">
        <v>96</v>
      </c>
      <c r="D64" s="20" t="s">
        <v>66</v>
      </c>
      <c r="E64" s="249">
        <v>2432</v>
      </c>
      <c r="F64" s="18">
        <f>SUM(E64/100)</f>
        <v>24.32</v>
      </c>
      <c r="G64" s="18">
        <v>2074.63</v>
      </c>
      <c r="H64" s="265">
        <f t="shared" si="7"/>
        <v>50.455001600000003</v>
      </c>
      <c r="I64" s="18"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46"/>
      <c r="B65" s="266" t="s">
        <v>90</v>
      </c>
      <c r="C65" s="22" t="s">
        <v>38</v>
      </c>
      <c r="D65" s="20"/>
      <c r="E65" s="249">
        <v>34.5</v>
      </c>
      <c r="F65" s="18">
        <f>SUM(E65)</f>
        <v>34.5</v>
      </c>
      <c r="G65" s="18">
        <v>45.32</v>
      </c>
      <c r="H65" s="265">
        <f t="shared" si="7"/>
        <v>1.5635399999999999</v>
      </c>
      <c r="I65" s="18">
        <v>0</v>
      </c>
      <c r="J65" s="38"/>
      <c r="K65" s="38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31.5" hidden="1" customHeight="1">
      <c r="A66" s="46"/>
      <c r="B66" s="266" t="s">
        <v>91</v>
      </c>
      <c r="C66" s="22" t="s">
        <v>38</v>
      </c>
      <c r="D66" s="20"/>
      <c r="E66" s="249">
        <f>E65</f>
        <v>34.5</v>
      </c>
      <c r="F66" s="18">
        <f>SUM(E66)</f>
        <v>34.5</v>
      </c>
      <c r="G66" s="18">
        <v>42.28</v>
      </c>
      <c r="H66" s="265">
        <f t="shared" si="7"/>
        <v>1.4586600000000001</v>
      </c>
      <c r="I66" s="18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46"/>
      <c r="B67" s="20" t="s">
        <v>71</v>
      </c>
      <c r="C67" s="22" t="s">
        <v>72</v>
      </c>
      <c r="D67" s="20" t="s">
        <v>66</v>
      </c>
      <c r="E67" s="25">
        <v>4</v>
      </c>
      <c r="F67" s="250">
        <f>SUM(E67)</f>
        <v>4</v>
      </c>
      <c r="G67" s="18">
        <v>49.88</v>
      </c>
      <c r="H67" s="265">
        <f t="shared" si="7"/>
        <v>0.19952</v>
      </c>
      <c r="I67" s="18">
        <v>0</v>
      </c>
      <c r="J67" s="5"/>
      <c r="K67" s="5"/>
      <c r="L67" s="5"/>
      <c r="M67" s="5"/>
      <c r="N67" s="5"/>
      <c r="O67" s="5"/>
      <c r="P67" s="5"/>
      <c r="Q67" s="5"/>
      <c r="R67" s="216"/>
      <c r="S67" s="216"/>
      <c r="T67" s="216"/>
      <c r="U67" s="216"/>
    </row>
    <row r="68" spans="1:21" ht="15.75" hidden="1" customHeight="1">
      <c r="A68" s="46"/>
      <c r="B68" s="210" t="s">
        <v>92</v>
      </c>
      <c r="C68" s="22"/>
      <c r="D68" s="20"/>
      <c r="E68" s="25"/>
      <c r="F68" s="18"/>
      <c r="G68" s="18"/>
      <c r="H68" s="265" t="s">
        <v>234</v>
      </c>
      <c r="I68" s="255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ht="15.75" hidden="1" customHeight="1">
      <c r="A69" s="46">
        <v>19</v>
      </c>
      <c r="B69" s="20" t="s">
        <v>93</v>
      </c>
      <c r="C69" s="22" t="s">
        <v>94</v>
      </c>
      <c r="D69" s="20"/>
      <c r="E69" s="25">
        <v>4</v>
      </c>
      <c r="F69" s="18">
        <v>0.4</v>
      </c>
      <c r="G69" s="18">
        <v>501.62</v>
      </c>
      <c r="H69" s="265">
        <f>SUM(F69*G69/1000)</f>
        <v>0.20064800000000002</v>
      </c>
      <c r="I69" s="18">
        <f>G69*0.2</f>
        <v>100.32400000000001</v>
      </c>
    </row>
    <row r="70" spans="1:21" ht="15.75" hidden="1" customHeight="1">
      <c r="A70" s="46"/>
      <c r="B70" s="20" t="s">
        <v>220</v>
      </c>
      <c r="C70" s="22" t="s">
        <v>142</v>
      </c>
      <c r="D70" s="20"/>
      <c r="E70" s="25">
        <v>1</v>
      </c>
      <c r="F70" s="18">
        <f>E70</f>
        <v>1</v>
      </c>
      <c r="G70" s="18">
        <v>852.99</v>
      </c>
      <c r="H70" s="265">
        <f>SUM(F70*G70/1000)</f>
        <v>0.85299000000000003</v>
      </c>
      <c r="I70" s="18">
        <v>0</v>
      </c>
    </row>
    <row r="71" spans="1:21" ht="15.75" hidden="1" customHeight="1">
      <c r="A71" s="46"/>
      <c r="B71" s="269" t="s">
        <v>95</v>
      </c>
      <c r="C71" s="22"/>
      <c r="D71" s="20"/>
      <c r="E71" s="25"/>
      <c r="F71" s="25"/>
      <c r="G71" s="25"/>
      <c r="H71" s="25"/>
      <c r="I71" s="255"/>
    </row>
    <row r="72" spans="1:21" ht="15.75" hidden="1" customHeight="1">
      <c r="A72" s="46"/>
      <c r="B72" s="81" t="s">
        <v>208</v>
      </c>
      <c r="C72" s="22" t="s">
        <v>96</v>
      </c>
      <c r="D72" s="20"/>
      <c r="E72" s="25"/>
      <c r="F72" s="18">
        <v>0.1</v>
      </c>
      <c r="G72" s="18">
        <v>2759.44</v>
      </c>
      <c r="H72" s="268">
        <f t="shared" ref="H72" si="8">SUM(F72*G72/1000)</f>
        <v>0.27594400000000002</v>
      </c>
      <c r="I72" s="18">
        <v>0</v>
      </c>
    </row>
    <row r="73" spans="1:21" ht="15.75" hidden="1" customHeight="1">
      <c r="A73" s="46"/>
      <c r="B73" s="210" t="s">
        <v>206</v>
      </c>
      <c r="C73" s="269"/>
      <c r="D73" s="51"/>
      <c r="E73" s="53"/>
      <c r="F73" s="270"/>
      <c r="G73" s="270"/>
      <c r="H73" s="271">
        <f>SUM(H55:H72)</f>
        <v>124.27670696000001</v>
      </c>
      <c r="I73" s="253"/>
    </row>
    <row r="74" spans="1:21" ht="15.75" hidden="1" customHeight="1">
      <c r="A74" s="285"/>
      <c r="B74" s="261" t="s">
        <v>207</v>
      </c>
      <c r="C74" s="295"/>
      <c r="D74" s="296"/>
      <c r="E74" s="272"/>
      <c r="F74" s="286">
        <f>232/10</f>
        <v>23.2</v>
      </c>
      <c r="G74" s="286">
        <v>11370</v>
      </c>
      <c r="H74" s="297">
        <f>G74*F74/1000</f>
        <v>263.78399999999999</v>
      </c>
      <c r="I74" s="286">
        <v>0</v>
      </c>
    </row>
    <row r="75" spans="1:21" ht="15.75" customHeight="1">
      <c r="A75" s="282" t="s">
        <v>257</v>
      </c>
      <c r="B75" s="283"/>
      <c r="C75" s="283"/>
      <c r="D75" s="283"/>
      <c r="E75" s="283"/>
      <c r="F75" s="283"/>
      <c r="G75" s="283"/>
      <c r="H75" s="283"/>
      <c r="I75" s="284"/>
    </row>
    <row r="76" spans="1:21" ht="15.75" customHeight="1">
      <c r="A76" s="287">
        <v>18</v>
      </c>
      <c r="B76" s="288" t="s">
        <v>209</v>
      </c>
      <c r="C76" s="298" t="s">
        <v>67</v>
      </c>
      <c r="D76" s="299" t="s">
        <v>68</v>
      </c>
      <c r="E76" s="292">
        <v>3053.4</v>
      </c>
      <c r="F76" s="292">
        <f>SUM(E76*12)</f>
        <v>36640.800000000003</v>
      </c>
      <c r="G76" s="292">
        <v>2.1</v>
      </c>
      <c r="H76" s="300">
        <f>SUM(F76*G76/1000)</f>
        <v>76.94568000000001</v>
      </c>
      <c r="I76" s="292">
        <f>F76/12*G76</f>
        <v>6412.14</v>
      </c>
    </row>
    <row r="77" spans="1:21" ht="31.5" customHeight="1">
      <c r="A77" s="46">
        <v>19</v>
      </c>
      <c r="B77" s="20" t="s">
        <v>97</v>
      </c>
      <c r="C77" s="22"/>
      <c r="D77" s="299" t="s">
        <v>68</v>
      </c>
      <c r="E77" s="249">
        <f>E76</f>
        <v>3053.4</v>
      </c>
      <c r="F77" s="18">
        <f>E77*12</f>
        <v>36640.800000000003</v>
      </c>
      <c r="G77" s="18">
        <v>1.63</v>
      </c>
      <c r="H77" s="268">
        <f>F77*G77/1000</f>
        <v>59.724504000000003</v>
      </c>
      <c r="I77" s="18">
        <f>F77/12*G77</f>
        <v>4977.0419999999995</v>
      </c>
    </row>
    <row r="78" spans="1:21" ht="15.75" customHeight="1">
      <c r="A78" s="46"/>
      <c r="B78" s="68" t="s">
        <v>102</v>
      </c>
      <c r="C78" s="269"/>
      <c r="D78" s="267"/>
      <c r="E78" s="270"/>
      <c r="F78" s="270"/>
      <c r="G78" s="270"/>
      <c r="H78" s="271">
        <f>SUM(H77)</f>
        <v>59.724504000000003</v>
      </c>
      <c r="I78" s="270">
        <f>I16+I17+I18+I20+I21+I23+I25+I26+I36+I37+I38+I39+I40+I41+I48+I55+I58+I76+I77</f>
        <v>45335.783525166662</v>
      </c>
    </row>
    <row r="79" spans="1:21" ht="15.75" customHeight="1">
      <c r="A79" s="46"/>
      <c r="B79" s="198" t="s">
        <v>74</v>
      </c>
      <c r="C79" s="22"/>
      <c r="D79" s="81"/>
      <c r="E79" s="18"/>
      <c r="F79" s="18"/>
      <c r="G79" s="18"/>
      <c r="H79" s="23"/>
      <c r="I79" s="255"/>
    </row>
    <row r="80" spans="1:21" ht="15.75" customHeight="1">
      <c r="A80" s="46">
        <v>20</v>
      </c>
      <c r="B80" s="199" t="s">
        <v>173</v>
      </c>
      <c r="C80" s="200" t="s">
        <v>142</v>
      </c>
      <c r="D80" s="81"/>
      <c r="E80" s="18"/>
      <c r="F80" s="18">
        <v>780</v>
      </c>
      <c r="G80" s="18">
        <v>50.68</v>
      </c>
      <c r="H80" s="268">
        <f>G80*F80/1000</f>
        <v>39.5304</v>
      </c>
      <c r="I80" s="18">
        <f>G80*65</f>
        <v>3294.2</v>
      </c>
    </row>
    <row r="81" spans="1:9" ht="31.5" customHeight="1">
      <c r="A81" s="46">
        <v>21</v>
      </c>
      <c r="B81" s="199" t="s">
        <v>236</v>
      </c>
      <c r="C81" s="200" t="s">
        <v>142</v>
      </c>
      <c r="D81" s="81"/>
      <c r="E81" s="18"/>
      <c r="F81" s="18">
        <v>1</v>
      </c>
      <c r="G81" s="18">
        <v>2179.33</v>
      </c>
      <c r="H81" s="268">
        <f>G81*F81/1000</f>
        <v>2.1793299999999998</v>
      </c>
      <c r="I81" s="18">
        <f>G81</f>
        <v>2179.33</v>
      </c>
    </row>
    <row r="82" spans="1:9" ht="31.5" customHeight="1">
      <c r="A82" s="46">
        <v>22</v>
      </c>
      <c r="B82" s="199" t="s">
        <v>111</v>
      </c>
      <c r="C82" s="200" t="s">
        <v>47</v>
      </c>
      <c r="D82" s="81"/>
      <c r="E82" s="18"/>
      <c r="F82" s="18">
        <f>3/100</f>
        <v>0.03</v>
      </c>
      <c r="G82" s="18">
        <v>3397.65</v>
      </c>
      <c r="H82" s="268">
        <f t="shared" ref="H82:H84" si="9">F82*G82/1000</f>
        <v>0.10192950000000001</v>
      </c>
      <c r="I82" s="18">
        <f>G82*0.01</f>
        <v>33.976500000000001</v>
      </c>
    </row>
    <row r="83" spans="1:9" ht="15.75" customHeight="1">
      <c r="A83" s="46">
        <v>23</v>
      </c>
      <c r="B83" s="199" t="s">
        <v>181</v>
      </c>
      <c r="C83" s="273" t="s">
        <v>104</v>
      </c>
      <c r="D83" s="81"/>
      <c r="E83" s="18"/>
      <c r="F83" s="18">
        <v>2</v>
      </c>
      <c r="G83" s="18">
        <v>18</v>
      </c>
      <c r="H83" s="268">
        <f t="shared" si="9"/>
        <v>3.5999999999999997E-2</v>
      </c>
      <c r="I83" s="18">
        <f>G83</f>
        <v>18</v>
      </c>
    </row>
    <row r="84" spans="1:9" ht="15.75" customHeight="1">
      <c r="A84" s="46">
        <v>24</v>
      </c>
      <c r="B84" s="199" t="s">
        <v>237</v>
      </c>
      <c r="C84" s="273" t="s">
        <v>238</v>
      </c>
      <c r="D84" s="81"/>
      <c r="E84" s="18"/>
      <c r="F84" s="18">
        <v>1</v>
      </c>
      <c r="G84" s="18">
        <v>1501</v>
      </c>
      <c r="H84" s="268">
        <f t="shared" si="9"/>
        <v>1.5009999999999999</v>
      </c>
      <c r="I84" s="18">
        <f>G84</f>
        <v>1501</v>
      </c>
    </row>
    <row r="85" spans="1:9" ht="15.75" customHeight="1">
      <c r="A85" s="46"/>
      <c r="B85" s="75" t="s">
        <v>63</v>
      </c>
      <c r="C85" s="71"/>
      <c r="D85" s="123"/>
      <c r="E85" s="71">
        <v>1</v>
      </c>
      <c r="F85" s="71"/>
      <c r="G85" s="71"/>
      <c r="H85" s="71"/>
      <c r="I85" s="53">
        <f>SUM(I80:I84)</f>
        <v>7026.5064999999995</v>
      </c>
    </row>
    <row r="86" spans="1:9" ht="15.75" customHeight="1">
      <c r="A86" s="46"/>
      <c r="B86" s="81" t="s">
        <v>98</v>
      </c>
      <c r="C86" s="21"/>
      <c r="D86" s="21"/>
      <c r="E86" s="72"/>
      <c r="F86" s="72"/>
      <c r="G86" s="73"/>
      <c r="H86" s="73"/>
      <c r="I86" s="24">
        <v>0</v>
      </c>
    </row>
    <row r="87" spans="1:9" ht="15.75" customHeight="1">
      <c r="A87" s="124"/>
      <c r="B87" s="76" t="s">
        <v>64</v>
      </c>
      <c r="C87" s="59"/>
      <c r="D87" s="59"/>
      <c r="E87" s="59"/>
      <c r="F87" s="59"/>
      <c r="G87" s="59"/>
      <c r="H87" s="59"/>
      <c r="I87" s="74">
        <f>I78+I85</f>
        <v>52362.290025166658</v>
      </c>
    </row>
    <row r="88" spans="1:9" ht="15.75">
      <c r="A88" s="240" t="s">
        <v>260</v>
      </c>
      <c r="B88" s="240"/>
      <c r="C88" s="240"/>
      <c r="D88" s="240"/>
      <c r="E88" s="240"/>
      <c r="F88" s="240"/>
      <c r="G88" s="240"/>
      <c r="H88" s="240"/>
      <c r="I88" s="240"/>
    </row>
    <row r="89" spans="1:9" ht="15.75">
      <c r="A89" s="205"/>
      <c r="B89" s="241" t="s">
        <v>261</v>
      </c>
      <c r="C89" s="241"/>
      <c r="D89" s="241"/>
      <c r="E89" s="241"/>
      <c r="F89" s="241"/>
      <c r="G89" s="241"/>
      <c r="H89" s="246"/>
      <c r="I89" s="3"/>
    </row>
    <row r="90" spans="1:9">
      <c r="A90" s="208"/>
      <c r="B90" s="222" t="s">
        <v>7</v>
      </c>
      <c r="C90" s="222"/>
      <c r="D90" s="222"/>
      <c r="E90" s="222"/>
      <c r="F90" s="222"/>
      <c r="G90" s="222"/>
      <c r="H90" s="37"/>
      <c r="I90" s="5"/>
    </row>
    <row r="91" spans="1:9" ht="15.75" customHeight="1">
      <c r="A91" s="11"/>
      <c r="B91" s="11"/>
      <c r="C91" s="11"/>
      <c r="D91" s="11"/>
      <c r="E91" s="11"/>
      <c r="F91" s="11"/>
      <c r="G91" s="11"/>
      <c r="H91" s="11"/>
      <c r="I91" s="11"/>
    </row>
    <row r="92" spans="1:9" ht="15.75" customHeight="1">
      <c r="A92" s="217" t="s">
        <v>8</v>
      </c>
      <c r="B92" s="217"/>
      <c r="C92" s="217"/>
      <c r="D92" s="217"/>
      <c r="E92" s="217"/>
      <c r="F92" s="217"/>
      <c r="G92" s="217"/>
      <c r="H92" s="217"/>
      <c r="I92" s="217"/>
    </row>
    <row r="93" spans="1:9" ht="15.75" customHeight="1">
      <c r="A93" s="217" t="s">
        <v>9</v>
      </c>
      <c r="B93" s="217"/>
      <c r="C93" s="217"/>
      <c r="D93" s="217"/>
      <c r="E93" s="217"/>
      <c r="F93" s="217"/>
      <c r="G93" s="217"/>
      <c r="H93" s="217"/>
      <c r="I93" s="217"/>
    </row>
    <row r="94" spans="1:9" ht="15.75" customHeight="1">
      <c r="A94" s="219" t="s">
        <v>76</v>
      </c>
      <c r="B94" s="219"/>
      <c r="C94" s="219"/>
      <c r="D94" s="219"/>
      <c r="E94" s="219"/>
      <c r="F94" s="219"/>
      <c r="G94" s="219"/>
      <c r="H94" s="219"/>
      <c r="I94" s="219"/>
    </row>
    <row r="95" spans="1:9" ht="7.5" customHeight="1">
      <c r="A95" s="12"/>
    </row>
    <row r="96" spans="1:9" ht="15.75" customHeight="1">
      <c r="A96" s="220" t="s">
        <v>11</v>
      </c>
      <c r="B96" s="220"/>
      <c r="C96" s="220"/>
      <c r="D96" s="220"/>
      <c r="E96" s="220"/>
      <c r="F96" s="220"/>
      <c r="G96" s="220"/>
      <c r="H96" s="220"/>
      <c r="I96" s="220"/>
    </row>
    <row r="97" spans="1:9" ht="15.75" customHeight="1">
      <c r="A97" s="4"/>
    </row>
    <row r="98" spans="1:9" ht="15.75" customHeight="1">
      <c r="B98" s="204" t="s">
        <v>12</v>
      </c>
      <c r="C98" s="224" t="s">
        <v>136</v>
      </c>
      <c r="D98" s="224"/>
      <c r="E98" s="224"/>
      <c r="F98" s="244"/>
      <c r="I98" s="207"/>
    </row>
    <row r="99" spans="1:9" ht="15.75" customHeight="1">
      <c r="A99" s="208"/>
      <c r="C99" s="222" t="s">
        <v>13</v>
      </c>
      <c r="D99" s="222"/>
      <c r="E99" s="222"/>
      <c r="F99" s="37"/>
      <c r="I99" s="206" t="s">
        <v>14</v>
      </c>
    </row>
    <row r="100" spans="1:9" ht="15.75" customHeight="1">
      <c r="A100" s="38"/>
      <c r="C100" s="13"/>
      <c r="D100" s="13"/>
      <c r="G100" s="13"/>
      <c r="H100" s="13"/>
    </row>
    <row r="101" spans="1:9" ht="15.75" customHeight="1">
      <c r="B101" s="204" t="s">
        <v>15</v>
      </c>
      <c r="C101" s="223"/>
      <c r="D101" s="223"/>
      <c r="E101" s="223"/>
      <c r="F101" s="245"/>
      <c r="I101" s="207"/>
    </row>
    <row r="102" spans="1:9" ht="15.75" customHeight="1">
      <c r="A102" s="208"/>
      <c r="C102" s="216" t="s">
        <v>13</v>
      </c>
      <c r="D102" s="216"/>
      <c r="E102" s="216"/>
      <c r="F102" s="208"/>
      <c r="I102" s="206" t="s">
        <v>14</v>
      </c>
    </row>
    <row r="103" spans="1:9" ht="15.75" customHeight="1">
      <c r="A103" s="4" t="s">
        <v>16</v>
      </c>
    </row>
    <row r="104" spans="1:9">
      <c r="A104" s="234" t="s">
        <v>17</v>
      </c>
      <c r="B104" s="234"/>
      <c r="C104" s="234"/>
      <c r="D104" s="234"/>
      <c r="E104" s="234"/>
      <c r="F104" s="234"/>
      <c r="G104" s="234"/>
      <c r="H104" s="234"/>
      <c r="I104" s="234"/>
    </row>
    <row r="105" spans="1:9" ht="47.25" customHeight="1">
      <c r="A105" s="235" t="s">
        <v>18</v>
      </c>
      <c r="B105" s="235"/>
      <c r="C105" s="235"/>
      <c r="D105" s="235"/>
      <c r="E105" s="235"/>
      <c r="F105" s="235"/>
      <c r="G105" s="235"/>
      <c r="H105" s="235"/>
      <c r="I105" s="235"/>
    </row>
    <row r="106" spans="1:9" ht="31.5" customHeight="1">
      <c r="A106" s="235" t="s">
        <v>19</v>
      </c>
      <c r="B106" s="235"/>
      <c r="C106" s="235"/>
      <c r="D106" s="235"/>
      <c r="E106" s="235"/>
      <c r="F106" s="235"/>
      <c r="G106" s="235"/>
      <c r="H106" s="235"/>
      <c r="I106" s="235"/>
    </row>
    <row r="107" spans="1:9" ht="31.5" customHeight="1">
      <c r="A107" s="235" t="s">
        <v>24</v>
      </c>
      <c r="B107" s="235"/>
      <c r="C107" s="235"/>
      <c r="D107" s="235"/>
      <c r="E107" s="235"/>
      <c r="F107" s="235"/>
      <c r="G107" s="235"/>
      <c r="H107" s="235"/>
      <c r="I107" s="235"/>
    </row>
    <row r="108" spans="1:9" ht="15.75">
      <c r="A108" s="235" t="s">
        <v>23</v>
      </c>
      <c r="B108" s="235"/>
      <c r="C108" s="235"/>
      <c r="D108" s="235"/>
      <c r="E108" s="235"/>
      <c r="F108" s="235"/>
      <c r="G108" s="235"/>
      <c r="H108" s="235"/>
      <c r="I108" s="235"/>
    </row>
  </sheetData>
  <autoFilter ref="I12:I62"/>
  <mergeCells count="28">
    <mergeCell ref="A105:I105"/>
    <mergeCell ref="A106:I106"/>
    <mergeCell ref="A107:I107"/>
    <mergeCell ref="A108:I108"/>
    <mergeCell ref="A96:I96"/>
    <mergeCell ref="C98:E98"/>
    <mergeCell ref="C99:E99"/>
    <mergeCell ref="C101:E101"/>
    <mergeCell ref="C102:E102"/>
    <mergeCell ref="A104:I104"/>
    <mergeCell ref="A88:I88"/>
    <mergeCell ref="B89:G89"/>
    <mergeCell ref="B90:G90"/>
    <mergeCell ref="A92:I92"/>
    <mergeCell ref="A93:I93"/>
    <mergeCell ref="A94:I94"/>
    <mergeCell ref="A15:I15"/>
    <mergeCell ref="A27:I27"/>
    <mergeCell ref="A42:I42"/>
    <mergeCell ref="A53:I53"/>
    <mergeCell ref="R67:U67"/>
    <mergeCell ref="A75:I7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0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123</v>
      </c>
      <c r="I1" s="40"/>
      <c r="J1" s="1"/>
      <c r="K1" s="1"/>
      <c r="L1" s="1"/>
      <c r="M1" s="1"/>
    </row>
    <row r="2" spans="1:13" ht="15.75" customHeight="1">
      <c r="A2" s="42" t="s">
        <v>79</v>
      </c>
      <c r="J2" s="2"/>
      <c r="K2" s="2"/>
      <c r="L2" s="2"/>
      <c r="M2" s="2"/>
    </row>
    <row r="3" spans="1:13" ht="15.75" customHeight="1">
      <c r="A3" s="236" t="s">
        <v>262</v>
      </c>
      <c r="B3" s="236"/>
      <c r="C3" s="236"/>
      <c r="D3" s="236"/>
      <c r="E3" s="236"/>
      <c r="F3" s="236"/>
      <c r="G3" s="236"/>
      <c r="H3" s="236"/>
      <c r="I3" s="236"/>
      <c r="J3" s="3"/>
      <c r="K3" s="3"/>
      <c r="L3" s="3"/>
    </row>
    <row r="4" spans="1:13" ht="31.5" customHeight="1">
      <c r="A4" s="237" t="s">
        <v>211</v>
      </c>
      <c r="B4" s="237"/>
      <c r="C4" s="237"/>
      <c r="D4" s="237"/>
      <c r="E4" s="237"/>
      <c r="F4" s="237"/>
      <c r="G4" s="237"/>
      <c r="H4" s="237"/>
      <c r="I4" s="237"/>
    </row>
    <row r="5" spans="1:13" ht="15.75" customHeight="1">
      <c r="A5" s="236" t="s">
        <v>105</v>
      </c>
      <c r="B5" s="238"/>
      <c r="C5" s="238"/>
      <c r="D5" s="238"/>
      <c r="E5" s="238"/>
      <c r="F5" s="238"/>
      <c r="G5" s="238"/>
      <c r="H5" s="238"/>
      <c r="I5" s="238"/>
      <c r="J5" s="2"/>
      <c r="K5" s="2"/>
      <c r="L5" s="2"/>
      <c r="M5" s="2"/>
    </row>
    <row r="6" spans="1:13" ht="15.75" customHeight="1">
      <c r="A6" s="2"/>
      <c r="B6" s="209"/>
      <c r="C6" s="209"/>
      <c r="D6" s="209"/>
      <c r="E6" s="209"/>
      <c r="F6" s="209"/>
      <c r="G6" s="209"/>
      <c r="H6" s="209"/>
      <c r="I6" s="50">
        <v>42460</v>
      </c>
      <c r="J6" s="2"/>
      <c r="K6" s="2"/>
      <c r="L6" s="2"/>
      <c r="M6" s="2"/>
    </row>
    <row r="7" spans="1:13" ht="15.75" customHeight="1">
      <c r="B7" s="204"/>
      <c r="C7" s="204"/>
      <c r="D7" s="20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4" t="s">
        <v>226</v>
      </c>
      <c r="B8" s="214"/>
      <c r="C8" s="214"/>
      <c r="D8" s="214"/>
      <c r="E8" s="214"/>
      <c r="F8" s="214"/>
      <c r="G8" s="214"/>
      <c r="H8" s="214"/>
      <c r="I8" s="21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5" t="s">
        <v>212</v>
      </c>
      <c r="B10" s="215"/>
      <c r="C10" s="215"/>
      <c r="D10" s="215"/>
      <c r="E10" s="215"/>
      <c r="F10" s="215"/>
      <c r="G10" s="215"/>
      <c r="H10" s="215"/>
      <c r="I10" s="21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9" t="s">
        <v>73</v>
      </c>
      <c r="B14" s="239"/>
      <c r="C14" s="239"/>
      <c r="D14" s="239"/>
      <c r="E14" s="239"/>
      <c r="F14" s="239"/>
      <c r="G14" s="239"/>
      <c r="H14" s="239"/>
      <c r="I14" s="239"/>
      <c r="J14" s="8"/>
      <c r="K14" s="8"/>
      <c r="L14" s="8"/>
      <c r="M14" s="8"/>
    </row>
    <row r="15" spans="1:13" ht="15.75" customHeight="1">
      <c r="A15" s="277" t="s">
        <v>4</v>
      </c>
      <c r="B15" s="277"/>
      <c r="C15" s="277"/>
      <c r="D15" s="277"/>
      <c r="E15" s="277"/>
      <c r="F15" s="277"/>
      <c r="G15" s="277"/>
      <c r="H15" s="277"/>
      <c r="I15" s="277"/>
      <c r="J15" s="8"/>
      <c r="K15" s="8"/>
      <c r="L15" s="8"/>
      <c r="M15" s="8"/>
    </row>
    <row r="16" spans="1:13" ht="31.5" customHeight="1">
      <c r="A16" s="46">
        <v>1</v>
      </c>
      <c r="B16" s="247" t="s">
        <v>125</v>
      </c>
      <c r="C16" s="248" t="s">
        <v>163</v>
      </c>
      <c r="D16" s="247" t="s">
        <v>228</v>
      </c>
      <c r="E16" s="249">
        <v>92.5</v>
      </c>
      <c r="F16" s="250">
        <f>SUM(E16*156/100)</f>
        <v>144.30000000000001</v>
      </c>
      <c r="G16" s="250">
        <v>175.38</v>
      </c>
      <c r="H16" s="251">
        <f t="shared" ref="H16:H24" si="0">SUM(F16*G16/1000)</f>
        <v>25.307334000000001</v>
      </c>
      <c r="I16" s="18">
        <f>F16/12*G16</f>
        <v>2108.9445000000001</v>
      </c>
      <c r="J16" s="8"/>
      <c r="K16" s="8"/>
      <c r="L16" s="8"/>
      <c r="M16" s="8"/>
    </row>
    <row r="17" spans="1:13" ht="31.5" customHeight="1">
      <c r="A17" s="46">
        <v>2</v>
      </c>
      <c r="B17" s="247" t="s">
        <v>185</v>
      </c>
      <c r="C17" s="248" t="s">
        <v>163</v>
      </c>
      <c r="D17" s="247" t="s">
        <v>229</v>
      </c>
      <c r="E17" s="249">
        <v>288.8</v>
      </c>
      <c r="F17" s="250">
        <f>SUM(E17*104/100)</f>
        <v>300.35200000000003</v>
      </c>
      <c r="G17" s="250">
        <v>175.38</v>
      </c>
      <c r="H17" s="251">
        <f t="shared" si="0"/>
        <v>52.67573376</v>
      </c>
      <c r="I17" s="18">
        <f>F17/12*G17</f>
        <v>4389.6444800000008</v>
      </c>
      <c r="J17" s="33"/>
      <c r="K17" s="8"/>
      <c r="L17" s="8"/>
      <c r="M17" s="8"/>
    </row>
    <row r="18" spans="1:13" ht="31.5" customHeight="1">
      <c r="A18" s="46">
        <v>3</v>
      </c>
      <c r="B18" s="247" t="s">
        <v>252</v>
      </c>
      <c r="C18" s="248" t="s">
        <v>163</v>
      </c>
      <c r="D18" s="247" t="s">
        <v>253</v>
      </c>
      <c r="E18" s="249">
        <f>SUM(E16+E17)</f>
        <v>381.3</v>
      </c>
      <c r="F18" s="250">
        <f>SUM(E18*12/100)</f>
        <v>45.756</v>
      </c>
      <c r="G18" s="250">
        <v>504.5</v>
      </c>
      <c r="H18" s="251">
        <f t="shared" si="0"/>
        <v>23.083902000000002</v>
      </c>
      <c r="I18" s="18">
        <f>F18/12*G18</f>
        <v>1923.6585</v>
      </c>
      <c r="J18" s="33"/>
      <c r="K18" s="8"/>
      <c r="L18" s="8"/>
      <c r="M18" s="8"/>
    </row>
    <row r="19" spans="1:13" ht="15.75" hidden="1" customHeight="1">
      <c r="A19" s="46">
        <v>4</v>
      </c>
      <c r="B19" s="247" t="s">
        <v>187</v>
      </c>
      <c r="C19" s="248" t="s">
        <v>188</v>
      </c>
      <c r="D19" s="247" t="s">
        <v>189</v>
      </c>
      <c r="E19" s="249">
        <v>19.2</v>
      </c>
      <c r="F19" s="250">
        <f>SUM(E19/10)</f>
        <v>1.92</v>
      </c>
      <c r="G19" s="250">
        <v>170.16</v>
      </c>
      <c r="H19" s="251">
        <f t="shared" si="0"/>
        <v>0.32670719999999998</v>
      </c>
      <c r="I19" s="18">
        <v>0</v>
      </c>
      <c r="J19" s="33"/>
      <c r="K19" s="8"/>
      <c r="L19" s="8"/>
      <c r="M19" s="8"/>
    </row>
    <row r="20" spans="1:13" ht="15.75" customHeight="1">
      <c r="A20" s="46">
        <v>4</v>
      </c>
      <c r="B20" s="247" t="s">
        <v>162</v>
      </c>
      <c r="C20" s="248" t="s">
        <v>163</v>
      </c>
      <c r="D20" s="247" t="s">
        <v>35</v>
      </c>
      <c r="E20" s="249">
        <v>27.3</v>
      </c>
      <c r="F20" s="250">
        <f>SUM(E20*12/100)</f>
        <v>3.2760000000000002</v>
      </c>
      <c r="G20" s="250">
        <v>217.88</v>
      </c>
      <c r="H20" s="251">
        <f t="shared" si="0"/>
        <v>0.71377488</v>
      </c>
      <c r="I20" s="18">
        <f>F20/12*G20</f>
        <v>59.48124</v>
      </c>
      <c r="J20" s="33"/>
      <c r="K20" s="8"/>
      <c r="L20" s="8"/>
      <c r="M20" s="8"/>
    </row>
    <row r="21" spans="1:13" ht="15.75" customHeight="1">
      <c r="A21" s="46">
        <v>5</v>
      </c>
      <c r="B21" s="247" t="s">
        <v>178</v>
      </c>
      <c r="C21" s="248" t="s">
        <v>163</v>
      </c>
      <c r="D21" s="247" t="s">
        <v>35</v>
      </c>
      <c r="E21" s="249">
        <v>9.08</v>
      </c>
      <c r="F21" s="250">
        <f>SUM(E21*12/100)</f>
        <v>1.0896000000000001</v>
      </c>
      <c r="G21" s="250">
        <v>216.12</v>
      </c>
      <c r="H21" s="251">
        <f t="shared" si="0"/>
        <v>0.23548435200000004</v>
      </c>
      <c r="I21" s="18">
        <f>F21/12*G21</f>
        <v>19.623696000000002</v>
      </c>
      <c r="J21" s="33"/>
      <c r="K21" s="8"/>
      <c r="L21" s="8"/>
      <c r="M21" s="8"/>
    </row>
    <row r="22" spans="1:13" ht="15.75" hidden="1" customHeight="1">
      <c r="A22" s="46">
        <v>7</v>
      </c>
      <c r="B22" s="247" t="s">
        <v>166</v>
      </c>
      <c r="C22" s="248" t="s">
        <v>65</v>
      </c>
      <c r="D22" s="247" t="s">
        <v>189</v>
      </c>
      <c r="E22" s="252">
        <v>12.6</v>
      </c>
      <c r="F22" s="250">
        <f>SUM(E22/100)</f>
        <v>0.126</v>
      </c>
      <c r="G22" s="250">
        <v>44.29</v>
      </c>
      <c r="H22" s="251">
        <f t="shared" si="0"/>
        <v>5.5805400000000002E-3</v>
      </c>
      <c r="I22" s="18">
        <v>0</v>
      </c>
      <c r="J22" s="33"/>
      <c r="K22" s="8"/>
      <c r="L22" s="8"/>
      <c r="M22" s="8"/>
    </row>
    <row r="23" spans="1:13" ht="15.75" customHeight="1">
      <c r="A23" s="46">
        <v>6</v>
      </c>
      <c r="B23" s="247" t="s">
        <v>168</v>
      </c>
      <c r="C23" s="248" t="s">
        <v>65</v>
      </c>
      <c r="D23" s="247" t="s">
        <v>169</v>
      </c>
      <c r="E23" s="249">
        <v>20</v>
      </c>
      <c r="F23" s="250">
        <f>E23*12/100</f>
        <v>2.4</v>
      </c>
      <c r="G23" s="250">
        <v>389.72</v>
      </c>
      <c r="H23" s="251">
        <f t="shared" si="0"/>
        <v>0.93532799999999994</v>
      </c>
      <c r="I23" s="18">
        <f>F23/12*G23</f>
        <v>77.944000000000003</v>
      </c>
      <c r="J23" s="33"/>
      <c r="K23" s="8"/>
      <c r="L23" s="8"/>
      <c r="M23" s="8"/>
    </row>
    <row r="24" spans="1:13" ht="15.75" hidden="1" customHeight="1">
      <c r="A24" s="46">
        <v>9</v>
      </c>
      <c r="B24" s="247" t="s">
        <v>170</v>
      </c>
      <c r="C24" s="248" t="s">
        <v>65</v>
      </c>
      <c r="D24" s="247" t="s">
        <v>189</v>
      </c>
      <c r="E24" s="249">
        <v>17</v>
      </c>
      <c r="F24" s="250">
        <f>SUM(E24/100)</f>
        <v>0.17</v>
      </c>
      <c r="G24" s="250">
        <v>520.79999999999995</v>
      </c>
      <c r="H24" s="251">
        <f t="shared" si="0"/>
        <v>8.8536000000000004E-2</v>
      </c>
      <c r="I24" s="18">
        <v>0</v>
      </c>
      <c r="J24" s="33"/>
      <c r="K24" s="8"/>
      <c r="L24" s="8"/>
      <c r="M24" s="8"/>
    </row>
    <row r="25" spans="1:13" ht="15.75" customHeight="1">
      <c r="A25" s="46">
        <v>7</v>
      </c>
      <c r="B25" s="247" t="s">
        <v>81</v>
      </c>
      <c r="C25" s="248" t="s">
        <v>38</v>
      </c>
      <c r="D25" s="247" t="s">
        <v>232</v>
      </c>
      <c r="E25" s="249">
        <v>0.1</v>
      </c>
      <c r="F25" s="250">
        <f>SUM(E25*365)</f>
        <v>36.5</v>
      </c>
      <c r="G25" s="250">
        <v>147.03</v>
      </c>
      <c r="H25" s="251">
        <f>SUM(F25*G25/1000)</f>
        <v>5.3665950000000002</v>
      </c>
      <c r="I25" s="18">
        <f>F25/12*G25</f>
        <v>447.21625</v>
      </c>
      <c r="J25" s="33"/>
      <c r="K25" s="8"/>
      <c r="L25" s="8"/>
      <c r="M25" s="8"/>
    </row>
    <row r="26" spans="1:13" ht="15.75" customHeight="1">
      <c r="A26" s="46">
        <v>8</v>
      </c>
      <c r="B26" s="257" t="s">
        <v>26</v>
      </c>
      <c r="C26" s="248" t="s">
        <v>27</v>
      </c>
      <c r="D26" s="257" t="s">
        <v>234</v>
      </c>
      <c r="E26" s="249">
        <v>3053.4</v>
      </c>
      <c r="F26" s="250">
        <f>SUM(E26*12)</f>
        <v>36640.800000000003</v>
      </c>
      <c r="G26" s="250">
        <v>4.55</v>
      </c>
      <c r="H26" s="251">
        <f>SUM(F26*G26/1000)</f>
        <v>166.71564000000001</v>
      </c>
      <c r="I26" s="18">
        <f>F26/12*G26</f>
        <v>13892.97</v>
      </c>
      <c r="J26" s="34"/>
    </row>
    <row r="27" spans="1:13" ht="15.75" customHeight="1">
      <c r="A27" s="278" t="s">
        <v>120</v>
      </c>
      <c r="B27" s="279"/>
      <c r="C27" s="279"/>
      <c r="D27" s="279"/>
      <c r="E27" s="279"/>
      <c r="F27" s="279"/>
      <c r="G27" s="279"/>
      <c r="H27" s="279"/>
      <c r="I27" s="280"/>
      <c r="J27" s="33"/>
      <c r="K27" s="8"/>
      <c r="L27" s="8"/>
      <c r="M27" s="8"/>
    </row>
    <row r="28" spans="1:13" ht="15.75" hidden="1" customHeight="1">
      <c r="A28" s="46"/>
      <c r="B28" s="281" t="s">
        <v>33</v>
      </c>
      <c r="C28" s="248"/>
      <c r="D28" s="247"/>
      <c r="E28" s="249"/>
      <c r="F28" s="250"/>
      <c r="G28" s="250"/>
      <c r="H28" s="254"/>
      <c r="I28" s="255"/>
      <c r="J28" s="33"/>
      <c r="K28" s="8"/>
      <c r="L28" s="8"/>
      <c r="M28" s="8"/>
    </row>
    <row r="29" spans="1:13" ht="31.5" hidden="1" customHeight="1">
      <c r="A29" s="46">
        <v>9</v>
      </c>
      <c r="B29" s="247" t="s">
        <v>190</v>
      </c>
      <c r="C29" s="248" t="s">
        <v>191</v>
      </c>
      <c r="D29" s="247" t="s">
        <v>230</v>
      </c>
      <c r="E29" s="250">
        <v>561.6</v>
      </c>
      <c r="F29" s="250">
        <f>SUM(E29*52/1000)</f>
        <v>29.203200000000002</v>
      </c>
      <c r="G29" s="250">
        <v>155.88999999999999</v>
      </c>
      <c r="H29" s="251">
        <f t="shared" ref="H29:H34" si="1">SUM(F29*G29/1000)</f>
        <v>4.5524868479999991</v>
      </c>
      <c r="I29" s="18">
        <f t="shared" ref="I29:I32" si="2">F29/6*G29</f>
        <v>758.74780799999996</v>
      </c>
      <c r="J29" s="33"/>
      <c r="K29" s="8"/>
      <c r="L29" s="8"/>
      <c r="M29" s="8"/>
    </row>
    <row r="30" spans="1:13" ht="31.5" hidden="1" customHeight="1">
      <c r="A30" s="46">
        <v>10</v>
      </c>
      <c r="B30" s="247" t="s">
        <v>254</v>
      </c>
      <c r="C30" s="248" t="s">
        <v>191</v>
      </c>
      <c r="D30" s="247" t="s">
        <v>231</v>
      </c>
      <c r="E30" s="250">
        <v>205.7</v>
      </c>
      <c r="F30" s="250">
        <f>SUM(E30*78/1000)</f>
        <v>16.044599999999999</v>
      </c>
      <c r="G30" s="250">
        <v>258.63</v>
      </c>
      <c r="H30" s="251">
        <f t="shared" si="1"/>
        <v>4.1496148979999994</v>
      </c>
      <c r="I30" s="18">
        <f t="shared" si="2"/>
        <v>691.60248299999989</v>
      </c>
      <c r="J30" s="33"/>
      <c r="K30" s="8"/>
      <c r="L30" s="8"/>
      <c r="M30" s="8"/>
    </row>
    <row r="31" spans="1:13" ht="15.75" hidden="1" customHeight="1">
      <c r="A31" s="46">
        <v>11</v>
      </c>
      <c r="B31" s="247" t="s">
        <v>32</v>
      </c>
      <c r="C31" s="248" t="s">
        <v>191</v>
      </c>
      <c r="D31" s="247" t="s">
        <v>66</v>
      </c>
      <c r="E31" s="250">
        <v>561.6</v>
      </c>
      <c r="F31" s="250">
        <f>SUM(E31/1000)</f>
        <v>0.56159999999999999</v>
      </c>
      <c r="G31" s="250">
        <v>3020.33</v>
      </c>
      <c r="H31" s="251">
        <f t="shared" si="1"/>
        <v>1.6962173279999999</v>
      </c>
      <c r="I31" s="18">
        <f>F31*G31</f>
        <v>1696.217328</v>
      </c>
      <c r="J31" s="33"/>
      <c r="K31" s="8"/>
      <c r="L31" s="8"/>
      <c r="M31" s="8"/>
    </row>
    <row r="32" spans="1:13" ht="15.75" hidden="1" customHeight="1">
      <c r="A32" s="46">
        <v>11</v>
      </c>
      <c r="B32" s="247" t="s">
        <v>193</v>
      </c>
      <c r="C32" s="248" t="s">
        <v>36</v>
      </c>
      <c r="D32" s="247" t="s">
        <v>80</v>
      </c>
      <c r="E32" s="256">
        <v>0.33333333333333331</v>
      </c>
      <c r="F32" s="250">
        <f>155/3</f>
        <v>51.666666666666664</v>
      </c>
      <c r="G32" s="250">
        <v>56.69</v>
      </c>
      <c r="H32" s="251">
        <f>SUM(G32*155/3/1000)</f>
        <v>2.9289833333333331</v>
      </c>
      <c r="I32" s="18">
        <f t="shared" si="2"/>
        <v>488.16388888888883</v>
      </c>
      <c r="J32" s="33"/>
      <c r="K32" s="8"/>
      <c r="L32" s="8"/>
      <c r="M32" s="8"/>
    </row>
    <row r="33" spans="1:14" ht="15.75" hidden="1" customHeight="1">
      <c r="A33" s="46"/>
      <c r="B33" s="247" t="s">
        <v>82</v>
      </c>
      <c r="C33" s="248" t="s">
        <v>38</v>
      </c>
      <c r="D33" s="247" t="s">
        <v>84</v>
      </c>
      <c r="E33" s="249"/>
      <c r="F33" s="250">
        <v>2</v>
      </c>
      <c r="G33" s="250">
        <v>191.32</v>
      </c>
      <c r="H33" s="251">
        <f t="shared" si="1"/>
        <v>0.38263999999999998</v>
      </c>
      <c r="I33" s="18">
        <v>0</v>
      </c>
      <c r="J33" s="33"/>
      <c r="K33" s="8"/>
      <c r="L33" s="8"/>
      <c r="M33" s="8"/>
    </row>
    <row r="34" spans="1:14" ht="15.75" hidden="1" customHeight="1">
      <c r="A34" s="46"/>
      <c r="B34" s="247" t="s">
        <v>83</v>
      </c>
      <c r="C34" s="248" t="s">
        <v>37</v>
      </c>
      <c r="D34" s="247" t="s">
        <v>84</v>
      </c>
      <c r="E34" s="249"/>
      <c r="F34" s="250">
        <v>1</v>
      </c>
      <c r="G34" s="250">
        <v>1136.33</v>
      </c>
      <c r="H34" s="251">
        <f t="shared" si="1"/>
        <v>1.1363299999999998</v>
      </c>
      <c r="I34" s="18">
        <v>0</v>
      </c>
      <c r="J34" s="33"/>
      <c r="K34" s="8"/>
    </row>
    <row r="35" spans="1:14" ht="15.75" customHeight="1">
      <c r="A35" s="46"/>
      <c r="B35" s="281" t="s">
        <v>5</v>
      </c>
      <c r="C35" s="248"/>
      <c r="D35" s="247"/>
      <c r="E35" s="249"/>
      <c r="F35" s="250"/>
      <c r="G35" s="250"/>
      <c r="H35" s="254" t="s">
        <v>234</v>
      </c>
      <c r="I35" s="255"/>
      <c r="J35" s="34"/>
    </row>
    <row r="36" spans="1:14" ht="15.75" customHeight="1">
      <c r="A36" s="46">
        <v>9</v>
      </c>
      <c r="B36" s="247" t="s">
        <v>31</v>
      </c>
      <c r="C36" s="248" t="s">
        <v>37</v>
      </c>
      <c r="D36" s="247"/>
      <c r="E36" s="249"/>
      <c r="F36" s="250">
        <v>3</v>
      </c>
      <c r="G36" s="250">
        <v>1527.22</v>
      </c>
      <c r="H36" s="251">
        <f t="shared" ref="H36:H38" si="3">SUM(F36*G36/1000)</f>
        <v>4.5816600000000003</v>
      </c>
      <c r="I36" s="18">
        <f t="shared" ref="I36:I41" si="4">F36/6*G36</f>
        <v>763.61</v>
      </c>
      <c r="J36" s="34"/>
    </row>
    <row r="37" spans="1:14" ht="15.75" customHeight="1">
      <c r="A37" s="46">
        <v>10</v>
      </c>
      <c r="B37" s="247" t="s">
        <v>85</v>
      </c>
      <c r="C37" s="248" t="s">
        <v>34</v>
      </c>
      <c r="D37" s="247" t="s">
        <v>217</v>
      </c>
      <c r="E37" s="250">
        <v>205.7</v>
      </c>
      <c r="F37" s="250">
        <f>SUM(E37*20/1000)</f>
        <v>4.1139999999999999</v>
      </c>
      <c r="G37" s="250">
        <v>2102.71</v>
      </c>
      <c r="H37" s="251">
        <f t="shared" si="3"/>
        <v>8.6505489400000002</v>
      </c>
      <c r="I37" s="18">
        <f t="shared" si="4"/>
        <v>1441.7581566666665</v>
      </c>
      <c r="J37" s="34"/>
    </row>
    <row r="38" spans="1:14" ht="15.75" customHeight="1">
      <c r="A38" s="46">
        <v>11</v>
      </c>
      <c r="B38" s="247" t="s">
        <v>86</v>
      </c>
      <c r="C38" s="248" t="s">
        <v>34</v>
      </c>
      <c r="D38" s="247" t="s">
        <v>218</v>
      </c>
      <c r="E38" s="249">
        <v>89.1</v>
      </c>
      <c r="F38" s="250">
        <f>SUM(E38*155/1000)</f>
        <v>13.810499999999999</v>
      </c>
      <c r="G38" s="250">
        <v>350.75</v>
      </c>
      <c r="H38" s="251">
        <f t="shared" si="3"/>
        <v>4.8440328749999999</v>
      </c>
      <c r="I38" s="18">
        <f t="shared" si="4"/>
        <v>807.3388124999999</v>
      </c>
      <c r="J38" s="34"/>
    </row>
    <row r="39" spans="1:14" ht="47.25" customHeight="1">
      <c r="A39" s="46">
        <v>12</v>
      </c>
      <c r="B39" s="247" t="s">
        <v>112</v>
      </c>
      <c r="C39" s="248" t="s">
        <v>191</v>
      </c>
      <c r="D39" s="247" t="s">
        <v>219</v>
      </c>
      <c r="E39" s="250">
        <v>48</v>
      </c>
      <c r="F39" s="250">
        <f>SUM(E39*50/1000)</f>
        <v>2.4</v>
      </c>
      <c r="G39" s="250">
        <v>5803.28</v>
      </c>
      <c r="H39" s="251">
        <f>SUM(F39*G39/1000)</f>
        <v>13.927871999999999</v>
      </c>
      <c r="I39" s="18">
        <f t="shared" si="4"/>
        <v>2321.3119999999999</v>
      </c>
      <c r="J39" s="34"/>
    </row>
    <row r="40" spans="1:14" ht="15.75" customHeight="1">
      <c r="A40" s="46">
        <v>13</v>
      </c>
      <c r="B40" s="247" t="s">
        <v>195</v>
      </c>
      <c r="C40" s="248" t="s">
        <v>191</v>
      </c>
      <c r="D40" s="247" t="s">
        <v>87</v>
      </c>
      <c r="E40" s="250">
        <v>89</v>
      </c>
      <c r="F40" s="250">
        <f>SUM(E40*45/1000)</f>
        <v>4.0049999999999999</v>
      </c>
      <c r="G40" s="250">
        <v>428.7</v>
      </c>
      <c r="H40" s="251">
        <f t="shared" ref="H40:H41" si="5">SUM(F40*G40/1000)</f>
        <v>1.7169435</v>
      </c>
      <c r="I40" s="18">
        <f t="shared" si="4"/>
        <v>286.15724999999998</v>
      </c>
      <c r="J40" s="34"/>
      <c r="L40" s="27"/>
      <c r="M40" s="28"/>
      <c r="N40" s="29"/>
    </row>
    <row r="41" spans="1:14" ht="15.75" customHeight="1">
      <c r="A41" s="285">
        <v>14</v>
      </c>
      <c r="B41" s="261" t="s">
        <v>88</v>
      </c>
      <c r="C41" s="262" t="s">
        <v>38</v>
      </c>
      <c r="D41" s="261"/>
      <c r="E41" s="258"/>
      <c r="F41" s="263">
        <v>0.9</v>
      </c>
      <c r="G41" s="263">
        <v>798</v>
      </c>
      <c r="H41" s="264">
        <f t="shared" si="5"/>
        <v>0.71820000000000006</v>
      </c>
      <c r="I41" s="286">
        <f t="shared" si="4"/>
        <v>119.69999999999999</v>
      </c>
      <c r="J41" s="34"/>
      <c r="L41" s="27"/>
      <c r="M41" s="28"/>
      <c r="N41" s="29"/>
    </row>
    <row r="42" spans="1:14" ht="15.75" hidden="1" customHeight="1">
      <c r="A42" s="282" t="s">
        <v>255</v>
      </c>
      <c r="B42" s="283"/>
      <c r="C42" s="283"/>
      <c r="D42" s="283"/>
      <c r="E42" s="283"/>
      <c r="F42" s="283"/>
      <c r="G42" s="283"/>
      <c r="H42" s="283"/>
      <c r="I42" s="284"/>
      <c r="J42" s="34"/>
      <c r="L42" s="27"/>
      <c r="M42" s="28"/>
      <c r="N42" s="29"/>
    </row>
    <row r="43" spans="1:14" ht="15.75" hidden="1" customHeight="1">
      <c r="A43" s="287"/>
      <c r="B43" s="288" t="s">
        <v>196</v>
      </c>
      <c r="C43" s="289" t="s">
        <v>191</v>
      </c>
      <c r="D43" s="288" t="s">
        <v>53</v>
      </c>
      <c r="E43" s="290">
        <v>1632.75</v>
      </c>
      <c r="F43" s="291">
        <f>SUM(E43*2/1000)</f>
        <v>3.2654999999999998</v>
      </c>
      <c r="G43" s="292">
        <v>809.74</v>
      </c>
      <c r="H43" s="293">
        <f t="shared" ref="H43:H52" si="6">SUM(F43*G43/1000)</f>
        <v>2.6442059699999998</v>
      </c>
      <c r="I43" s="292">
        <v>0</v>
      </c>
      <c r="J43" s="34"/>
      <c r="L43" s="27"/>
      <c r="M43" s="28"/>
      <c r="N43" s="29"/>
    </row>
    <row r="44" spans="1:14" ht="15.75" hidden="1" customHeight="1">
      <c r="A44" s="46"/>
      <c r="B44" s="247" t="s">
        <v>42</v>
      </c>
      <c r="C44" s="248" t="s">
        <v>191</v>
      </c>
      <c r="D44" s="247" t="s">
        <v>53</v>
      </c>
      <c r="E44" s="249">
        <v>53.75</v>
      </c>
      <c r="F44" s="250">
        <f>SUM(E44*2/1000)</f>
        <v>0.1075</v>
      </c>
      <c r="G44" s="18">
        <v>579.48</v>
      </c>
      <c r="H44" s="251">
        <f t="shared" si="6"/>
        <v>6.2294099999999998E-2</v>
      </c>
      <c r="I44" s="18">
        <v>0</v>
      </c>
      <c r="J44" s="34"/>
      <c r="L44" s="27"/>
      <c r="M44" s="28"/>
      <c r="N44" s="29"/>
    </row>
    <row r="45" spans="1:14" ht="15.75" hidden="1" customHeight="1">
      <c r="A45" s="46"/>
      <c r="B45" s="247" t="s">
        <v>43</v>
      </c>
      <c r="C45" s="248" t="s">
        <v>191</v>
      </c>
      <c r="D45" s="247" t="s">
        <v>53</v>
      </c>
      <c r="E45" s="249">
        <v>2285.6</v>
      </c>
      <c r="F45" s="250">
        <f>SUM(E45*2/1000)</f>
        <v>4.5712000000000002</v>
      </c>
      <c r="G45" s="18">
        <v>579.48</v>
      </c>
      <c r="H45" s="251">
        <f t="shared" si="6"/>
        <v>2.6489189760000005</v>
      </c>
      <c r="I45" s="18">
        <v>0</v>
      </c>
      <c r="J45" s="34"/>
      <c r="L45" s="27"/>
      <c r="M45" s="28"/>
      <c r="N45" s="29"/>
    </row>
    <row r="46" spans="1:14" ht="15.75" hidden="1" customHeight="1">
      <c r="A46" s="46"/>
      <c r="B46" s="247" t="s">
        <v>44</v>
      </c>
      <c r="C46" s="248" t="s">
        <v>191</v>
      </c>
      <c r="D46" s="247" t="s">
        <v>53</v>
      </c>
      <c r="E46" s="249">
        <v>1860</v>
      </c>
      <c r="F46" s="250">
        <f>SUM(E46*2/1000)</f>
        <v>3.72</v>
      </c>
      <c r="G46" s="18">
        <v>606.77</v>
      </c>
      <c r="H46" s="251">
        <f t="shared" si="6"/>
        <v>2.2571844000000003</v>
      </c>
      <c r="I46" s="18">
        <v>0</v>
      </c>
      <c r="J46" s="34"/>
      <c r="L46" s="27"/>
      <c r="M46" s="28"/>
      <c r="N46" s="29"/>
    </row>
    <row r="47" spans="1:14" ht="15.75" hidden="1" customHeight="1">
      <c r="A47" s="46"/>
      <c r="B47" s="247" t="s">
        <v>40</v>
      </c>
      <c r="C47" s="248" t="s">
        <v>41</v>
      </c>
      <c r="D47" s="247" t="s">
        <v>53</v>
      </c>
      <c r="E47" s="249">
        <v>120.49</v>
      </c>
      <c r="F47" s="250">
        <f>SUM(E47*2/100)</f>
        <v>2.4097999999999997</v>
      </c>
      <c r="G47" s="18">
        <v>72.81</v>
      </c>
      <c r="H47" s="251">
        <f t="shared" si="6"/>
        <v>0.17545753799999997</v>
      </c>
      <c r="I47" s="18">
        <v>0</v>
      </c>
      <c r="J47" s="34"/>
      <c r="L47" s="27"/>
      <c r="M47" s="28"/>
      <c r="N47" s="29"/>
    </row>
    <row r="48" spans="1:14" ht="15.75" hidden="1" customHeight="1">
      <c r="A48" s="46">
        <v>15</v>
      </c>
      <c r="B48" s="247" t="s">
        <v>70</v>
      </c>
      <c r="C48" s="248" t="s">
        <v>191</v>
      </c>
      <c r="D48" s="247" t="s">
        <v>258</v>
      </c>
      <c r="E48" s="249">
        <v>1728</v>
      </c>
      <c r="F48" s="250">
        <f>SUM(E48*5/1000)</f>
        <v>8.64</v>
      </c>
      <c r="G48" s="18">
        <v>1213.55</v>
      </c>
      <c r="H48" s="251">
        <f t="shared" si="6"/>
        <v>10.485072000000001</v>
      </c>
      <c r="I48" s="18">
        <f>F48/5*G48</f>
        <v>2097.0144</v>
      </c>
      <c r="J48" s="34"/>
      <c r="L48" s="27"/>
      <c r="M48" s="28"/>
      <c r="N48" s="29"/>
    </row>
    <row r="49" spans="1:22" ht="31.5" hidden="1" customHeight="1">
      <c r="A49" s="46"/>
      <c r="B49" s="247" t="s">
        <v>198</v>
      </c>
      <c r="C49" s="248" t="s">
        <v>191</v>
      </c>
      <c r="D49" s="247" t="s">
        <v>53</v>
      </c>
      <c r="E49" s="249">
        <v>1728</v>
      </c>
      <c r="F49" s="250">
        <f>SUM(E49*2/1000)</f>
        <v>3.456</v>
      </c>
      <c r="G49" s="18">
        <v>1213.55</v>
      </c>
      <c r="H49" s="251">
        <f t="shared" si="6"/>
        <v>4.1940287999999999</v>
      </c>
      <c r="I49" s="18">
        <v>0</v>
      </c>
      <c r="J49" s="34"/>
      <c r="L49" s="27"/>
      <c r="M49" s="28"/>
      <c r="N49" s="29"/>
    </row>
    <row r="50" spans="1:22" ht="31.5" hidden="1" customHeight="1">
      <c r="A50" s="46"/>
      <c r="B50" s="247" t="s">
        <v>235</v>
      </c>
      <c r="C50" s="248" t="s">
        <v>47</v>
      </c>
      <c r="D50" s="247" t="s">
        <v>53</v>
      </c>
      <c r="E50" s="249">
        <v>20</v>
      </c>
      <c r="F50" s="250">
        <f>SUM(E50*2/100)</f>
        <v>0.4</v>
      </c>
      <c r="G50" s="18">
        <v>2730.49</v>
      </c>
      <c r="H50" s="251">
        <f t="shared" si="6"/>
        <v>1.0921959999999999</v>
      </c>
      <c r="I50" s="18">
        <v>0</v>
      </c>
      <c r="J50" s="34"/>
      <c r="L50" s="27"/>
      <c r="M50" s="28"/>
      <c r="N50" s="29"/>
    </row>
    <row r="51" spans="1:22" ht="15.75" hidden="1" customHeight="1">
      <c r="A51" s="46"/>
      <c r="B51" s="247" t="s">
        <v>48</v>
      </c>
      <c r="C51" s="248" t="s">
        <v>49</v>
      </c>
      <c r="D51" s="247" t="s">
        <v>53</v>
      </c>
      <c r="E51" s="249">
        <v>1</v>
      </c>
      <c r="F51" s="250">
        <v>0.02</v>
      </c>
      <c r="G51" s="18">
        <v>5652.13</v>
      </c>
      <c r="H51" s="251">
        <f t="shared" si="6"/>
        <v>0.11304260000000001</v>
      </c>
      <c r="I51" s="18">
        <v>0</v>
      </c>
      <c r="J51" s="34"/>
      <c r="L51" s="27"/>
      <c r="M51" s="28"/>
      <c r="N51" s="29"/>
    </row>
    <row r="52" spans="1:22" ht="15.75" hidden="1" customHeight="1">
      <c r="A52" s="285">
        <v>16</v>
      </c>
      <c r="B52" s="261" t="s">
        <v>52</v>
      </c>
      <c r="C52" s="262" t="s">
        <v>142</v>
      </c>
      <c r="D52" s="261" t="s">
        <v>89</v>
      </c>
      <c r="E52" s="258">
        <v>128</v>
      </c>
      <c r="F52" s="263">
        <f>SUM(E52)*3</f>
        <v>384</v>
      </c>
      <c r="G52" s="286">
        <v>65.67</v>
      </c>
      <c r="H52" s="264">
        <f t="shared" si="6"/>
        <v>25.217279999999999</v>
      </c>
      <c r="I52" s="286">
        <f>24*G52</f>
        <v>1576.08</v>
      </c>
      <c r="J52" s="34"/>
      <c r="L52" s="27"/>
      <c r="M52" s="28"/>
      <c r="N52" s="29"/>
    </row>
    <row r="53" spans="1:22" ht="15.75" customHeight="1">
      <c r="A53" s="282" t="s">
        <v>263</v>
      </c>
      <c r="B53" s="283"/>
      <c r="C53" s="283"/>
      <c r="D53" s="283"/>
      <c r="E53" s="283"/>
      <c r="F53" s="283"/>
      <c r="G53" s="283"/>
      <c r="H53" s="283"/>
      <c r="I53" s="284"/>
      <c r="J53" s="34"/>
      <c r="L53" s="27"/>
      <c r="M53" s="28"/>
      <c r="N53" s="29"/>
    </row>
    <row r="54" spans="1:22" ht="15.75" customHeight="1">
      <c r="A54" s="287"/>
      <c r="B54" s="301" t="s">
        <v>54</v>
      </c>
      <c r="C54" s="289"/>
      <c r="D54" s="288"/>
      <c r="E54" s="290"/>
      <c r="F54" s="291"/>
      <c r="G54" s="291"/>
      <c r="H54" s="302"/>
      <c r="I54" s="303"/>
      <c r="J54" s="34"/>
      <c r="L54" s="27"/>
      <c r="M54" s="28"/>
      <c r="N54" s="29"/>
    </row>
    <row r="55" spans="1:22" ht="31.5" customHeight="1">
      <c r="A55" s="46">
        <v>15</v>
      </c>
      <c r="B55" s="247" t="s">
        <v>200</v>
      </c>
      <c r="C55" s="248" t="s">
        <v>163</v>
      </c>
      <c r="D55" s="247" t="s">
        <v>201</v>
      </c>
      <c r="E55" s="249">
        <v>163.30000000000001</v>
      </c>
      <c r="F55" s="250">
        <f>SUM(E55*6/100)</f>
        <v>9.798</v>
      </c>
      <c r="G55" s="18">
        <v>1547.28</v>
      </c>
      <c r="H55" s="251">
        <f>SUM(F55*G55/1000)</f>
        <v>15.160249439999999</v>
      </c>
      <c r="I55" s="18">
        <f>F55/6*G55</f>
        <v>2526.7082399999999</v>
      </c>
      <c r="J55" s="34"/>
      <c r="L55" s="27"/>
      <c r="M55" s="28"/>
      <c r="N55" s="29"/>
    </row>
    <row r="56" spans="1:22" ht="15.75" customHeight="1">
      <c r="A56" s="46"/>
      <c r="B56" s="281" t="s">
        <v>55</v>
      </c>
      <c r="C56" s="248"/>
      <c r="D56" s="247"/>
      <c r="E56" s="249"/>
      <c r="F56" s="250"/>
      <c r="G56" s="250"/>
      <c r="H56" s="251" t="s">
        <v>234</v>
      </c>
      <c r="I56" s="255"/>
      <c r="J56" s="34"/>
      <c r="L56" s="27"/>
      <c r="M56" s="28"/>
      <c r="N56" s="29"/>
    </row>
    <row r="57" spans="1:22" ht="15.75" hidden="1" customHeight="1">
      <c r="A57" s="46"/>
      <c r="B57" s="247" t="s">
        <v>56</v>
      </c>
      <c r="C57" s="248" t="s">
        <v>163</v>
      </c>
      <c r="D57" s="247" t="s">
        <v>66</v>
      </c>
      <c r="E57" s="258">
        <v>1155.2</v>
      </c>
      <c r="F57" s="259">
        <v>11.6</v>
      </c>
      <c r="G57" s="18">
        <v>793.61</v>
      </c>
      <c r="H57" s="260">
        <v>9.1679999999999993</v>
      </c>
      <c r="I57" s="18">
        <v>0</v>
      </c>
      <c r="J57" s="34"/>
      <c r="L57" s="27"/>
      <c r="M57" s="28"/>
      <c r="N57" s="29"/>
    </row>
    <row r="58" spans="1:22" ht="15.75" customHeight="1">
      <c r="A58" s="46">
        <v>16</v>
      </c>
      <c r="B58" s="261" t="s">
        <v>144</v>
      </c>
      <c r="C58" s="262" t="s">
        <v>29</v>
      </c>
      <c r="D58" s="261" t="s">
        <v>35</v>
      </c>
      <c r="E58" s="258">
        <v>255.2</v>
      </c>
      <c r="F58" s="263">
        <v>3062.4</v>
      </c>
      <c r="G58" s="243">
        <v>2.6</v>
      </c>
      <c r="H58" s="264">
        <f>G58*F58/1000</f>
        <v>7.9622400000000004</v>
      </c>
      <c r="I58" s="18">
        <f>F58/12*G58</f>
        <v>663.5200000000001</v>
      </c>
      <c r="J58" s="34"/>
      <c r="L58" s="27"/>
      <c r="M58" s="28"/>
      <c r="N58" s="29"/>
    </row>
    <row r="59" spans="1:22" ht="15.75" hidden="1" customHeight="1">
      <c r="A59" s="46"/>
      <c r="B59" s="294" t="s">
        <v>57</v>
      </c>
      <c r="C59" s="262"/>
      <c r="D59" s="261"/>
      <c r="E59" s="258"/>
      <c r="F59" s="263"/>
      <c r="G59" s="263"/>
      <c r="H59" s="264" t="s">
        <v>234</v>
      </c>
      <c r="I59" s="255"/>
      <c r="J59" s="34"/>
      <c r="L59" s="27"/>
      <c r="M59" s="28"/>
      <c r="N59" s="29"/>
    </row>
    <row r="60" spans="1:22" ht="15.75" hidden="1" customHeight="1">
      <c r="A60" s="46"/>
      <c r="B60" s="20" t="s">
        <v>58</v>
      </c>
      <c r="C60" s="22" t="s">
        <v>142</v>
      </c>
      <c r="D60" s="20" t="s">
        <v>233</v>
      </c>
      <c r="E60" s="25">
        <v>5</v>
      </c>
      <c r="F60" s="250">
        <v>5</v>
      </c>
      <c r="G60" s="18">
        <v>222.4</v>
      </c>
      <c r="H60" s="265">
        <f t="shared" ref="H60:H67" si="7">SUM(F60*G60/1000)</f>
        <v>1.1120000000000001</v>
      </c>
      <c r="I60" s="18">
        <v>0</v>
      </c>
      <c r="J60" s="34"/>
      <c r="L60" s="27"/>
    </row>
    <row r="61" spans="1:22" ht="15.75" hidden="1" customHeight="1">
      <c r="A61" s="46"/>
      <c r="B61" s="20" t="s">
        <v>59</v>
      </c>
      <c r="C61" s="22" t="s">
        <v>142</v>
      </c>
      <c r="D61" s="20" t="s">
        <v>233</v>
      </c>
      <c r="E61" s="25">
        <v>4</v>
      </c>
      <c r="F61" s="250">
        <v>4</v>
      </c>
      <c r="G61" s="18">
        <v>76.25</v>
      </c>
      <c r="H61" s="265">
        <f t="shared" si="7"/>
        <v>0.30499999999999999</v>
      </c>
      <c r="I61" s="18">
        <v>0</v>
      </c>
      <c r="J61" s="34"/>
      <c r="L61" s="27"/>
    </row>
    <row r="62" spans="1:22" ht="15.75" hidden="1" customHeight="1">
      <c r="A62" s="46"/>
      <c r="B62" s="20" t="s">
        <v>60</v>
      </c>
      <c r="C62" s="22" t="s">
        <v>202</v>
      </c>
      <c r="D62" s="20" t="s">
        <v>66</v>
      </c>
      <c r="E62" s="249">
        <v>15552</v>
      </c>
      <c r="F62" s="18">
        <f>SUM(E62/100)</f>
        <v>155.52000000000001</v>
      </c>
      <c r="G62" s="18">
        <v>212.15</v>
      </c>
      <c r="H62" s="265">
        <f t="shared" si="7"/>
        <v>32.993568000000003</v>
      </c>
      <c r="I62" s="18">
        <v>0</v>
      </c>
    </row>
    <row r="63" spans="1:22" ht="15.75" hidden="1" customHeight="1">
      <c r="A63" s="46"/>
      <c r="B63" s="20" t="s">
        <v>61</v>
      </c>
      <c r="C63" s="22" t="s">
        <v>203</v>
      </c>
      <c r="D63" s="20"/>
      <c r="E63" s="249">
        <v>15552</v>
      </c>
      <c r="F63" s="18">
        <f>SUM(E63/1000)</f>
        <v>15.552</v>
      </c>
      <c r="G63" s="18">
        <v>165.21</v>
      </c>
      <c r="H63" s="265">
        <f t="shared" si="7"/>
        <v>2.5693459200000004</v>
      </c>
      <c r="I63" s="18">
        <v>0</v>
      </c>
    </row>
    <row r="64" spans="1:22" ht="15.75" hidden="1" customHeight="1">
      <c r="A64" s="46"/>
      <c r="B64" s="20" t="s">
        <v>62</v>
      </c>
      <c r="C64" s="22" t="s">
        <v>96</v>
      </c>
      <c r="D64" s="20" t="s">
        <v>66</v>
      </c>
      <c r="E64" s="249">
        <v>2432</v>
      </c>
      <c r="F64" s="18">
        <f>SUM(E64/100)</f>
        <v>24.32</v>
      </c>
      <c r="G64" s="18">
        <v>2074.63</v>
      </c>
      <c r="H64" s="265">
        <f t="shared" si="7"/>
        <v>50.455001600000003</v>
      </c>
      <c r="I64" s="18"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46"/>
      <c r="B65" s="266" t="s">
        <v>90</v>
      </c>
      <c r="C65" s="22" t="s">
        <v>38</v>
      </c>
      <c r="D65" s="20"/>
      <c r="E65" s="249">
        <v>34.5</v>
      </c>
      <c r="F65" s="18">
        <f>SUM(E65)</f>
        <v>34.5</v>
      </c>
      <c r="G65" s="18">
        <v>45.32</v>
      </c>
      <c r="H65" s="265">
        <f t="shared" si="7"/>
        <v>1.5635399999999999</v>
      </c>
      <c r="I65" s="18">
        <v>0</v>
      </c>
      <c r="J65" s="38"/>
      <c r="K65" s="38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31.5" hidden="1" customHeight="1">
      <c r="A66" s="46"/>
      <c r="B66" s="266" t="s">
        <v>91</v>
      </c>
      <c r="C66" s="22" t="s">
        <v>38</v>
      </c>
      <c r="D66" s="20"/>
      <c r="E66" s="249">
        <f>E65</f>
        <v>34.5</v>
      </c>
      <c r="F66" s="18">
        <f>SUM(E66)</f>
        <v>34.5</v>
      </c>
      <c r="G66" s="18">
        <v>42.28</v>
      </c>
      <c r="H66" s="265">
        <f t="shared" si="7"/>
        <v>1.4586600000000001</v>
      </c>
      <c r="I66" s="18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46"/>
      <c r="B67" s="20" t="s">
        <v>71</v>
      </c>
      <c r="C67" s="22" t="s">
        <v>72</v>
      </c>
      <c r="D67" s="20" t="s">
        <v>66</v>
      </c>
      <c r="E67" s="25">
        <v>4</v>
      </c>
      <c r="F67" s="250">
        <f>SUM(E67)</f>
        <v>4</v>
      </c>
      <c r="G67" s="18">
        <v>49.88</v>
      </c>
      <c r="H67" s="265">
        <f t="shared" si="7"/>
        <v>0.19952</v>
      </c>
      <c r="I67" s="18">
        <v>0</v>
      </c>
      <c r="J67" s="5"/>
      <c r="K67" s="5"/>
      <c r="L67" s="5"/>
      <c r="M67" s="5"/>
      <c r="N67" s="5"/>
      <c r="O67" s="5"/>
      <c r="P67" s="5"/>
      <c r="Q67" s="5"/>
      <c r="R67" s="216"/>
      <c r="S67" s="216"/>
      <c r="T67" s="216"/>
      <c r="U67" s="216"/>
    </row>
    <row r="68" spans="1:21" ht="15.75" hidden="1" customHeight="1">
      <c r="A68" s="46"/>
      <c r="B68" s="210" t="s">
        <v>92</v>
      </c>
      <c r="C68" s="22"/>
      <c r="D68" s="20"/>
      <c r="E68" s="25"/>
      <c r="F68" s="18"/>
      <c r="G68" s="18"/>
      <c r="H68" s="265" t="s">
        <v>234</v>
      </c>
      <c r="I68" s="255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ht="15.75" hidden="1" customHeight="1">
      <c r="A69" s="46">
        <v>19</v>
      </c>
      <c r="B69" s="20" t="s">
        <v>93</v>
      </c>
      <c r="C69" s="22" t="s">
        <v>94</v>
      </c>
      <c r="D69" s="20"/>
      <c r="E69" s="25">
        <v>4</v>
      </c>
      <c r="F69" s="18">
        <v>0.4</v>
      </c>
      <c r="G69" s="18">
        <v>501.62</v>
      </c>
      <c r="H69" s="265">
        <f>SUM(F69*G69/1000)</f>
        <v>0.20064800000000002</v>
      </c>
      <c r="I69" s="18">
        <f>G69*0.2</f>
        <v>100.32400000000001</v>
      </c>
    </row>
    <row r="70" spans="1:21" ht="15.75" hidden="1" customHeight="1">
      <c r="A70" s="46"/>
      <c r="B70" s="20" t="s">
        <v>220</v>
      </c>
      <c r="C70" s="22" t="s">
        <v>142</v>
      </c>
      <c r="D70" s="20"/>
      <c r="E70" s="25">
        <v>1</v>
      </c>
      <c r="F70" s="18">
        <f>E70</f>
        <v>1</v>
      </c>
      <c r="G70" s="18">
        <v>852.99</v>
      </c>
      <c r="H70" s="265">
        <f>SUM(F70*G70/1000)</f>
        <v>0.85299000000000003</v>
      </c>
      <c r="I70" s="18">
        <v>0</v>
      </c>
    </row>
    <row r="71" spans="1:21" ht="15.75" hidden="1" customHeight="1">
      <c r="A71" s="46"/>
      <c r="B71" s="269" t="s">
        <v>95</v>
      </c>
      <c r="C71" s="22"/>
      <c r="D71" s="20"/>
      <c r="E71" s="25"/>
      <c r="F71" s="25"/>
      <c r="G71" s="25"/>
      <c r="H71" s="25"/>
      <c r="I71" s="255"/>
    </row>
    <row r="72" spans="1:21" ht="15.75" hidden="1" customHeight="1">
      <c r="A72" s="46"/>
      <c r="B72" s="81" t="s">
        <v>208</v>
      </c>
      <c r="C72" s="22" t="s">
        <v>96</v>
      </c>
      <c r="D72" s="20"/>
      <c r="E72" s="25"/>
      <c r="F72" s="18">
        <v>0.1</v>
      </c>
      <c r="G72" s="18">
        <v>2759.44</v>
      </c>
      <c r="H72" s="268">
        <f t="shared" ref="H72" si="8">SUM(F72*G72/1000)</f>
        <v>0.27594400000000002</v>
      </c>
      <c r="I72" s="18">
        <v>0</v>
      </c>
    </row>
    <row r="73" spans="1:21" ht="15.75" customHeight="1">
      <c r="A73" s="46"/>
      <c r="B73" s="210" t="s">
        <v>206</v>
      </c>
      <c r="C73" s="269"/>
      <c r="D73" s="51"/>
      <c r="E73" s="53"/>
      <c r="F73" s="270"/>
      <c r="G73" s="270"/>
      <c r="H73" s="271">
        <f>SUM(H55:H72)</f>
        <v>124.27670696000001</v>
      </c>
      <c r="I73" s="253"/>
    </row>
    <row r="74" spans="1:21" ht="15.75" customHeight="1">
      <c r="A74" s="285">
        <v>17</v>
      </c>
      <c r="B74" s="261" t="s">
        <v>207</v>
      </c>
      <c r="C74" s="295"/>
      <c r="D74" s="296"/>
      <c r="E74" s="272"/>
      <c r="F74" s="286">
        <f>232/10</f>
        <v>23.2</v>
      </c>
      <c r="G74" s="286">
        <v>11370.2</v>
      </c>
      <c r="H74" s="297">
        <f>G74*F74/1000</f>
        <v>263.78863999999999</v>
      </c>
      <c r="I74" s="286">
        <f>G74</f>
        <v>11370.2</v>
      </c>
    </row>
    <row r="75" spans="1:21" ht="15.75" customHeight="1">
      <c r="A75" s="282" t="s">
        <v>264</v>
      </c>
      <c r="B75" s="283"/>
      <c r="C75" s="283"/>
      <c r="D75" s="283"/>
      <c r="E75" s="283"/>
      <c r="F75" s="283"/>
      <c r="G75" s="283"/>
      <c r="H75" s="283"/>
      <c r="I75" s="284"/>
    </row>
    <row r="76" spans="1:21" ht="15.75" customHeight="1">
      <c r="A76" s="287">
        <v>18</v>
      </c>
      <c r="B76" s="288" t="s">
        <v>209</v>
      </c>
      <c r="C76" s="298" t="s">
        <v>67</v>
      </c>
      <c r="D76" s="299" t="s">
        <v>68</v>
      </c>
      <c r="E76" s="292">
        <v>3053.4</v>
      </c>
      <c r="F76" s="292">
        <f>SUM(E76*12)</f>
        <v>36640.800000000003</v>
      </c>
      <c r="G76" s="292">
        <v>2.1</v>
      </c>
      <c r="H76" s="300">
        <f>SUM(F76*G76/1000)</f>
        <v>76.94568000000001</v>
      </c>
      <c r="I76" s="292">
        <f>F76/12*G76</f>
        <v>6412.14</v>
      </c>
    </row>
    <row r="77" spans="1:21" ht="31.5" customHeight="1">
      <c r="A77" s="46">
        <v>19</v>
      </c>
      <c r="B77" s="20" t="s">
        <v>97</v>
      </c>
      <c r="C77" s="22"/>
      <c r="D77" s="299" t="s">
        <v>68</v>
      </c>
      <c r="E77" s="249">
        <f>E76</f>
        <v>3053.4</v>
      </c>
      <c r="F77" s="18">
        <f>E77*12</f>
        <v>36640.800000000003</v>
      </c>
      <c r="G77" s="18">
        <v>1.63</v>
      </c>
      <c r="H77" s="268">
        <f>F77*G77/1000</f>
        <v>59.724504000000003</v>
      </c>
      <c r="I77" s="18">
        <f>F77/12*G77</f>
        <v>4977.0419999999995</v>
      </c>
    </row>
    <row r="78" spans="1:21" ht="15.75" customHeight="1">
      <c r="A78" s="46"/>
      <c r="B78" s="68" t="s">
        <v>102</v>
      </c>
      <c r="C78" s="269"/>
      <c r="D78" s="267"/>
      <c r="E78" s="270"/>
      <c r="F78" s="270"/>
      <c r="G78" s="270"/>
      <c r="H78" s="271">
        <f>SUM(H77)</f>
        <v>59.724504000000003</v>
      </c>
      <c r="I78" s="270">
        <f>I16+I17+I18+I20+I21+I23+I25+I26+I36+I37+I38+I39+I40+I41+I55+I58+I74+I76+I77</f>
        <v>54608.969125166666</v>
      </c>
    </row>
    <row r="79" spans="1:21" ht="15.75" customHeight="1">
      <c r="A79" s="46"/>
      <c r="B79" s="198" t="s">
        <v>74</v>
      </c>
      <c r="C79" s="22"/>
      <c r="D79" s="81"/>
      <c r="E79" s="18"/>
      <c r="F79" s="18"/>
      <c r="G79" s="18"/>
      <c r="H79" s="23"/>
      <c r="I79" s="255"/>
    </row>
    <row r="80" spans="1:21" ht="15.75" customHeight="1">
      <c r="A80" s="46">
        <v>20</v>
      </c>
      <c r="B80" s="199" t="s">
        <v>173</v>
      </c>
      <c r="C80" s="200" t="s">
        <v>142</v>
      </c>
      <c r="D80" s="81"/>
      <c r="E80" s="18"/>
      <c r="F80" s="18">
        <v>780</v>
      </c>
      <c r="G80" s="18">
        <v>50.68</v>
      </c>
      <c r="H80" s="268">
        <f>G80*F80/1000</f>
        <v>39.5304</v>
      </c>
      <c r="I80" s="18">
        <f>G80*65</f>
        <v>3294.2</v>
      </c>
    </row>
    <row r="81" spans="1:9" ht="31.5" customHeight="1">
      <c r="A81" s="46">
        <v>21</v>
      </c>
      <c r="B81" s="199" t="s">
        <v>111</v>
      </c>
      <c r="C81" s="200" t="s">
        <v>47</v>
      </c>
      <c r="D81" s="81"/>
      <c r="E81" s="18"/>
      <c r="F81" s="18">
        <f>3/100</f>
        <v>0.03</v>
      </c>
      <c r="G81" s="18">
        <v>3397.65</v>
      </c>
      <c r="H81" s="268">
        <f t="shared" ref="H81" si="9">F81*G81/1000</f>
        <v>0.10192950000000001</v>
      </c>
      <c r="I81" s="18">
        <f>G81*0.01</f>
        <v>33.976500000000001</v>
      </c>
    </row>
    <row r="82" spans="1:9" ht="15.75" customHeight="1">
      <c r="A82" s="46"/>
      <c r="B82" s="75" t="s">
        <v>63</v>
      </c>
      <c r="C82" s="71"/>
      <c r="D82" s="123"/>
      <c r="E82" s="71">
        <v>1</v>
      </c>
      <c r="F82" s="71"/>
      <c r="G82" s="71"/>
      <c r="H82" s="71"/>
      <c r="I82" s="53">
        <f>SUM(I80:I81)</f>
        <v>3328.1765</v>
      </c>
    </row>
    <row r="83" spans="1:9" ht="15.75" customHeight="1">
      <c r="A83" s="46"/>
      <c r="B83" s="81" t="s">
        <v>98</v>
      </c>
      <c r="C83" s="21"/>
      <c r="D83" s="21"/>
      <c r="E83" s="72"/>
      <c r="F83" s="72"/>
      <c r="G83" s="73"/>
      <c r="H83" s="73"/>
      <c r="I83" s="24">
        <v>0</v>
      </c>
    </row>
    <row r="84" spans="1:9" ht="15.75" customHeight="1">
      <c r="A84" s="124"/>
      <c r="B84" s="76" t="s">
        <v>64</v>
      </c>
      <c r="C84" s="59"/>
      <c r="D84" s="59"/>
      <c r="E84" s="59"/>
      <c r="F84" s="59"/>
      <c r="G84" s="59"/>
      <c r="H84" s="59"/>
      <c r="I84" s="74">
        <f>I78+I82</f>
        <v>57937.145625166668</v>
      </c>
    </row>
    <row r="85" spans="1:9" ht="15.75">
      <c r="A85" s="240" t="s">
        <v>265</v>
      </c>
      <c r="B85" s="240"/>
      <c r="C85" s="240"/>
      <c r="D85" s="240"/>
      <c r="E85" s="240"/>
      <c r="F85" s="240"/>
      <c r="G85" s="240"/>
      <c r="H85" s="240"/>
      <c r="I85" s="240"/>
    </row>
    <row r="86" spans="1:9" ht="15.75">
      <c r="A86" s="205"/>
      <c r="B86" s="241" t="s">
        <v>266</v>
      </c>
      <c r="C86" s="241"/>
      <c r="D86" s="241"/>
      <c r="E86" s="241"/>
      <c r="F86" s="241"/>
      <c r="G86" s="241"/>
      <c r="H86" s="246"/>
      <c r="I86" s="3"/>
    </row>
    <row r="87" spans="1:9">
      <c r="A87" s="208"/>
      <c r="B87" s="222" t="s">
        <v>7</v>
      </c>
      <c r="C87" s="222"/>
      <c r="D87" s="222"/>
      <c r="E87" s="222"/>
      <c r="F87" s="222"/>
      <c r="G87" s="222"/>
      <c r="H87" s="37"/>
      <c r="I87" s="5"/>
    </row>
    <row r="88" spans="1:9" ht="15.75" customHeight="1">
      <c r="A88" s="11"/>
      <c r="B88" s="11"/>
      <c r="C88" s="11"/>
      <c r="D88" s="11"/>
      <c r="E88" s="11"/>
      <c r="F88" s="11"/>
      <c r="G88" s="11"/>
      <c r="H88" s="11"/>
      <c r="I88" s="11"/>
    </row>
    <row r="89" spans="1:9" ht="15.75" customHeight="1">
      <c r="A89" s="217" t="s">
        <v>8</v>
      </c>
      <c r="B89" s="217"/>
      <c r="C89" s="217"/>
      <c r="D89" s="217"/>
      <c r="E89" s="217"/>
      <c r="F89" s="217"/>
      <c r="G89" s="217"/>
      <c r="H89" s="217"/>
      <c r="I89" s="217"/>
    </row>
    <row r="90" spans="1:9" ht="15.75" customHeight="1">
      <c r="A90" s="217" t="s">
        <v>9</v>
      </c>
      <c r="B90" s="217"/>
      <c r="C90" s="217"/>
      <c r="D90" s="217"/>
      <c r="E90" s="217"/>
      <c r="F90" s="217"/>
      <c r="G90" s="217"/>
      <c r="H90" s="217"/>
      <c r="I90" s="217"/>
    </row>
    <row r="91" spans="1:9" ht="15.75" customHeight="1">
      <c r="A91" s="219" t="s">
        <v>76</v>
      </c>
      <c r="B91" s="219"/>
      <c r="C91" s="219"/>
      <c r="D91" s="219"/>
      <c r="E91" s="219"/>
      <c r="F91" s="219"/>
      <c r="G91" s="219"/>
      <c r="H91" s="219"/>
      <c r="I91" s="219"/>
    </row>
    <row r="92" spans="1:9" ht="15.75" customHeight="1">
      <c r="A92" s="12"/>
    </row>
    <row r="93" spans="1:9" ht="15.75" customHeight="1">
      <c r="A93" s="220" t="s">
        <v>11</v>
      </c>
      <c r="B93" s="220"/>
      <c r="C93" s="220"/>
      <c r="D93" s="220"/>
      <c r="E93" s="220"/>
      <c r="F93" s="220"/>
      <c r="G93" s="220"/>
      <c r="H93" s="220"/>
      <c r="I93" s="220"/>
    </row>
    <row r="94" spans="1:9" ht="15.75" customHeight="1">
      <c r="A94" s="4"/>
    </row>
    <row r="95" spans="1:9" ht="15.75" customHeight="1">
      <c r="B95" s="204" t="s">
        <v>12</v>
      </c>
      <c r="C95" s="224" t="s">
        <v>136</v>
      </c>
      <c r="D95" s="224"/>
      <c r="E95" s="224"/>
      <c r="F95" s="244"/>
      <c r="I95" s="207"/>
    </row>
    <row r="96" spans="1:9" ht="15.75" customHeight="1">
      <c r="A96" s="208"/>
      <c r="C96" s="222" t="s">
        <v>13</v>
      </c>
      <c r="D96" s="222"/>
      <c r="E96" s="222"/>
      <c r="F96" s="37"/>
      <c r="I96" s="206" t="s">
        <v>14</v>
      </c>
    </row>
    <row r="97" spans="1:9" ht="15.75" customHeight="1">
      <c r="A97" s="38"/>
      <c r="C97" s="13"/>
      <c r="D97" s="13"/>
      <c r="G97" s="13"/>
      <c r="H97" s="13"/>
    </row>
    <row r="98" spans="1:9" ht="15.75" customHeight="1">
      <c r="B98" s="204" t="s">
        <v>15</v>
      </c>
      <c r="C98" s="223"/>
      <c r="D98" s="223"/>
      <c r="E98" s="223"/>
      <c r="F98" s="245"/>
      <c r="I98" s="207"/>
    </row>
    <row r="99" spans="1:9" ht="15.75" customHeight="1">
      <c r="A99" s="208"/>
      <c r="C99" s="216" t="s">
        <v>13</v>
      </c>
      <c r="D99" s="216"/>
      <c r="E99" s="216"/>
      <c r="F99" s="208"/>
      <c r="I99" s="206" t="s">
        <v>14</v>
      </c>
    </row>
    <row r="100" spans="1:9" ht="15.75" customHeight="1">
      <c r="A100" s="4" t="s">
        <v>16</v>
      </c>
    </row>
    <row r="101" spans="1:9">
      <c r="A101" s="234" t="s">
        <v>17</v>
      </c>
      <c r="B101" s="234"/>
      <c r="C101" s="234"/>
      <c r="D101" s="234"/>
      <c r="E101" s="234"/>
      <c r="F101" s="234"/>
      <c r="G101" s="234"/>
      <c r="H101" s="234"/>
      <c r="I101" s="234"/>
    </row>
    <row r="102" spans="1:9" ht="47.25" customHeight="1">
      <c r="A102" s="235" t="s">
        <v>18</v>
      </c>
      <c r="B102" s="235"/>
      <c r="C102" s="235"/>
      <c r="D102" s="235"/>
      <c r="E102" s="235"/>
      <c r="F102" s="235"/>
      <c r="G102" s="235"/>
      <c r="H102" s="235"/>
      <c r="I102" s="235"/>
    </row>
    <row r="103" spans="1:9" ht="31.5" customHeight="1">
      <c r="A103" s="235" t="s">
        <v>19</v>
      </c>
      <c r="B103" s="235"/>
      <c r="C103" s="235"/>
      <c r="D103" s="235"/>
      <c r="E103" s="235"/>
      <c r="F103" s="235"/>
      <c r="G103" s="235"/>
      <c r="H103" s="235"/>
      <c r="I103" s="235"/>
    </row>
    <row r="104" spans="1:9" ht="31.5" customHeight="1">
      <c r="A104" s="235" t="s">
        <v>24</v>
      </c>
      <c r="B104" s="235"/>
      <c r="C104" s="235"/>
      <c r="D104" s="235"/>
      <c r="E104" s="235"/>
      <c r="F104" s="235"/>
      <c r="G104" s="235"/>
      <c r="H104" s="235"/>
      <c r="I104" s="235"/>
    </row>
    <row r="105" spans="1:9" ht="15.75">
      <c r="A105" s="235" t="s">
        <v>23</v>
      </c>
      <c r="B105" s="235"/>
      <c r="C105" s="235"/>
      <c r="D105" s="235"/>
      <c r="E105" s="235"/>
      <c r="F105" s="235"/>
      <c r="G105" s="235"/>
      <c r="H105" s="235"/>
      <c r="I105" s="235"/>
    </row>
  </sheetData>
  <autoFilter ref="I12:I62"/>
  <mergeCells count="28">
    <mergeCell ref="A102:I102"/>
    <mergeCell ref="A103:I103"/>
    <mergeCell ref="A104:I104"/>
    <mergeCell ref="A105:I105"/>
    <mergeCell ref="A93:I93"/>
    <mergeCell ref="C95:E95"/>
    <mergeCell ref="C96:E96"/>
    <mergeCell ref="C98:E98"/>
    <mergeCell ref="C99:E99"/>
    <mergeCell ref="A101:I101"/>
    <mergeCell ref="A85:I85"/>
    <mergeCell ref="B86:G86"/>
    <mergeCell ref="B87:G87"/>
    <mergeCell ref="A89:I89"/>
    <mergeCell ref="A90:I90"/>
    <mergeCell ref="A91:I91"/>
    <mergeCell ref="A15:I15"/>
    <mergeCell ref="A27:I27"/>
    <mergeCell ref="A42:I42"/>
    <mergeCell ref="A53:I53"/>
    <mergeCell ref="R67:U67"/>
    <mergeCell ref="A75:I7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2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123</v>
      </c>
      <c r="I1" s="40"/>
      <c r="J1" s="1"/>
      <c r="K1" s="1"/>
      <c r="L1" s="1"/>
      <c r="M1" s="1"/>
    </row>
    <row r="2" spans="1:13" ht="15.75" customHeight="1">
      <c r="A2" s="42" t="s">
        <v>79</v>
      </c>
      <c r="J2" s="2"/>
      <c r="K2" s="2"/>
      <c r="L2" s="2"/>
      <c r="M2" s="2"/>
    </row>
    <row r="3" spans="1:13" ht="15.75" customHeight="1">
      <c r="A3" s="236" t="s">
        <v>267</v>
      </c>
      <c r="B3" s="236"/>
      <c r="C3" s="236"/>
      <c r="D3" s="236"/>
      <c r="E3" s="236"/>
      <c r="F3" s="236"/>
      <c r="G3" s="236"/>
      <c r="H3" s="236"/>
      <c r="I3" s="236"/>
      <c r="J3" s="3"/>
      <c r="K3" s="3"/>
      <c r="L3" s="3"/>
    </row>
    <row r="4" spans="1:13" ht="31.5" customHeight="1">
      <c r="A4" s="237" t="s">
        <v>211</v>
      </c>
      <c r="B4" s="237"/>
      <c r="C4" s="237"/>
      <c r="D4" s="237"/>
      <c r="E4" s="237"/>
      <c r="F4" s="237"/>
      <c r="G4" s="237"/>
      <c r="H4" s="237"/>
      <c r="I4" s="237"/>
    </row>
    <row r="5" spans="1:13" ht="15.75" customHeight="1">
      <c r="A5" s="236" t="s">
        <v>106</v>
      </c>
      <c r="B5" s="238"/>
      <c r="C5" s="238"/>
      <c r="D5" s="238"/>
      <c r="E5" s="238"/>
      <c r="F5" s="238"/>
      <c r="G5" s="238"/>
      <c r="H5" s="238"/>
      <c r="I5" s="238"/>
      <c r="J5" s="2"/>
      <c r="K5" s="2"/>
      <c r="L5" s="2"/>
      <c r="M5" s="2"/>
    </row>
    <row r="6" spans="1:13" ht="15.75" customHeight="1">
      <c r="A6" s="2"/>
      <c r="B6" s="209"/>
      <c r="C6" s="209"/>
      <c r="D6" s="209"/>
      <c r="E6" s="209"/>
      <c r="F6" s="209"/>
      <c r="G6" s="209"/>
      <c r="H6" s="209"/>
      <c r="I6" s="50">
        <v>42490</v>
      </c>
      <c r="J6" s="2"/>
      <c r="K6" s="2"/>
      <c r="L6" s="2"/>
      <c r="M6" s="2"/>
    </row>
    <row r="7" spans="1:13" ht="15.75" customHeight="1">
      <c r="B7" s="204"/>
      <c r="C7" s="204"/>
      <c r="D7" s="20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4" t="s">
        <v>226</v>
      </c>
      <c r="B8" s="214"/>
      <c r="C8" s="214"/>
      <c r="D8" s="214"/>
      <c r="E8" s="214"/>
      <c r="F8" s="214"/>
      <c r="G8" s="214"/>
      <c r="H8" s="214"/>
      <c r="I8" s="21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5" t="s">
        <v>212</v>
      </c>
      <c r="B10" s="215"/>
      <c r="C10" s="215"/>
      <c r="D10" s="215"/>
      <c r="E10" s="215"/>
      <c r="F10" s="215"/>
      <c r="G10" s="215"/>
      <c r="H10" s="215"/>
      <c r="I10" s="21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9" t="s">
        <v>73</v>
      </c>
      <c r="B14" s="239"/>
      <c r="C14" s="239"/>
      <c r="D14" s="239"/>
      <c r="E14" s="239"/>
      <c r="F14" s="239"/>
      <c r="G14" s="239"/>
      <c r="H14" s="239"/>
      <c r="I14" s="239"/>
      <c r="J14" s="8"/>
      <c r="K14" s="8"/>
      <c r="L14" s="8"/>
      <c r="M14" s="8"/>
    </row>
    <row r="15" spans="1:13" ht="15.75" customHeight="1">
      <c r="A15" s="277" t="s">
        <v>4</v>
      </c>
      <c r="B15" s="277"/>
      <c r="C15" s="277"/>
      <c r="D15" s="277"/>
      <c r="E15" s="277"/>
      <c r="F15" s="277"/>
      <c r="G15" s="277"/>
      <c r="H15" s="277"/>
      <c r="I15" s="277"/>
      <c r="J15" s="8"/>
      <c r="K15" s="8"/>
      <c r="L15" s="8"/>
      <c r="M15" s="8"/>
    </row>
    <row r="16" spans="1:13" ht="31.5" customHeight="1">
      <c r="A16" s="46">
        <v>1</v>
      </c>
      <c r="B16" s="247" t="s">
        <v>125</v>
      </c>
      <c r="C16" s="248" t="s">
        <v>163</v>
      </c>
      <c r="D16" s="247" t="s">
        <v>228</v>
      </c>
      <c r="E16" s="249">
        <v>92.5</v>
      </c>
      <c r="F16" s="250">
        <f>SUM(E16*156/100)</f>
        <v>144.30000000000001</v>
      </c>
      <c r="G16" s="250">
        <v>175.38</v>
      </c>
      <c r="H16" s="251">
        <f t="shared" ref="H16:H24" si="0">SUM(F16*G16/1000)</f>
        <v>25.307334000000001</v>
      </c>
      <c r="I16" s="18">
        <f>F16/12*G16</f>
        <v>2108.9445000000001</v>
      </c>
      <c r="J16" s="8"/>
      <c r="K16" s="8"/>
      <c r="L16" s="8"/>
      <c r="M16" s="8"/>
    </row>
    <row r="17" spans="1:13" ht="31.5" customHeight="1">
      <c r="A17" s="46">
        <v>2</v>
      </c>
      <c r="B17" s="247" t="s">
        <v>185</v>
      </c>
      <c r="C17" s="248" t="s">
        <v>163</v>
      </c>
      <c r="D17" s="247" t="s">
        <v>229</v>
      </c>
      <c r="E17" s="249">
        <v>288.8</v>
      </c>
      <c r="F17" s="250">
        <f>SUM(E17*104/100)</f>
        <v>300.35200000000003</v>
      </c>
      <c r="G17" s="250">
        <v>175.38</v>
      </c>
      <c r="H17" s="251">
        <f t="shared" si="0"/>
        <v>52.67573376</v>
      </c>
      <c r="I17" s="18">
        <f>F17/12*G17</f>
        <v>4389.6444800000008</v>
      </c>
      <c r="J17" s="33"/>
      <c r="K17" s="8"/>
      <c r="L17" s="8"/>
      <c r="M17" s="8"/>
    </row>
    <row r="18" spans="1:13" ht="31.5" customHeight="1">
      <c r="A18" s="46">
        <v>3</v>
      </c>
      <c r="B18" s="247" t="s">
        <v>252</v>
      </c>
      <c r="C18" s="248" t="s">
        <v>163</v>
      </c>
      <c r="D18" s="247" t="s">
        <v>253</v>
      </c>
      <c r="E18" s="249">
        <f>SUM(E16+E17)</f>
        <v>381.3</v>
      </c>
      <c r="F18" s="250">
        <f>SUM(E18*12/100)</f>
        <v>45.756</v>
      </c>
      <c r="G18" s="250">
        <v>504.5</v>
      </c>
      <c r="H18" s="251">
        <f t="shared" si="0"/>
        <v>23.083902000000002</v>
      </c>
      <c r="I18" s="18">
        <f>F18/12*G18</f>
        <v>1923.6585</v>
      </c>
      <c r="J18" s="33"/>
      <c r="K18" s="8"/>
      <c r="L18" s="8"/>
      <c r="M18" s="8"/>
    </row>
    <row r="19" spans="1:13" ht="15.75" hidden="1" customHeight="1">
      <c r="A19" s="46">
        <v>4</v>
      </c>
      <c r="B19" s="247" t="s">
        <v>187</v>
      </c>
      <c r="C19" s="248" t="s">
        <v>188</v>
      </c>
      <c r="D19" s="247" t="s">
        <v>189</v>
      </c>
      <c r="E19" s="249">
        <v>19.2</v>
      </c>
      <c r="F19" s="250">
        <f>SUM(E19/10)</f>
        <v>1.92</v>
      </c>
      <c r="G19" s="250">
        <v>170.16</v>
      </c>
      <c r="H19" s="251">
        <f t="shared" si="0"/>
        <v>0.32670719999999998</v>
      </c>
      <c r="I19" s="18">
        <v>0</v>
      </c>
      <c r="J19" s="33"/>
      <c r="K19" s="8"/>
      <c r="L19" s="8"/>
      <c r="M19" s="8"/>
    </row>
    <row r="20" spans="1:13" ht="15.75" customHeight="1">
      <c r="A20" s="46">
        <v>4</v>
      </c>
      <c r="B20" s="247" t="s">
        <v>162</v>
      </c>
      <c r="C20" s="248" t="s">
        <v>163</v>
      </c>
      <c r="D20" s="247" t="s">
        <v>35</v>
      </c>
      <c r="E20" s="249">
        <v>27.3</v>
      </c>
      <c r="F20" s="250">
        <f>SUM(E20*12/100)</f>
        <v>3.2760000000000002</v>
      </c>
      <c r="G20" s="250">
        <v>217.88</v>
      </c>
      <c r="H20" s="251">
        <f t="shared" si="0"/>
        <v>0.71377488</v>
      </c>
      <c r="I20" s="18">
        <f>F20/12*G20</f>
        <v>59.48124</v>
      </c>
      <c r="J20" s="33"/>
      <c r="K20" s="8"/>
      <c r="L20" s="8"/>
      <c r="M20" s="8"/>
    </row>
    <row r="21" spans="1:13" ht="15.75" customHeight="1">
      <c r="A21" s="46">
        <v>5</v>
      </c>
      <c r="B21" s="247" t="s">
        <v>178</v>
      </c>
      <c r="C21" s="248" t="s">
        <v>163</v>
      </c>
      <c r="D21" s="247" t="s">
        <v>35</v>
      </c>
      <c r="E21" s="249">
        <v>9.08</v>
      </c>
      <c r="F21" s="250">
        <f>SUM(E21*12/100)</f>
        <v>1.0896000000000001</v>
      </c>
      <c r="G21" s="250">
        <v>216.12</v>
      </c>
      <c r="H21" s="251">
        <f t="shared" si="0"/>
        <v>0.23548435200000004</v>
      </c>
      <c r="I21" s="18">
        <f>F21/12*G21</f>
        <v>19.623696000000002</v>
      </c>
      <c r="J21" s="33"/>
      <c r="K21" s="8"/>
      <c r="L21" s="8"/>
      <c r="M21" s="8"/>
    </row>
    <row r="22" spans="1:13" ht="15.75" hidden="1" customHeight="1">
      <c r="A22" s="46">
        <v>7</v>
      </c>
      <c r="B22" s="247" t="s">
        <v>166</v>
      </c>
      <c r="C22" s="248" t="s">
        <v>65</v>
      </c>
      <c r="D22" s="247" t="s">
        <v>189</v>
      </c>
      <c r="E22" s="252">
        <v>12.6</v>
      </c>
      <c r="F22" s="250">
        <f>SUM(E22/100)</f>
        <v>0.126</v>
      </c>
      <c r="G22" s="250">
        <v>44.29</v>
      </c>
      <c r="H22" s="251">
        <f t="shared" si="0"/>
        <v>5.5805400000000002E-3</v>
      </c>
      <c r="I22" s="18">
        <v>0</v>
      </c>
      <c r="J22" s="33"/>
      <c r="K22" s="8"/>
      <c r="L22" s="8"/>
      <c r="M22" s="8"/>
    </row>
    <row r="23" spans="1:13" ht="15.75" customHeight="1">
      <c r="A23" s="46">
        <v>6</v>
      </c>
      <c r="B23" s="247" t="s">
        <v>168</v>
      </c>
      <c r="C23" s="248" t="s">
        <v>65</v>
      </c>
      <c r="D23" s="247" t="s">
        <v>169</v>
      </c>
      <c r="E23" s="249">
        <v>20</v>
      </c>
      <c r="F23" s="250">
        <f>E23*12/100</f>
        <v>2.4</v>
      </c>
      <c r="G23" s="250">
        <v>389.72</v>
      </c>
      <c r="H23" s="251">
        <f t="shared" si="0"/>
        <v>0.93532799999999994</v>
      </c>
      <c r="I23" s="18">
        <f>F23/12*G23</f>
        <v>77.944000000000003</v>
      </c>
      <c r="J23" s="33"/>
      <c r="K23" s="8"/>
      <c r="L23" s="8"/>
      <c r="M23" s="8"/>
    </row>
    <row r="24" spans="1:13" ht="15.75" hidden="1" customHeight="1">
      <c r="A24" s="46">
        <v>9</v>
      </c>
      <c r="B24" s="247" t="s">
        <v>170</v>
      </c>
      <c r="C24" s="248" t="s">
        <v>65</v>
      </c>
      <c r="D24" s="247" t="s">
        <v>189</v>
      </c>
      <c r="E24" s="249">
        <v>17</v>
      </c>
      <c r="F24" s="250">
        <f>SUM(E24/100)</f>
        <v>0.17</v>
      </c>
      <c r="G24" s="250">
        <v>520.79999999999995</v>
      </c>
      <c r="H24" s="251">
        <f t="shared" si="0"/>
        <v>8.8536000000000004E-2</v>
      </c>
      <c r="I24" s="18">
        <v>0</v>
      </c>
      <c r="J24" s="33"/>
      <c r="K24" s="8"/>
      <c r="L24" s="8"/>
      <c r="M24" s="8"/>
    </row>
    <row r="25" spans="1:13" ht="15.75" customHeight="1">
      <c r="A25" s="46">
        <v>7</v>
      </c>
      <c r="B25" s="247" t="s">
        <v>81</v>
      </c>
      <c r="C25" s="248" t="s">
        <v>38</v>
      </c>
      <c r="D25" s="247" t="s">
        <v>232</v>
      </c>
      <c r="E25" s="249">
        <v>0.1</v>
      </c>
      <c r="F25" s="250">
        <f>SUM(E25*365)</f>
        <v>36.5</v>
      </c>
      <c r="G25" s="250">
        <v>147.03</v>
      </c>
      <c r="H25" s="251">
        <f>SUM(F25*G25/1000)</f>
        <v>5.3665950000000002</v>
      </c>
      <c r="I25" s="18">
        <f>F25/12*G25</f>
        <v>447.21625</v>
      </c>
      <c r="J25" s="33"/>
      <c r="K25" s="8"/>
      <c r="L25" s="8"/>
      <c r="M25" s="8"/>
    </row>
    <row r="26" spans="1:13" ht="15.75" customHeight="1">
      <c r="A26" s="46">
        <v>8</v>
      </c>
      <c r="B26" s="257" t="s">
        <v>26</v>
      </c>
      <c r="C26" s="248" t="s">
        <v>27</v>
      </c>
      <c r="D26" s="257" t="s">
        <v>234</v>
      </c>
      <c r="E26" s="249">
        <v>3053.4</v>
      </c>
      <c r="F26" s="250">
        <f>SUM(E26*12)</f>
        <v>36640.800000000003</v>
      </c>
      <c r="G26" s="250">
        <v>4.55</v>
      </c>
      <c r="H26" s="251">
        <f>SUM(F26*G26/1000)</f>
        <v>166.71564000000001</v>
      </c>
      <c r="I26" s="18">
        <f>F26/12*G26</f>
        <v>13892.97</v>
      </c>
      <c r="J26" s="34"/>
    </row>
    <row r="27" spans="1:13" ht="15.75" customHeight="1">
      <c r="A27" s="278" t="s">
        <v>120</v>
      </c>
      <c r="B27" s="279"/>
      <c r="C27" s="279"/>
      <c r="D27" s="279"/>
      <c r="E27" s="279"/>
      <c r="F27" s="279"/>
      <c r="G27" s="279"/>
      <c r="H27" s="279"/>
      <c r="I27" s="280"/>
      <c r="J27" s="33"/>
      <c r="K27" s="8"/>
      <c r="L27" s="8"/>
      <c r="M27" s="8"/>
    </row>
    <row r="28" spans="1:13" ht="15.75" hidden="1" customHeight="1">
      <c r="A28" s="46"/>
      <c r="B28" s="281" t="s">
        <v>33</v>
      </c>
      <c r="C28" s="248"/>
      <c r="D28" s="247"/>
      <c r="E28" s="249"/>
      <c r="F28" s="250"/>
      <c r="G28" s="250"/>
      <c r="H28" s="254"/>
      <c r="I28" s="255"/>
      <c r="J28" s="33"/>
      <c r="K28" s="8"/>
      <c r="L28" s="8"/>
      <c r="M28" s="8"/>
    </row>
    <row r="29" spans="1:13" ht="31.5" hidden="1" customHeight="1">
      <c r="A29" s="46">
        <v>9</v>
      </c>
      <c r="B29" s="247" t="s">
        <v>190</v>
      </c>
      <c r="C29" s="248" t="s">
        <v>191</v>
      </c>
      <c r="D29" s="247" t="s">
        <v>230</v>
      </c>
      <c r="E29" s="250">
        <v>561.6</v>
      </c>
      <c r="F29" s="250">
        <f>SUM(E29*52/1000)</f>
        <v>29.203200000000002</v>
      </c>
      <c r="G29" s="250">
        <v>155.88999999999999</v>
      </c>
      <c r="H29" s="251">
        <f t="shared" ref="H29:H34" si="1">SUM(F29*G29/1000)</f>
        <v>4.5524868479999991</v>
      </c>
      <c r="I29" s="18">
        <f t="shared" ref="I29:I32" si="2">F29/6*G29</f>
        <v>758.74780799999996</v>
      </c>
      <c r="J29" s="33"/>
      <c r="K29" s="8"/>
      <c r="L29" s="8"/>
      <c r="M29" s="8"/>
    </row>
    <row r="30" spans="1:13" ht="31.5" hidden="1" customHeight="1">
      <c r="A30" s="46">
        <v>10</v>
      </c>
      <c r="B30" s="247" t="s">
        <v>254</v>
      </c>
      <c r="C30" s="248" t="s">
        <v>191</v>
      </c>
      <c r="D30" s="247" t="s">
        <v>231</v>
      </c>
      <c r="E30" s="250">
        <v>205.7</v>
      </c>
      <c r="F30" s="250">
        <f>SUM(E30*78/1000)</f>
        <v>16.044599999999999</v>
      </c>
      <c r="G30" s="250">
        <v>258.63</v>
      </c>
      <c r="H30" s="251">
        <f t="shared" si="1"/>
        <v>4.1496148979999994</v>
      </c>
      <c r="I30" s="18">
        <f t="shared" si="2"/>
        <v>691.60248299999989</v>
      </c>
      <c r="J30" s="33"/>
      <c r="K30" s="8"/>
      <c r="L30" s="8"/>
      <c r="M30" s="8"/>
    </row>
    <row r="31" spans="1:13" ht="15.75" hidden="1" customHeight="1">
      <c r="A31" s="46">
        <v>11</v>
      </c>
      <c r="B31" s="247" t="s">
        <v>32</v>
      </c>
      <c r="C31" s="248" t="s">
        <v>191</v>
      </c>
      <c r="D31" s="247" t="s">
        <v>66</v>
      </c>
      <c r="E31" s="250">
        <v>561.6</v>
      </c>
      <c r="F31" s="250">
        <f>SUM(E31/1000)</f>
        <v>0.56159999999999999</v>
      </c>
      <c r="G31" s="250">
        <v>3020.33</v>
      </c>
      <c r="H31" s="251">
        <f t="shared" si="1"/>
        <v>1.6962173279999999</v>
      </c>
      <c r="I31" s="18">
        <f>F31*G31</f>
        <v>1696.217328</v>
      </c>
      <c r="J31" s="33"/>
      <c r="K31" s="8"/>
      <c r="L31" s="8"/>
      <c r="M31" s="8"/>
    </row>
    <row r="32" spans="1:13" ht="15.75" hidden="1" customHeight="1">
      <c r="A32" s="46">
        <v>11</v>
      </c>
      <c r="B32" s="247" t="s">
        <v>193</v>
      </c>
      <c r="C32" s="248" t="s">
        <v>36</v>
      </c>
      <c r="D32" s="247" t="s">
        <v>80</v>
      </c>
      <c r="E32" s="256">
        <v>0.33333333333333331</v>
      </c>
      <c r="F32" s="250">
        <f>155/3</f>
        <v>51.666666666666664</v>
      </c>
      <c r="G32" s="250">
        <v>56.69</v>
      </c>
      <c r="H32" s="251">
        <f>SUM(G32*155/3/1000)</f>
        <v>2.9289833333333331</v>
      </c>
      <c r="I32" s="18">
        <f t="shared" si="2"/>
        <v>488.16388888888883</v>
      </c>
      <c r="J32" s="33"/>
      <c r="K32" s="8"/>
      <c r="L32" s="8"/>
      <c r="M32" s="8"/>
    </row>
    <row r="33" spans="1:14" ht="15.75" hidden="1" customHeight="1">
      <c r="A33" s="46"/>
      <c r="B33" s="247" t="s">
        <v>82</v>
      </c>
      <c r="C33" s="248" t="s">
        <v>38</v>
      </c>
      <c r="D33" s="247" t="s">
        <v>84</v>
      </c>
      <c r="E33" s="249"/>
      <c r="F33" s="250">
        <v>2</v>
      </c>
      <c r="G33" s="250">
        <v>191.32</v>
      </c>
      <c r="H33" s="251">
        <f t="shared" si="1"/>
        <v>0.38263999999999998</v>
      </c>
      <c r="I33" s="18">
        <v>0</v>
      </c>
      <c r="J33" s="33"/>
      <c r="K33" s="8"/>
      <c r="L33" s="8"/>
      <c r="M33" s="8"/>
    </row>
    <row r="34" spans="1:14" ht="15.75" hidden="1" customHeight="1">
      <c r="A34" s="46"/>
      <c r="B34" s="247" t="s">
        <v>83</v>
      </c>
      <c r="C34" s="248" t="s">
        <v>37</v>
      </c>
      <c r="D34" s="247" t="s">
        <v>84</v>
      </c>
      <c r="E34" s="249"/>
      <c r="F34" s="250">
        <v>1</v>
      </c>
      <c r="G34" s="250">
        <v>1136.33</v>
      </c>
      <c r="H34" s="251">
        <f t="shared" si="1"/>
        <v>1.1363299999999998</v>
      </c>
      <c r="I34" s="18">
        <v>0</v>
      </c>
      <c r="J34" s="33"/>
      <c r="K34" s="8"/>
    </row>
    <row r="35" spans="1:14" ht="15.75" customHeight="1">
      <c r="A35" s="46"/>
      <c r="B35" s="281" t="s">
        <v>5</v>
      </c>
      <c r="C35" s="248"/>
      <c r="D35" s="247"/>
      <c r="E35" s="249"/>
      <c r="F35" s="250"/>
      <c r="G35" s="250"/>
      <c r="H35" s="254" t="s">
        <v>234</v>
      </c>
      <c r="I35" s="255"/>
      <c r="J35" s="34"/>
    </row>
    <row r="36" spans="1:14" ht="15.75" customHeight="1">
      <c r="A36" s="46">
        <v>9</v>
      </c>
      <c r="B36" s="247" t="s">
        <v>31</v>
      </c>
      <c r="C36" s="248" t="s">
        <v>37</v>
      </c>
      <c r="D36" s="247"/>
      <c r="E36" s="249"/>
      <c r="F36" s="250">
        <v>3</v>
      </c>
      <c r="G36" s="250">
        <v>1527.22</v>
      </c>
      <c r="H36" s="251">
        <f t="shared" ref="H36:H38" si="3">SUM(F36*G36/1000)</f>
        <v>4.5816600000000003</v>
      </c>
      <c r="I36" s="18">
        <f t="shared" ref="I36:I41" si="4">F36/6*G36</f>
        <v>763.61</v>
      </c>
      <c r="J36" s="34"/>
    </row>
    <row r="37" spans="1:14" ht="15.75" customHeight="1">
      <c r="A37" s="46">
        <v>10</v>
      </c>
      <c r="B37" s="247" t="s">
        <v>85</v>
      </c>
      <c r="C37" s="248" t="s">
        <v>34</v>
      </c>
      <c r="D37" s="247" t="s">
        <v>217</v>
      </c>
      <c r="E37" s="250">
        <v>205.7</v>
      </c>
      <c r="F37" s="250">
        <f>SUM(E37*20/1000)</f>
        <v>4.1139999999999999</v>
      </c>
      <c r="G37" s="250">
        <v>2102.71</v>
      </c>
      <c r="H37" s="251">
        <f t="shared" si="3"/>
        <v>8.6505489400000002</v>
      </c>
      <c r="I37" s="18">
        <f t="shared" si="4"/>
        <v>1441.7581566666665</v>
      </c>
      <c r="J37" s="34"/>
    </row>
    <row r="38" spans="1:14" ht="15.75" customHeight="1">
      <c r="A38" s="46">
        <v>11</v>
      </c>
      <c r="B38" s="247" t="s">
        <v>86</v>
      </c>
      <c r="C38" s="248" t="s">
        <v>34</v>
      </c>
      <c r="D38" s="247" t="s">
        <v>218</v>
      </c>
      <c r="E38" s="249">
        <v>89.1</v>
      </c>
      <c r="F38" s="250">
        <f>SUM(E38*155/1000)</f>
        <v>13.810499999999999</v>
      </c>
      <c r="G38" s="250">
        <v>350.75</v>
      </c>
      <c r="H38" s="251">
        <f t="shared" si="3"/>
        <v>4.8440328749999999</v>
      </c>
      <c r="I38" s="18">
        <f t="shared" si="4"/>
        <v>807.3388124999999</v>
      </c>
      <c r="J38" s="34"/>
    </row>
    <row r="39" spans="1:14" ht="47.25" customHeight="1">
      <c r="A39" s="46">
        <v>12</v>
      </c>
      <c r="B39" s="247" t="s">
        <v>112</v>
      </c>
      <c r="C39" s="248" t="s">
        <v>191</v>
      </c>
      <c r="D39" s="247" t="s">
        <v>219</v>
      </c>
      <c r="E39" s="250">
        <v>48</v>
      </c>
      <c r="F39" s="250">
        <f>SUM(E39*50/1000)</f>
        <v>2.4</v>
      </c>
      <c r="G39" s="250">
        <v>5803.28</v>
      </c>
      <c r="H39" s="251">
        <f>SUM(F39*G39/1000)</f>
        <v>13.927871999999999</v>
      </c>
      <c r="I39" s="18">
        <f t="shared" si="4"/>
        <v>2321.3119999999999</v>
      </c>
      <c r="J39" s="34"/>
    </row>
    <row r="40" spans="1:14" ht="15.75" customHeight="1">
      <c r="A40" s="46">
        <v>13</v>
      </c>
      <c r="B40" s="247" t="s">
        <v>195</v>
      </c>
      <c r="C40" s="248" t="s">
        <v>191</v>
      </c>
      <c r="D40" s="247" t="s">
        <v>87</v>
      </c>
      <c r="E40" s="250">
        <v>89</v>
      </c>
      <c r="F40" s="250">
        <f>SUM(E40*45/1000)</f>
        <v>4.0049999999999999</v>
      </c>
      <c r="G40" s="250">
        <v>428.7</v>
      </c>
      <c r="H40" s="251">
        <f t="shared" ref="H40:H41" si="5">SUM(F40*G40/1000)</f>
        <v>1.7169435</v>
      </c>
      <c r="I40" s="18">
        <f t="shared" si="4"/>
        <v>286.15724999999998</v>
      </c>
      <c r="J40" s="34"/>
      <c r="L40" s="27"/>
      <c r="M40" s="28"/>
      <c r="N40" s="29"/>
    </row>
    <row r="41" spans="1:14" ht="15.75" customHeight="1">
      <c r="A41" s="285">
        <v>14</v>
      </c>
      <c r="B41" s="261" t="s">
        <v>88</v>
      </c>
      <c r="C41" s="262" t="s">
        <v>38</v>
      </c>
      <c r="D41" s="261"/>
      <c r="E41" s="258"/>
      <c r="F41" s="263">
        <v>0.9</v>
      </c>
      <c r="G41" s="263">
        <v>798</v>
      </c>
      <c r="H41" s="264">
        <f t="shared" si="5"/>
        <v>0.71820000000000006</v>
      </c>
      <c r="I41" s="286">
        <f t="shared" si="4"/>
        <v>119.69999999999999</v>
      </c>
      <c r="J41" s="34"/>
      <c r="L41" s="27"/>
      <c r="M41" s="28"/>
      <c r="N41" s="29"/>
    </row>
    <row r="42" spans="1:14" ht="15.75" customHeight="1">
      <c r="A42" s="282" t="s">
        <v>255</v>
      </c>
      <c r="B42" s="283"/>
      <c r="C42" s="283"/>
      <c r="D42" s="283"/>
      <c r="E42" s="283"/>
      <c r="F42" s="283"/>
      <c r="G42" s="283"/>
      <c r="H42" s="283"/>
      <c r="I42" s="284"/>
      <c r="J42" s="34"/>
      <c r="L42" s="27"/>
      <c r="M42" s="28"/>
      <c r="N42" s="29"/>
    </row>
    <row r="43" spans="1:14" ht="15.75" hidden="1" customHeight="1">
      <c r="A43" s="287"/>
      <c r="B43" s="288" t="s">
        <v>196</v>
      </c>
      <c r="C43" s="289" t="s">
        <v>191</v>
      </c>
      <c r="D43" s="288" t="s">
        <v>53</v>
      </c>
      <c r="E43" s="290">
        <v>1632.75</v>
      </c>
      <c r="F43" s="291">
        <f>SUM(E43*2/1000)</f>
        <v>3.2654999999999998</v>
      </c>
      <c r="G43" s="292">
        <v>809.74</v>
      </c>
      <c r="H43" s="293">
        <f t="shared" ref="H43:H52" si="6">SUM(F43*G43/1000)</f>
        <v>2.6442059699999998</v>
      </c>
      <c r="I43" s="292">
        <v>0</v>
      </c>
      <c r="J43" s="34"/>
      <c r="L43" s="27"/>
      <c r="M43" s="28"/>
      <c r="N43" s="29"/>
    </row>
    <row r="44" spans="1:14" ht="15.75" hidden="1" customHeight="1">
      <c r="A44" s="46"/>
      <c r="B44" s="247" t="s">
        <v>42</v>
      </c>
      <c r="C44" s="248" t="s">
        <v>191</v>
      </c>
      <c r="D44" s="247" t="s">
        <v>53</v>
      </c>
      <c r="E44" s="249">
        <v>53.75</v>
      </c>
      <c r="F44" s="250">
        <f>SUM(E44*2/1000)</f>
        <v>0.1075</v>
      </c>
      <c r="G44" s="18">
        <v>579.48</v>
      </c>
      <c r="H44" s="251">
        <f t="shared" si="6"/>
        <v>6.2294099999999998E-2</v>
      </c>
      <c r="I44" s="18">
        <v>0</v>
      </c>
      <c r="J44" s="34"/>
      <c r="L44" s="27"/>
      <c r="M44" s="28"/>
      <c r="N44" s="29"/>
    </row>
    <row r="45" spans="1:14" ht="15.75" hidden="1" customHeight="1">
      <c r="A45" s="46"/>
      <c r="B45" s="247" t="s">
        <v>43</v>
      </c>
      <c r="C45" s="248" t="s">
        <v>191</v>
      </c>
      <c r="D45" s="247" t="s">
        <v>53</v>
      </c>
      <c r="E45" s="249">
        <v>2285.6</v>
      </c>
      <c r="F45" s="250">
        <f>SUM(E45*2/1000)</f>
        <v>4.5712000000000002</v>
      </c>
      <c r="G45" s="18">
        <v>579.48</v>
      </c>
      <c r="H45" s="251">
        <f t="shared" si="6"/>
        <v>2.6489189760000005</v>
      </c>
      <c r="I45" s="18">
        <v>0</v>
      </c>
      <c r="J45" s="34"/>
      <c r="L45" s="27"/>
      <c r="M45" s="28"/>
      <c r="N45" s="29"/>
    </row>
    <row r="46" spans="1:14" ht="15.75" hidden="1" customHeight="1">
      <c r="A46" s="46"/>
      <c r="B46" s="247" t="s">
        <v>44</v>
      </c>
      <c r="C46" s="248" t="s">
        <v>191</v>
      </c>
      <c r="D46" s="247" t="s">
        <v>53</v>
      </c>
      <c r="E46" s="249">
        <v>1860</v>
      </c>
      <c r="F46" s="250">
        <f>SUM(E46*2/1000)</f>
        <v>3.72</v>
      </c>
      <c r="G46" s="18">
        <v>606.77</v>
      </c>
      <c r="H46" s="251">
        <f t="shared" si="6"/>
        <v>2.2571844000000003</v>
      </c>
      <c r="I46" s="18">
        <v>0</v>
      </c>
      <c r="J46" s="34"/>
      <c r="L46" s="27"/>
      <c r="M46" s="28"/>
      <c r="N46" s="29"/>
    </row>
    <row r="47" spans="1:14" ht="15.75" hidden="1" customHeight="1">
      <c r="A47" s="46"/>
      <c r="B47" s="247" t="s">
        <v>40</v>
      </c>
      <c r="C47" s="248" t="s">
        <v>41</v>
      </c>
      <c r="D47" s="247" t="s">
        <v>53</v>
      </c>
      <c r="E47" s="249">
        <v>120.49</v>
      </c>
      <c r="F47" s="250">
        <f>SUM(E47*2/100)</f>
        <v>2.4097999999999997</v>
      </c>
      <c r="G47" s="18">
        <v>72.81</v>
      </c>
      <c r="H47" s="251">
        <f t="shared" si="6"/>
        <v>0.17545753799999997</v>
      </c>
      <c r="I47" s="18">
        <v>0</v>
      </c>
      <c r="J47" s="34"/>
      <c r="L47" s="27"/>
      <c r="M47" s="28"/>
      <c r="N47" s="29"/>
    </row>
    <row r="48" spans="1:14" ht="15.75" hidden="1" customHeight="1">
      <c r="A48" s="46">
        <v>15</v>
      </c>
      <c r="B48" s="247" t="s">
        <v>70</v>
      </c>
      <c r="C48" s="248" t="s">
        <v>191</v>
      </c>
      <c r="D48" s="247" t="s">
        <v>258</v>
      </c>
      <c r="E48" s="249">
        <v>1728</v>
      </c>
      <c r="F48" s="250">
        <f>SUM(E48*5/1000)</f>
        <v>8.64</v>
      </c>
      <c r="G48" s="18">
        <v>1213.55</v>
      </c>
      <c r="H48" s="251">
        <f t="shared" si="6"/>
        <v>10.485072000000001</v>
      </c>
      <c r="I48" s="18">
        <f>F48/5*G48</f>
        <v>2097.0144</v>
      </c>
      <c r="J48" s="34"/>
      <c r="L48" s="27"/>
      <c r="M48" s="28"/>
      <c r="N48" s="29"/>
    </row>
    <row r="49" spans="1:22" ht="31.5" hidden="1" customHeight="1">
      <c r="A49" s="46"/>
      <c r="B49" s="247" t="s">
        <v>198</v>
      </c>
      <c r="C49" s="248" t="s">
        <v>191</v>
      </c>
      <c r="D49" s="247" t="s">
        <v>53</v>
      </c>
      <c r="E49" s="249">
        <v>1728</v>
      </c>
      <c r="F49" s="250">
        <f>SUM(E49*2/1000)</f>
        <v>3.456</v>
      </c>
      <c r="G49" s="18">
        <v>1213.55</v>
      </c>
      <c r="H49" s="251">
        <f t="shared" si="6"/>
        <v>4.1940287999999999</v>
      </c>
      <c r="I49" s="18">
        <v>0</v>
      </c>
      <c r="J49" s="34"/>
      <c r="L49" s="27"/>
      <c r="M49" s="28"/>
      <c r="N49" s="29"/>
    </row>
    <row r="50" spans="1:22" ht="31.5" hidden="1" customHeight="1">
      <c r="A50" s="46"/>
      <c r="B50" s="247" t="s">
        <v>235</v>
      </c>
      <c r="C50" s="248" t="s">
        <v>47</v>
      </c>
      <c r="D50" s="247" t="s">
        <v>53</v>
      </c>
      <c r="E50" s="249">
        <v>20</v>
      </c>
      <c r="F50" s="250">
        <f>SUM(E50*2/100)</f>
        <v>0.4</v>
      </c>
      <c r="G50" s="18">
        <v>2730.49</v>
      </c>
      <c r="H50" s="251">
        <f t="shared" si="6"/>
        <v>1.0921959999999999</v>
      </c>
      <c r="I50" s="18">
        <v>0</v>
      </c>
      <c r="J50" s="34"/>
      <c r="L50" s="27"/>
      <c r="M50" s="28"/>
      <c r="N50" s="29"/>
    </row>
    <row r="51" spans="1:22" ht="15.75" hidden="1" customHeight="1">
      <c r="A51" s="46"/>
      <c r="B51" s="247" t="s">
        <v>48</v>
      </c>
      <c r="C51" s="248" t="s">
        <v>49</v>
      </c>
      <c r="D51" s="247" t="s">
        <v>53</v>
      </c>
      <c r="E51" s="249">
        <v>1</v>
      </c>
      <c r="F51" s="250">
        <v>0.02</v>
      </c>
      <c r="G51" s="18">
        <v>5652.13</v>
      </c>
      <c r="H51" s="251">
        <f t="shared" si="6"/>
        <v>0.11304260000000001</v>
      </c>
      <c r="I51" s="18">
        <v>0</v>
      </c>
      <c r="J51" s="34"/>
      <c r="L51" s="27"/>
      <c r="M51" s="28"/>
      <c r="N51" s="29"/>
    </row>
    <row r="52" spans="1:22" ht="15.75" customHeight="1">
      <c r="A52" s="46">
        <v>15</v>
      </c>
      <c r="B52" s="247" t="s">
        <v>52</v>
      </c>
      <c r="C52" s="248" t="s">
        <v>142</v>
      </c>
      <c r="D52" s="247" t="s">
        <v>89</v>
      </c>
      <c r="E52" s="249">
        <v>128</v>
      </c>
      <c r="F52" s="250">
        <f>SUM(E52)*3</f>
        <v>384</v>
      </c>
      <c r="G52" s="18">
        <v>65.67</v>
      </c>
      <c r="H52" s="251">
        <f t="shared" si="6"/>
        <v>25.217279999999999</v>
      </c>
      <c r="I52" s="18">
        <f>E52*G52</f>
        <v>8405.76</v>
      </c>
      <c r="J52" s="34"/>
      <c r="L52" s="27"/>
      <c r="M52" s="28"/>
      <c r="N52" s="29"/>
    </row>
    <row r="53" spans="1:22" ht="15.75" customHeight="1">
      <c r="A53" s="278" t="s">
        <v>256</v>
      </c>
      <c r="B53" s="279"/>
      <c r="C53" s="279"/>
      <c r="D53" s="279"/>
      <c r="E53" s="279"/>
      <c r="F53" s="279"/>
      <c r="G53" s="279"/>
      <c r="H53" s="279"/>
      <c r="I53" s="280"/>
      <c r="J53" s="34"/>
      <c r="L53" s="27"/>
      <c r="M53" s="28"/>
      <c r="N53" s="29"/>
    </row>
    <row r="54" spans="1:22" ht="15.75" customHeight="1">
      <c r="A54" s="46"/>
      <c r="B54" s="281" t="s">
        <v>54</v>
      </c>
      <c r="C54" s="248"/>
      <c r="D54" s="247"/>
      <c r="E54" s="249"/>
      <c r="F54" s="250"/>
      <c r="G54" s="250"/>
      <c r="H54" s="254"/>
      <c r="I54" s="255"/>
      <c r="J54" s="34"/>
      <c r="L54" s="27"/>
      <c r="M54" s="28"/>
      <c r="N54" s="29"/>
    </row>
    <row r="55" spans="1:22" ht="31.5" customHeight="1">
      <c r="A55" s="46">
        <v>16</v>
      </c>
      <c r="B55" s="247" t="s">
        <v>200</v>
      </c>
      <c r="C55" s="248" t="s">
        <v>163</v>
      </c>
      <c r="D55" s="247" t="s">
        <v>201</v>
      </c>
      <c r="E55" s="249">
        <v>163.30000000000001</v>
      </c>
      <c r="F55" s="250">
        <f>SUM(E55*6/100)</f>
        <v>9.798</v>
      </c>
      <c r="G55" s="18">
        <v>1547.28</v>
      </c>
      <c r="H55" s="251">
        <f>SUM(F55*G55/1000)</f>
        <v>15.160249439999999</v>
      </c>
      <c r="I55" s="18">
        <f>F55/6*G55</f>
        <v>2526.7082399999999</v>
      </c>
      <c r="J55" s="34"/>
      <c r="L55" s="27"/>
      <c r="M55" s="28"/>
      <c r="N55" s="29"/>
    </row>
    <row r="56" spans="1:22" ht="15.75" customHeight="1">
      <c r="A56" s="46"/>
      <c r="B56" s="281" t="s">
        <v>55</v>
      </c>
      <c r="C56" s="248"/>
      <c r="D56" s="247"/>
      <c r="E56" s="249"/>
      <c r="F56" s="250"/>
      <c r="G56" s="250"/>
      <c r="H56" s="251" t="s">
        <v>234</v>
      </c>
      <c r="I56" s="255"/>
      <c r="J56" s="34"/>
      <c r="L56" s="27"/>
      <c r="M56" s="28"/>
      <c r="N56" s="29"/>
    </row>
    <row r="57" spans="1:22" ht="15.75" hidden="1" customHeight="1">
      <c r="A57" s="46"/>
      <c r="B57" s="247" t="s">
        <v>56</v>
      </c>
      <c r="C57" s="248" t="s">
        <v>163</v>
      </c>
      <c r="D57" s="247" t="s">
        <v>66</v>
      </c>
      <c r="E57" s="258">
        <v>1155.2</v>
      </c>
      <c r="F57" s="259">
        <v>11.6</v>
      </c>
      <c r="G57" s="18">
        <v>793.61</v>
      </c>
      <c r="H57" s="260">
        <v>9.1679999999999993</v>
      </c>
      <c r="I57" s="18">
        <v>0</v>
      </c>
      <c r="J57" s="34"/>
      <c r="L57" s="27"/>
      <c r="M57" s="28"/>
      <c r="N57" s="29"/>
    </row>
    <row r="58" spans="1:22" ht="15.75" customHeight="1">
      <c r="A58" s="46">
        <v>17</v>
      </c>
      <c r="B58" s="261" t="s">
        <v>144</v>
      </c>
      <c r="C58" s="262" t="s">
        <v>29</v>
      </c>
      <c r="D58" s="261" t="s">
        <v>35</v>
      </c>
      <c r="E58" s="258">
        <v>255.2</v>
      </c>
      <c r="F58" s="263">
        <v>3062.4</v>
      </c>
      <c r="G58" s="243">
        <v>2.6</v>
      </c>
      <c r="H58" s="264">
        <f>G58*F58/1000</f>
        <v>7.9622400000000004</v>
      </c>
      <c r="I58" s="18">
        <f>F58/12*G58</f>
        <v>663.5200000000001</v>
      </c>
      <c r="J58" s="34"/>
      <c r="L58" s="27"/>
      <c r="M58" s="28"/>
      <c r="N58" s="29"/>
    </row>
    <row r="59" spans="1:22" ht="15.75" customHeight="1">
      <c r="A59" s="46"/>
      <c r="B59" s="294" t="s">
        <v>57</v>
      </c>
      <c r="C59" s="262"/>
      <c r="D59" s="261"/>
      <c r="E59" s="258"/>
      <c r="F59" s="263"/>
      <c r="G59" s="263"/>
      <c r="H59" s="264" t="s">
        <v>234</v>
      </c>
      <c r="I59" s="255"/>
      <c r="J59" s="34"/>
      <c r="L59" s="27"/>
      <c r="M59" s="28"/>
      <c r="N59" s="29"/>
    </row>
    <row r="60" spans="1:22" ht="15.75" customHeight="1">
      <c r="A60" s="46">
        <v>18</v>
      </c>
      <c r="B60" s="20" t="s">
        <v>58</v>
      </c>
      <c r="C60" s="22" t="s">
        <v>142</v>
      </c>
      <c r="D60" s="20" t="s">
        <v>84</v>
      </c>
      <c r="E60" s="25">
        <v>5</v>
      </c>
      <c r="F60" s="250">
        <v>5</v>
      </c>
      <c r="G60" s="18">
        <v>222.4</v>
      </c>
      <c r="H60" s="265">
        <f t="shared" ref="H60:H67" si="7">SUM(F60*G60/1000)</f>
        <v>1.1120000000000001</v>
      </c>
      <c r="I60" s="18">
        <f>G60*2</f>
        <v>444.8</v>
      </c>
      <c r="J60" s="34"/>
      <c r="L60" s="27"/>
    </row>
    <row r="61" spans="1:22" ht="15.75" hidden="1" customHeight="1">
      <c r="A61" s="46"/>
      <c r="B61" s="20" t="s">
        <v>59</v>
      </c>
      <c r="C61" s="22" t="s">
        <v>142</v>
      </c>
      <c r="D61" s="20" t="s">
        <v>233</v>
      </c>
      <c r="E61" s="25">
        <v>4</v>
      </c>
      <c r="F61" s="250">
        <v>4</v>
      </c>
      <c r="G61" s="18">
        <v>76.25</v>
      </c>
      <c r="H61" s="265">
        <f t="shared" si="7"/>
        <v>0.30499999999999999</v>
      </c>
      <c r="I61" s="18">
        <v>0</v>
      </c>
      <c r="J61" s="34"/>
      <c r="L61" s="27"/>
    </row>
    <row r="62" spans="1:22" ht="15.75" hidden="1" customHeight="1">
      <c r="A62" s="46"/>
      <c r="B62" s="20" t="s">
        <v>60</v>
      </c>
      <c r="C62" s="22" t="s">
        <v>202</v>
      </c>
      <c r="D62" s="20" t="s">
        <v>66</v>
      </c>
      <c r="E62" s="249">
        <v>15552</v>
      </c>
      <c r="F62" s="18">
        <f>SUM(E62/100)</f>
        <v>155.52000000000001</v>
      </c>
      <c r="G62" s="18">
        <v>212.15</v>
      </c>
      <c r="H62" s="265">
        <f t="shared" si="7"/>
        <v>32.993568000000003</v>
      </c>
      <c r="I62" s="18">
        <v>0</v>
      </c>
    </row>
    <row r="63" spans="1:22" ht="15.75" hidden="1" customHeight="1">
      <c r="A63" s="46"/>
      <c r="B63" s="20" t="s">
        <v>61</v>
      </c>
      <c r="C63" s="22" t="s">
        <v>203</v>
      </c>
      <c r="D63" s="20"/>
      <c r="E63" s="249">
        <v>15552</v>
      </c>
      <c r="F63" s="18">
        <f>SUM(E63/1000)</f>
        <v>15.552</v>
      </c>
      <c r="G63" s="18">
        <v>165.21</v>
      </c>
      <c r="H63" s="265">
        <f t="shared" si="7"/>
        <v>2.5693459200000004</v>
      </c>
      <c r="I63" s="18">
        <v>0</v>
      </c>
    </row>
    <row r="64" spans="1:22" ht="15.75" hidden="1" customHeight="1">
      <c r="A64" s="46"/>
      <c r="B64" s="20" t="s">
        <v>62</v>
      </c>
      <c r="C64" s="22" t="s">
        <v>96</v>
      </c>
      <c r="D64" s="20" t="s">
        <v>66</v>
      </c>
      <c r="E64" s="249">
        <v>2432</v>
      </c>
      <c r="F64" s="18">
        <f>SUM(E64/100)</f>
        <v>24.32</v>
      </c>
      <c r="G64" s="18">
        <v>2074.63</v>
      </c>
      <c r="H64" s="265">
        <f t="shared" si="7"/>
        <v>50.455001600000003</v>
      </c>
      <c r="I64" s="18"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46"/>
      <c r="B65" s="266" t="s">
        <v>90</v>
      </c>
      <c r="C65" s="22" t="s">
        <v>38</v>
      </c>
      <c r="D65" s="20"/>
      <c r="E65" s="249">
        <v>34.5</v>
      </c>
      <c r="F65" s="18">
        <f>SUM(E65)</f>
        <v>34.5</v>
      </c>
      <c r="G65" s="18">
        <v>45.32</v>
      </c>
      <c r="H65" s="265">
        <f t="shared" si="7"/>
        <v>1.5635399999999999</v>
      </c>
      <c r="I65" s="18">
        <v>0</v>
      </c>
      <c r="J65" s="38"/>
      <c r="K65" s="38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31.5" hidden="1" customHeight="1">
      <c r="A66" s="46"/>
      <c r="B66" s="266" t="s">
        <v>91</v>
      </c>
      <c r="C66" s="22" t="s">
        <v>38</v>
      </c>
      <c r="D66" s="20"/>
      <c r="E66" s="249">
        <f>E65</f>
        <v>34.5</v>
      </c>
      <c r="F66" s="18">
        <f>SUM(E66)</f>
        <v>34.5</v>
      </c>
      <c r="G66" s="18">
        <v>42.28</v>
      </c>
      <c r="H66" s="265">
        <f t="shared" si="7"/>
        <v>1.4586600000000001</v>
      </c>
      <c r="I66" s="18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46"/>
      <c r="B67" s="20" t="s">
        <v>71</v>
      </c>
      <c r="C67" s="22" t="s">
        <v>72</v>
      </c>
      <c r="D67" s="20" t="s">
        <v>66</v>
      </c>
      <c r="E67" s="25">
        <v>4</v>
      </c>
      <c r="F67" s="250">
        <f>SUM(E67)</f>
        <v>4</v>
      </c>
      <c r="G67" s="18">
        <v>49.88</v>
      </c>
      <c r="H67" s="265">
        <f t="shared" si="7"/>
        <v>0.19952</v>
      </c>
      <c r="I67" s="18">
        <v>0</v>
      </c>
      <c r="J67" s="5"/>
      <c r="K67" s="5"/>
      <c r="L67" s="5"/>
      <c r="M67" s="5"/>
      <c r="N67" s="5"/>
      <c r="O67" s="5"/>
      <c r="P67" s="5"/>
      <c r="Q67" s="5"/>
      <c r="R67" s="216"/>
      <c r="S67" s="216"/>
      <c r="T67" s="216"/>
      <c r="U67" s="216"/>
    </row>
    <row r="68" spans="1:21" ht="15.75" hidden="1" customHeight="1">
      <c r="A68" s="46"/>
      <c r="B68" s="210" t="s">
        <v>92</v>
      </c>
      <c r="C68" s="22"/>
      <c r="D68" s="20"/>
      <c r="E68" s="25"/>
      <c r="F68" s="18"/>
      <c r="G68" s="18"/>
      <c r="H68" s="265" t="s">
        <v>234</v>
      </c>
      <c r="I68" s="255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ht="15.75" hidden="1" customHeight="1">
      <c r="A69" s="46">
        <v>19</v>
      </c>
      <c r="B69" s="20" t="s">
        <v>93</v>
      </c>
      <c r="C69" s="22" t="s">
        <v>94</v>
      </c>
      <c r="D69" s="20"/>
      <c r="E69" s="25">
        <v>4</v>
      </c>
      <c r="F69" s="18">
        <v>0.4</v>
      </c>
      <c r="G69" s="18">
        <v>501.62</v>
      </c>
      <c r="H69" s="265">
        <f>SUM(F69*G69/1000)</f>
        <v>0.20064800000000002</v>
      </c>
      <c r="I69" s="18">
        <f>G69*0.2</f>
        <v>100.32400000000001</v>
      </c>
    </row>
    <row r="70" spans="1:21" ht="15.75" hidden="1" customHeight="1">
      <c r="A70" s="46"/>
      <c r="B70" s="20" t="s">
        <v>220</v>
      </c>
      <c r="C70" s="22" t="s">
        <v>142</v>
      </c>
      <c r="D70" s="20"/>
      <c r="E70" s="25">
        <v>1</v>
      </c>
      <c r="F70" s="18">
        <f>E70</f>
        <v>1</v>
      </c>
      <c r="G70" s="18">
        <v>852.99</v>
      </c>
      <c r="H70" s="265">
        <f>SUM(F70*G70/1000)</f>
        <v>0.85299000000000003</v>
      </c>
      <c r="I70" s="18">
        <v>0</v>
      </c>
    </row>
    <row r="71" spans="1:21" ht="15.75" hidden="1" customHeight="1">
      <c r="A71" s="46"/>
      <c r="B71" s="269" t="s">
        <v>95</v>
      </c>
      <c r="C71" s="22"/>
      <c r="D71" s="20"/>
      <c r="E71" s="25"/>
      <c r="F71" s="25"/>
      <c r="G71" s="25"/>
      <c r="H71" s="25"/>
      <c r="I71" s="255"/>
    </row>
    <row r="72" spans="1:21" ht="15.75" hidden="1" customHeight="1">
      <c r="A72" s="46"/>
      <c r="B72" s="81" t="s">
        <v>208</v>
      </c>
      <c r="C72" s="22" t="s">
        <v>96</v>
      </c>
      <c r="D72" s="20"/>
      <c r="E72" s="25"/>
      <c r="F72" s="18">
        <v>0.1</v>
      </c>
      <c r="G72" s="18">
        <v>2759.44</v>
      </c>
      <c r="H72" s="268">
        <f t="shared" ref="H72" si="8">SUM(F72*G72/1000)</f>
        <v>0.27594400000000002</v>
      </c>
      <c r="I72" s="18">
        <v>0</v>
      </c>
    </row>
    <row r="73" spans="1:21" ht="15.75" hidden="1" customHeight="1">
      <c r="A73" s="46"/>
      <c r="B73" s="210" t="s">
        <v>206</v>
      </c>
      <c r="C73" s="269"/>
      <c r="D73" s="51"/>
      <c r="E73" s="53"/>
      <c r="F73" s="270"/>
      <c r="G73" s="270"/>
      <c r="H73" s="271">
        <f>SUM(H55:H72)</f>
        <v>124.27670696000001</v>
      </c>
      <c r="I73" s="253"/>
    </row>
    <row r="74" spans="1:21" ht="15.75" hidden="1" customHeight="1">
      <c r="A74" s="285"/>
      <c r="B74" s="261" t="s">
        <v>207</v>
      </c>
      <c r="C74" s="295"/>
      <c r="D74" s="296"/>
      <c r="E74" s="272"/>
      <c r="F74" s="286">
        <f>232/10</f>
        <v>23.2</v>
      </c>
      <c r="G74" s="286">
        <v>11370</v>
      </c>
      <c r="H74" s="297">
        <f>G74*F74/1000</f>
        <v>263.78399999999999</v>
      </c>
      <c r="I74" s="286">
        <v>0</v>
      </c>
    </row>
    <row r="75" spans="1:21" ht="15.75" customHeight="1">
      <c r="A75" s="282" t="s">
        <v>257</v>
      </c>
      <c r="B75" s="283"/>
      <c r="C75" s="283"/>
      <c r="D75" s="283"/>
      <c r="E75" s="283"/>
      <c r="F75" s="283"/>
      <c r="G75" s="283"/>
      <c r="H75" s="283"/>
      <c r="I75" s="284"/>
    </row>
    <row r="76" spans="1:21" ht="15.75" customHeight="1">
      <c r="A76" s="287">
        <v>19</v>
      </c>
      <c r="B76" s="288" t="s">
        <v>209</v>
      </c>
      <c r="C76" s="298" t="s">
        <v>67</v>
      </c>
      <c r="D76" s="299" t="s">
        <v>68</v>
      </c>
      <c r="E76" s="292">
        <v>3053.4</v>
      </c>
      <c r="F76" s="292">
        <f>SUM(E76*12)</f>
        <v>36640.800000000003</v>
      </c>
      <c r="G76" s="292">
        <v>2.1</v>
      </c>
      <c r="H76" s="300">
        <f>SUM(F76*G76/1000)</f>
        <v>76.94568000000001</v>
      </c>
      <c r="I76" s="292">
        <f>F76/12*G76</f>
        <v>6412.14</v>
      </c>
    </row>
    <row r="77" spans="1:21" ht="31.5" customHeight="1">
      <c r="A77" s="46">
        <v>20</v>
      </c>
      <c r="B77" s="20" t="s">
        <v>97</v>
      </c>
      <c r="C77" s="22"/>
      <c r="D77" s="299" t="s">
        <v>68</v>
      </c>
      <c r="E77" s="249">
        <f>E76</f>
        <v>3053.4</v>
      </c>
      <c r="F77" s="18">
        <f>E77*12</f>
        <v>36640.800000000003</v>
      </c>
      <c r="G77" s="18">
        <v>1.63</v>
      </c>
      <c r="H77" s="268">
        <f>F77*G77/1000</f>
        <v>59.724504000000003</v>
      </c>
      <c r="I77" s="18">
        <f>F77/12*G77</f>
        <v>4977.0419999999995</v>
      </c>
    </row>
    <row r="78" spans="1:21" ht="15.75" customHeight="1">
      <c r="A78" s="46"/>
      <c r="B78" s="68" t="s">
        <v>102</v>
      </c>
      <c r="C78" s="269"/>
      <c r="D78" s="267"/>
      <c r="E78" s="270"/>
      <c r="F78" s="270"/>
      <c r="G78" s="270"/>
      <c r="H78" s="271">
        <f>SUM(H77)</f>
        <v>59.724504000000003</v>
      </c>
      <c r="I78" s="270">
        <f>I16+I17+I18+I20+I21+I23+I25+I26+I36+I37+I38+I39+I40+I41+I52+I55+I58+I60+I76+I77</f>
        <v>52089.329125166667</v>
      </c>
    </row>
    <row r="79" spans="1:21" ht="15.75" customHeight="1">
      <c r="A79" s="46"/>
      <c r="B79" s="198" t="s">
        <v>74</v>
      </c>
      <c r="C79" s="22"/>
      <c r="D79" s="81"/>
      <c r="E79" s="18"/>
      <c r="F79" s="18"/>
      <c r="G79" s="18"/>
      <c r="H79" s="23"/>
      <c r="I79" s="255"/>
    </row>
    <row r="80" spans="1:21" ht="15.75" customHeight="1">
      <c r="A80" s="46">
        <v>22</v>
      </c>
      <c r="B80" s="199" t="s">
        <v>173</v>
      </c>
      <c r="C80" s="200" t="s">
        <v>142</v>
      </c>
      <c r="D80" s="81"/>
      <c r="E80" s="18"/>
      <c r="F80" s="18">
        <v>780</v>
      </c>
      <c r="G80" s="18">
        <v>50.68</v>
      </c>
      <c r="H80" s="268">
        <f>G80*F80/1000</f>
        <v>39.5304</v>
      </c>
      <c r="I80" s="18">
        <f>G80*65</f>
        <v>3294.2</v>
      </c>
    </row>
    <row r="81" spans="1:9" ht="31.5" hidden="1" customHeight="1">
      <c r="A81" s="46"/>
      <c r="B81" s="199" t="s">
        <v>236</v>
      </c>
      <c r="C81" s="200" t="s">
        <v>142</v>
      </c>
      <c r="D81" s="81"/>
      <c r="E81" s="18"/>
      <c r="F81" s="18">
        <v>1</v>
      </c>
      <c r="G81" s="18">
        <v>2179.33</v>
      </c>
      <c r="H81" s="268">
        <f>G81*F81/1000</f>
        <v>2.1793299999999998</v>
      </c>
      <c r="I81" s="18">
        <v>0</v>
      </c>
    </row>
    <row r="82" spans="1:9" ht="31.5" hidden="1" customHeight="1">
      <c r="A82" s="46"/>
      <c r="B82" s="199" t="s">
        <v>111</v>
      </c>
      <c r="C82" s="200" t="s">
        <v>47</v>
      </c>
      <c r="D82" s="81"/>
      <c r="E82" s="18"/>
      <c r="F82" s="18">
        <f>3/100</f>
        <v>0.03</v>
      </c>
      <c r="G82" s="18">
        <v>3397.65</v>
      </c>
      <c r="H82" s="268">
        <f t="shared" ref="H82:H98" si="9">F82*G82/1000</f>
        <v>0.10192950000000001</v>
      </c>
      <c r="I82" s="18">
        <v>0</v>
      </c>
    </row>
    <row r="83" spans="1:9" ht="15.75" hidden="1" customHeight="1">
      <c r="A83" s="46"/>
      <c r="B83" s="199" t="s">
        <v>181</v>
      </c>
      <c r="C83" s="273" t="s">
        <v>104</v>
      </c>
      <c r="D83" s="81"/>
      <c r="E83" s="18"/>
      <c r="F83" s="18">
        <v>2</v>
      </c>
      <c r="G83" s="18">
        <v>18</v>
      </c>
      <c r="H83" s="268">
        <f t="shared" si="9"/>
        <v>3.5999999999999997E-2</v>
      </c>
      <c r="I83" s="18">
        <v>0</v>
      </c>
    </row>
    <row r="84" spans="1:9" ht="15.75" hidden="1" customHeight="1">
      <c r="A84" s="46"/>
      <c r="B84" s="199" t="s">
        <v>237</v>
      </c>
      <c r="C84" s="273" t="s">
        <v>238</v>
      </c>
      <c r="D84" s="81"/>
      <c r="E84" s="18"/>
      <c r="F84" s="18">
        <v>1</v>
      </c>
      <c r="G84" s="18">
        <v>1501</v>
      </c>
      <c r="H84" s="268">
        <f t="shared" si="9"/>
        <v>1.5009999999999999</v>
      </c>
      <c r="I84" s="18">
        <v>0</v>
      </c>
    </row>
    <row r="85" spans="1:9" ht="31.5" hidden="1" customHeight="1">
      <c r="A85" s="46"/>
      <c r="B85" s="199" t="s">
        <v>239</v>
      </c>
      <c r="C85" s="200" t="s">
        <v>175</v>
      </c>
      <c r="D85" s="81"/>
      <c r="E85" s="18"/>
      <c r="F85" s="18">
        <v>1</v>
      </c>
      <c r="G85" s="18">
        <v>762.37</v>
      </c>
      <c r="H85" s="268">
        <f t="shared" si="9"/>
        <v>0.76236999999999999</v>
      </c>
      <c r="I85" s="18">
        <v>0</v>
      </c>
    </row>
    <row r="86" spans="1:9" ht="31.5" hidden="1" customHeight="1">
      <c r="A86" s="46"/>
      <c r="B86" s="199" t="s">
        <v>240</v>
      </c>
      <c r="C86" s="22" t="s">
        <v>241</v>
      </c>
      <c r="D86" s="81"/>
      <c r="E86" s="18"/>
      <c r="F86" s="18">
        <v>20</v>
      </c>
      <c r="G86" s="18">
        <v>1187</v>
      </c>
      <c r="H86" s="268">
        <f t="shared" si="9"/>
        <v>23.74</v>
      </c>
      <c r="I86" s="18">
        <v>0</v>
      </c>
    </row>
    <row r="87" spans="1:9" ht="15.75" hidden="1" customHeight="1">
      <c r="A87" s="46"/>
      <c r="B87" s="199" t="s">
        <v>107</v>
      </c>
      <c r="C87" s="200" t="s">
        <v>142</v>
      </c>
      <c r="D87" s="81"/>
      <c r="E87" s="18"/>
      <c r="F87" s="18">
        <v>5</v>
      </c>
      <c r="G87" s="18">
        <v>180.15</v>
      </c>
      <c r="H87" s="268">
        <f t="shared" si="9"/>
        <v>0.90075000000000005</v>
      </c>
      <c r="I87" s="18">
        <v>0</v>
      </c>
    </row>
    <row r="88" spans="1:9" ht="15.75" hidden="1" customHeight="1">
      <c r="A88" s="46"/>
      <c r="B88" s="199" t="s">
        <v>242</v>
      </c>
      <c r="C88" s="200" t="s">
        <v>113</v>
      </c>
      <c r="D88" s="81"/>
      <c r="E88" s="18"/>
      <c r="F88" s="18">
        <v>2</v>
      </c>
      <c r="G88" s="18">
        <v>185.81</v>
      </c>
      <c r="H88" s="268">
        <f t="shared" si="9"/>
        <v>0.37162000000000001</v>
      </c>
      <c r="I88" s="18">
        <v>0</v>
      </c>
    </row>
    <row r="89" spans="1:9" ht="15.75" hidden="1" customHeight="1">
      <c r="A89" s="46"/>
      <c r="B89" s="199" t="s">
        <v>243</v>
      </c>
      <c r="C89" s="200" t="s">
        <v>175</v>
      </c>
      <c r="D89" s="81"/>
      <c r="E89" s="18"/>
      <c r="F89" s="18">
        <v>1</v>
      </c>
      <c r="G89" s="18">
        <v>3498.23</v>
      </c>
      <c r="H89" s="268">
        <f t="shared" si="9"/>
        <v>3.49823</v>
      </c>
      <c r="I89" s="18">
        <v>0</v>
      </c>
    </row>
    <row r="90" spans="1:9" ht="15.75" hidden="1" customHeight="1">
      <c r="A90" s="46"/>
      <c r="B90" s="199" t="s">
        <v>244</v>
      </c>
      <c r="C90" s="200" t="s">
        <v>175</v>
      </c>
      <c r="D90" s="81"/>
      <c r="E90" s="18"/>
      <c r="F90" s="18">
        <v>1</v>
      </c>
      <c r="G90" s="18">
        <v>5860.39</v>
      </c>
      <c r="H90" s="268">
        <f t="shared" si="9"/>
        <v>5.8603900000000007</v>
      </c>
      <c r="I90" s="18">
        <v>0</v>
      </c>
    </row>
    <row r="91" spans="1:9" ht="15.75" hidden="1" customHeight="1">
      <c r="A91" s="46"/>
      <c r="B91" s="199" t="s">
        <v>245</v>
      </c>
      <c r="C91" s="200" t="s">
        <v>175</v>
      </c>
      <c r="D91" s="81"/>
      <c r="E91" s="18"/>
      <c r="F91" s="18">
        <v>2</v>
      </c>
      <c r="G91" s="18">
        <v>7226.23</v>
      </c>
      <c r="H91" s="268">
        <f t="shared" si="9"/>
        <v>14.452459999999999</v>
      </c>
      <c r="I91" s="18">
        <v>0</v>
      </c>
    </row>
    <row r="92" spans="1:9" ht="31.5" hidden="1" customHeight="1">
      <c r="A92" s="46"/>
      <c r="B92" s="199" t="s">
        <v>246</v>
      </c>
      <c r="C92" s="200" t="s">
        <v>34</v>
      </c>
      <c r="D92" s="81"/>
      <c r="E92" s="18"/>
      <c r="F92" s="23">
        <f>1/1000</f>
        <v>1E-3</v>
      </c>
      <c r="G92" s="18">
        <v>1510.06</v>
      </c>
      <c r="H92" s="268">
        <f t="shared" si="9"/>
        <v>1.5100599999999999E-3</v>
      </c>
      <c r="I92" s="18">
        <v>0</v>
      </c>
    </row>
    <row r="93" spans="1:9" ht="31.5" hidden="1" customHeight="1">
      <c r="A93" s="46"/>
      <c r="B93" s="199" t="s">
        <v>247</v>
      </c>
      <c r="C93" s="200" t="s">
        <v>248</v>
      </c>
      <c r="D93" s="81"/>
      <c r="E93" s="18"/>
      <c r="F93" s="18">
        <f>1/100</f>
        <v>0.01</v>
      </c>
      <c r="G93" s="18">
        <v>7033.13</v>
      </c>
      <c r="H93" s="268">
        <f t="shared" si="9"/>
        <v>7.0331299999999999E-2</v>
      </c>
      <c r="I93" s="18">
        <v>0</v>
      </c>
    </row>
    <row r="94" spans="1:9" ht="31.5" hidden="1" customHeight="1">
      <c r="A94" s="46"/>
      <c r="B94" s="199" t="s">
        <v>134</v>
      </c>
      <c r="C94" s="200" t="s">
        <v>175</v>
      </c>
      <c r="D94" s="81"/>
      <c r="E94" s="18"/>
      <c r="F94" s="18">
        <v>6</v>
      </c>
      <c r="G94" s="18">
        <v>559.62</v>
      </c>
      <c r="H94" s="268">
        <f t="shared" si="9"/>
        <v>3.35772</v>
      </c>
      <c r="I94" s="18">
        <v>0</v>
      </c>
    </row>
    <row r="95" spans="1:9" ht="15.75" hidden="1" customHeight="1">
      <c r="A95" s="46"/>
      <c r="B95" s="274" t="s">
        <v>145</v>
      </c>
      <c r="C95" s="275" t="s">
        <v>146</v>
      </c>
      <c r="D95" s="81"/>
      <c r="E95" s="18"/>
      <c r="F95" s="18">
        <f>15/3</f>
        <v>5</v>
      </c>
      <c r="G95" s="18">
        <v>1063.47</v>
      </c>
      <c r="H95" s="268">
        <f t="shared" si="9"/>
        <v>5.3173500000000002</v>
      </c>
      <c r="I95" s="18">
        <v>0</v>
      </c>
    </row>
    <row r="96" spans="1:9" ht="31.5" hidden="1" customHeight="1">
      <c r="A96" s="46"/>
      <c r="B96" s="199" t="s">
        <v>101</v>
      </c>
      <c r="C96" s="200" t="s">
        <v>142</v>
      </c>
      <c r="D96" s="81"/>
      <c r="E96" s="18"/>
      <c r="F96" s="18">
        <v>3</v>
      </c>
      <c r="G96" s="18">
        <v>79.09</v>
      </c>
      <c r="H96" s="268">
        <f t="shared" si="9"/>
        <v>0.23727000000000001</v>
      </c>
      <c r="I96" s="18">
        <v>0</v>
      </c>
    </row>
    <row r="97" spans="1:9" ht="15.75" hidden="1" customHeight="1">
      <c r="A97" s="46"/>
      <c r="B97" s="199" t="s">
        <v>249</v>
      </c>
      <c r="C97" s="200" t="s">
        <v>250</v>
      </c>
      <c r="D97" s="81"/>
      <c r="E97" s="18"/>
      <c r="F97" s="18">
        <v>1</v>
      </c>
      <c r="G97" s="18">
        <v>24407.200000000001</v>
      </c>
      <c r="H97" s="268">
        <f t="shared" si="9"/>
        <v>24.4072</v>
      </c>
      <c r="I97" s="18">
        <v>0</v>
      </c>
    </row>
    <row r="98" spans="1:9" ht="31.5" hidden="1" customHeight="1">
      <c r="A98" s="46"/>
      <c r="B98" s="199" t="s">
        <v>251</v>
      </c>
      <c r="C98" s="200" t="s">
        <v>175</v>
      </c>
      <c r="D98" s="81"/>
      <c r="E98" s="18"/>
      <c r="F98" s="18">
        <v>1</v>
      </c>
      <c r="G98" s="18">
        <v>476.76</v>
      </c>
      <c r="H98" s="268">
        <f t="shared" si="9"/>
        <v>0.47676000000000002</v>
      </c>
      <c r="I98" s="18">
        <v>0</v>
      </c>
    </row>
    <row r="99" spans="1:9" ht="15.75" hidden="1" customHeight="1">
      <c r="A99" s="46"/>
      <c r="B99" s="276" t="s">
        <v>116</v>
      </c>
      <c r="C99" s="200" t="s">
        <v>142</v>
      </c>
      <c r="D99" s="81"/>
      <c r="E99" s="18"/>
      <c r="F99" s="18">
        <v>1</v>
      </c>
      <c r="G99" s="18">
        <v>179.96</v>
      </c>
      <c r="H99" s="268">
        <f>F99*G99/1000</f>
        <v>0.17996000000000001</v>
      </c>
      <c r="I99" s="18">
        <v>0</v>
      </c>
    </row>
    <row r="100" spans="1:9" ht="15.75" customHeight="1">
      <c r="A100" s="46"/>
      <c r="B100" s="75" t="s">
        <v>63</v>
      </c>
      <c r="C100" s="71"/>
      <c r="D100" s="123"/>
      <c r="E100" s="71">
        <v>1</v>
      </c>
      <c r="F100" s="71"/>
      <c r="G100" s="71"/>
      <c r="H100" s="71"/>
      <c r="I100" s="53">
        <f>SUM(I80:I99)</f>
        <v>3294.2</v>
      </c>
    </row>
    <row r="101" spans="1:9" ht="15.75" customHeight="1">
      <c r="A101" s="46"/>
      <c r="B101" s="81" t="s">
        <v>98</v>
      </c>
      <c r="C101" s="21"/>
      <c r="D101" s="21"/>
      <c r="E101" s="72"/>
      <c r="F101" s="72"/>
      <c r="G101" s="73"/>
      <c r="H101" s="73"/>
      <c r="I101" s="24">
        <v>0</v>
      </c>
    </row>
    <row r="102" spans="1:9" ht="15.75" customHeight="1">
      <c r="A102" s="124"/>
      <c r="B102" s="76" t="s">
        <v>64</v>
      </c>
      <c r="C102" s="59"/>
      <c r="D102" s="59"/>
      <c r="E102" s="59"/>
      <c r="F102" s="59"/>
      <c r="G102" s="59"/>
      <c r="H102" s="59"/>
      <c r="I102" s="74">
        <f>I78+I100</f>
        <v>55383.529125166664</v>
      </c>
    </row>
    <row r="103" spans="1:9" ht="15.75">
      <c r="A103" s="240" t="s">
        <v>270</v>
      </c>
      <c r="B103" s="240"/>
      <c r="C103" s="240"/>
      <c r="D103" s="240"/>
      <c r="E103" s="240"/>
      <c r="F103" s="240"/>
      <c r="G103" s="240"/>
      <c r="H103" s="240"/>
      <c r="I103" s="240"/>
    </row>
    <row r="104" spans="1:9" ht="15.75">
      <c r="A104" s="205"/>
      <c r="B104" s="241" t="s">
        <v>271</v>
      </c>
      <c r="C104" s="241"/>
      <c r="D104" s="241"/>
      <c r="E104" s="241"/>
      <c r="F104" s="241"/>
      <c r="G104" s="241"/>
      <c r="H104" s="246"/>
      <c r="I104" s="3"/>
    </row>
    <row r="105" spans="1:9">
      <c r="A105" s="208"/>
      <c r="B105" s="222" t="s">
        <v>7</v>
      </c>
      <c r="C105" s="222"/>
      <c r="D105" s="222"/>
      <c r="E105" s="222"/>
      <c r="F105" s="222"/>
      <c r="G105" s="222"/>
      <c r="H105" s="37"/>
      <c r="I105" s="5"/>
    </row>
    <row r="106" spans="1:9" ht="15.75" customHeight="1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 ht="15.75" customHeight="1">
      <c r="A107" s="217" t="s">
        <v>8</v>
      </c>
      <c r="B107" s="217"/>
      <c r="C107" s="217"/>
      <c r="D107" s="217"/>
      <c r="E107" s="217"/>
      <c r="F107" s="217"/>
      <c r="G107" s="217"/>
      <c r="H107" s="217"/>
      <c r="I107" s="217"/>
    </row>
    <row r="108" spans="1:9" ht="15.75" customHeight="1">
      <c r="A108" s="217" t="s">
        <v>9</v>
      </c>
      <c r="B108" s="217"/>
      <c r="C108" s="217"/>
      <c r="D108" s="217"/>
      <c r="E108" s="217"/>
      <c r="F108" s="217"/>
      <c r="G108" s="217"/>
      <c r="H108" s="217"/>
      <c r="I108" s="217"/>
    </row>
    <row r="109" spans="1:9" ht="15.75" customHeight="1">
      <c r="A109" s="219" t="s">
        <v>76</v>
      </c>
      <c r="B109" s="219"/>
      <c r="C109" s="219"/>
      <c r="D109" s="219"/>
      <c r="E109" s="219"/>
      <c r="F109" s="219"/>
      <c r="G109" s="219"/>
      <c r="H109" s="219"/>
      <c r="I109" s="219"/>
    </row>
    <row r="110" spans="1:9" ht="15.75" customHeight="1">
      <c r="A110" s="12"/>
    </row>
    <row r="111" spans="1:9" ht="15.75" customHeight="1">
      <c r="A111" s="220" t="s">
        <v>11</v>
      </c>
      <c r="B111" s="220"/>
      <c r="C111" s="220"/>
      <c r="D111" s="220"/>
      <c r="E111" s="220"/>
      <c r="F111" s="220"/>
      <c r="G111" s="220"/>
      <c r="H111" s="220"/>
      <c r="I111" s="220"/>
    </row>
    <row r="112" spans="1:9" ht="15.75" customHeight="1">
      <c r="A112" s="4"/>
    </row>
    <row r="113" spans="1:9" ht="15.75" customHeight="1">
      <c r="B113" s="204" t="s">
        <v>12</v>
      </c>
      <c r="C113" s="224" t="s">
        <v>136</v>
      </c>
      <c r="D113" s="224"/>
      <c r="E113" s="224"/>
      <c r="F113" s="244"/>
      <c r="I113" s="207"/>
    </row>
    <row r="114" spans="1:9" ht="15.75" customHeight="1">
      <c r="A114" s="208"/>
      <c r="C114" s="222" t="s">
        <v>13</v>
      </c>
      <c r="D114" s="222"/>
      <c r="E114" s="222"/>
      <c r="F114" s="37"/>
      <c r="I114" s="206" t="s">
        <v>14</v>
      </c>
    </row>
    <row r="115" spans="1:9" ht="15.75" customHeight="1">
      <c r="A115" s="38"/>
      <c r="C115" s="13"/>
      <c r="D115" s="13"/>
      <c r="G115" s="13"/>
      <c r="H115" s="13"/>
    </row>
    <row r="116" spans="1:9" ht="15.75" customHeight="1">
      <c r="B116" s="204" t="s">
        <v>15</v>
      </c>
      <c r="C116" s="223"/>
      <c r="D116" s="223"/>
      <c r="E116" s="223"/>
      <c r="F116" s="245"/>
      <c r="I116" s="207"/>
    </row>
    <row r="117" spans="1:9" ht="15.75" customHeight="1">
      <c r="A117" s="208"/>
      <c r="C117" s="216" t="s">
        <v>13</v>
      </c>
      <c r="D117" s="216"/>
      <c r="E117" s="216"/>
      <c r="F117" s="208"/>
      <c r="I117" s="206" t="s">
        <v>14</v>
      </c>
    </row>
    <row r="118" spans="1:9" ht="15.75" customHeight="1">
      <c r="A118" s="4" t="s">
        <v>16</v>
      </c>
    </row>
    <row r="119" spans="1:9">
      <c r="A119" s="234" t="s">
        <v>17</v>
      </c>
      <c r="B119" s="234"/>
      <c r="C119" s="234"/>
      <c r="D119" s="234"/>
      <c r="E119" s="234"/>
      <c r="F119" s="234"/>
      <c r="G119" s="234"/>
      <c r="H119" s="234"/>
      <c r="I119" s="234"/>
    </row>
    <row r="120" spans="1:9" ht="47.25" customHeight="1">
      <c r="A120" s="235" t="s">
        <v>18</v>
      </c>
      <c r="B120" s="235"/>
      <c r="C120" s="235"/>
      <c r="D120" s="235"/>
      <c r="E120" s="235"/>
      <c r="F120" s="235"/>
      <c r="G120" s="235"/>
      <c r="H120" s="235"/>
      <c r="I120" s="235"/>
    </row>
    <row r="121" spans="1:9" ht="31.5" customHeight="1">
      <c r="A121" s="235" t="s">
        <v>19</v>
      </c>
      <c r="B121" s="235"/>
      <c r="C121" s="235"/>
      <c r="D121" s="235"/>
      <c r="E121" s="235"/>
      <c r="F121" s="235"/>
      <c r="G121" s="235"/>
      <c r="H121" s="235"/>
      <c r="I121" s="235"/>
    </row>
    <row r="122" spans="1:9" ht="31.5" customHeight="1">
      <c r="A122" s="235" t="s">
        <v>24</v>
      </c>
      <c r="B122" s="235"/>
      <c r="C122" s="235"/>
      <c r="D122" s="235"/>
      <c r="E122" s="235"/>
      <c r="F122" s="235"/>
      <c r="G122" s="235"/>
      <c r="H122" s="235"/>
      <c r="I122" s="235"/>
    </row>
    <row r="123" spans="1:9" ht="15.75">
      <c r="A123" s="235" t="s">
        <v>23</v>
      </c>
      <c r="B123" s="235"/>
      <c r="C123" s="235"/>
      <c r="D123" s="235"/>
      <c r="E123" s="235"/>
      <c r="F123" s="235"/>
      <c r="G123" s="235"/>
      <c r="H123" s="235"/>
      <c r="I123" s="235"/>
    </row>
  </sheetData>
  <autoFilter ref="I12:I62"/>
  <mergeCells count="28">
    <mergeCell ref="A120:I120"/>
    <mergeCell ref="A121:I121"/>
    <mergeCell ref="A122:I122"/>
    <mergeCell ref="A123:I123"/>
    <mergeCell ref="A111:I111"/>
    <mergeCell ref="C113:E113"/>
    <mergeCell ref="C114:E114"/>
    <mergeCell ref="C116:E116"/>
    <mergeCell ref="C117:E117"/>
    <mergeCell ref="A119:I119"/>
    <mergeCell ref="A103:I103"/>
    <mergeCell ref="B104:G104"/>
    <mergeCell ref="B105:G105"/>
    <mergeCell ref="A107:I107"/>
    <mergeCell ref="A108:I108"/>
    <mergeCell ref="A109:I109"/>
    <mergeCell ref="A15:I15"/>
    <mergeCell ref="A27:I27"/>
    <mergeCell ref="A42:I42"/>
    <mergeCell ref="A53:I53"/>
    <mergeCell ref="R67:U67"/>
    <mergeCell ref="A75:I7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0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123</v>
      </c>
      <c r="I1" s="40"/>
      <c r="J1" s="1"/>
      <c r="K1" s="1"/>
      <c r="L1" s="1"/>
      <c r="M1" s="1"/>
    </row>
    <row r="2" spans="1:13" ht="15.75" customHeight="1">
      <c r="A2" s="42" t="s">
        <v>79</v>
      </c>
      <c r="J2" s="2"/>
      <c r="K2" s="2"/>
      <c r="L2" s="2"/>
      <c r="M2" s="2"/>
    </row>
    <row r="3" spans="1:13" ht="15.75" customHeight="1">
      <c r="A3" s="236" t="s">
        <v>272</v>
      </c>
      <c r="B3" s="236"/>
      <c r="C3" s="236"/>
      <c r="D3" s="236"/>
      <c r="E3" s="236"/>
      <c r="F3" s="236"/>
      <c r="G3" s="236"/>
      <c r="H3" s="236"/>
      <c r="I3" s="236"/>
      <c r="J3" s="3"/>
      <c r="K3" s="3"/>
      <c r="L3" s="3"/>
    </row>
    <row r="4" spans="1:13" ht="31.5" customHeight="1">
      <c r="A4" s="237" t="s">
        <v>211</v>
      </c>
      <c r="B4" s="237"/>
      <c r="C4" s="237"/>
      <c r="D4" s="237"/>
      <c r="E4" s="237"/>
      <c r="F4" s="237"/>
      <c r="G4" s="237"/>
      <c r="H4" s="237"/>
      <c r="I4" s="237"/>
    </row>
    <row r="5" spans="1:13" ht="15.75" customHeight="1">
      <c r="A5" s="236" t="s">
        <v>108</v>
      </c>
      <c r="B5" s="238"/>
      <c r="C5" s="238"/>
      <c r="D5" s="238"/>
      <c r="E5" s="238"/>
      <c r="F5" s="238"/>
      <c r="G5" s="238"/>
      <c r="H5" s="238"/>
      <c r="I5" s="238"/>
      <c r="J5" s="2"/>
      <c r="K5" s="2"/>
      <c r="L5" s="2"/>
      <c r="M5" s="2"/>
    </row>
    <row r="6" spans="1:13" ht="15.75" customHeight="1">
      <c r="A6" s="2"/>
      <c r="B6" s="209"/>
      <c r="C6" s="209"/>
      <c r="D6" s="209"/>
      <c r="E6" s="209"/>
      <c r="F6" s="209"/>
      <c r="G6" s="209"/>
      <c r="H6" s="209"/>
      <c r="I6" s="50">
        <v>42521</v>
      </c>
      <c r="J6" s="2"/>
      <c r="K6" s="2"/>
      <c r="L6" s="2"/>
      <c r="M6" s="2"/>
    </row>
    <row r="7" spans="1:13" ht="15.75" customHeight="1">
      <c r="B7" s="204"/>
      <c r="C7" s="204"/>
      <c r="D7" s="20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4" t="s">
        <v>226</v>
      </c>
      <c r="B8" s="214"/>
      <c r="C8" s="214"/>
      <c r="D8" s="214"/>
      <c r="E8" s="214"/>
      <c r="F8" s="214"/>
      <c r="G8" s="214"/>
      <c r="H8" s="214"/>
      <c r="I8" s="21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5" t="s">
        <v>212</v>
      </c>
      <c r="B10" s="215"/>
      <c r="C10" s="215"/>
      <c r="D10" s="215"/>
      <c r="E10" s="215"/>
      <c r="F10" s="215"/>
      <c r="G10" s="215"/>
      <c r="H10" s="215"/>
      <c r="I10" s="21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9" t="s">
        <v>73</v>
      </c>
      <c r="B14" s="239"/>
      <c r="C14" s="239"/>
      <c r="D14" s="239"/>
      <c r="E14" s="239"/>
      <c r="F14" s="239"/>
      <c r="G14" s="239"/>
      <c r="H14" s="239"/>
      <c r="I14" s="239"/>
      <c r="J14" s="8"/>
      <c r="K14" s="8"/>
      <c r="L14" s="8"/>
      <c r="M14" s="8"/>
    </row>
    <row r="15" spans="1:13" ht="15.75" customHeight="1">
      <c r="A15" s="277" t="s">
        <v>4</v>
      </c>
      <c r="B15" s="277"/>
      <c r="C15" s="277"/>
      <c r="D15" s="277"/>
      <c r="E15" s="277"/>
      <c r="F15" s="277"/>
      <c r="G15" s="277"/>
      <c r="H15" s="277"/>
      <c r="I15" s="277"/>
      <c r="J15" s="8"/>
      <c r="K15" s="8"/>
      <c r="L15" s="8"/>
      <c r="M15" s="8"/>
    </row>
    <row r="16" spans="1:13" ht="31.5" customHeight="1">
      <c r="A16" s="46">
        <v>1</v>
      </c>
      <c r="B16" s="247" t="s">
        <v>125</v>
      </c>
      <c r="C16" s="248" t="s">
        <v>163</v>
      </c>
      <c r="D16" s="247" t="s">
        <v>228</v>
      </c>
      <c r="E16" s="249">
        <v>92.5</v>
      </c>
      <c r="F16" s="250">
        <f>SUM(E16*156/100)</f>
        <v>144.30000000000001</v>
      </c>
      <c r="G16" s="250">
        <v>175.38</v>
      </c>
      <c r="H16" s="251">
        <f t="shared" ref="H16:H24" si="0">SUM(F16*G16/1000)</f>
        <v>25.307334000000001</v>
      </c>
      <c r="I16" s="18">
        <f>F16/12*G16</f>
        <v>2108.9445000000001</v>
      </c>
      <c r="J16" s="8"/>
      <c r="K16" s="8"/>
      <c r="L16" s="8"/>
      <c r="M16" s="8"/>
    </row>
    <row r="17" spans="1:13" ht="31.5" customHeight="1">
      <c r="A17" s="46">
        <v>2</v>
      </c>
      <c r="B17" s="247" t="s">
        <v>185</v>
      </c>
      <c r="C17" s="248" t="s">
        <v>163</v>
      </c>
      <c r="D17" s="247" t="s">
        <v>229</v>
      </c>
      <c r="E17" s="249">
        <v>288.8</v>
      </c>
      <c r="F17" s="250">
        <f>SUM(E17*104/100)</f>
        <v>300.35200000000003</v>
      </c>
      <c r="G17" s="250">
        <v>175.38</v>
      </c>
      <c r="H17" s="251">
        <f t="shared" si="0"/>
        <v>52.67573376</v>
      </c>
      <c r="I17" s="18">
        <f>F17/12*G17</f>
        <v>4389.6444800000008</v>
      </c>
      <c r="J17" s="33"/>
      <c r="K17" s="8"/>
      <c r="L17" s="8"/>
      <c r="M17" s="8"/>
    </row>
    <row r="18" spans="1:13" ht="31.5" customHeight="1">
      <c r="A18" s="46">
        <v>3</v>
      </c>
      <c r="B18" s="247" t="s">
        <v>252</v>
      </c>
      <c r="C18" s="248" t="s">
        <v>163</v>
      </c>
      <c r="D18" s="247" t="s">
        <v>253</v>
      </c>
      <c r="E18" s="249">
        <f>SUM(E16+E17)</f>
        <v>381.3</v>
      </c>
      <c r="F18" s="250">
        <f>SUM(E18*12/100)</f>
        <v>45.756</v>
      </c>
      <c r="G18" s="250">
        <v>504.5</v>
      </c>
      <c r="H18" s="251">
        <f t="shared" si="0"/>
        <v>23.083902000000002</v>
      </c>
      <c r="I18" s="18">
        <f>F18/12*G18</f>
        <v>1923.6585</v>
      </c>
      <c r="J18" s="33"/>
      <c r="K18" s="8"/>
      <c r="L18" s="8"/>
      <c r="M18" s="8"/>
    </row>
    <row r="19" spans="1:13" ht="15.75" customHeight="1">
      <c r="A19" s="46">
        <v>4</v>
      </c>
      <c r="B19" s="247" t="s">
        <v>187</v>
      </c>
      <c r="C19" s="248" t="s">
        <v>188</v>
      </c>
      <c r="D19" s="247" t="s">
        <v>189</v>
      </c>
      <c r="E19" s="249">
        <v>19.2</v>
      </c>
      <c r="F19" s="250">
        <f>SUM(E19/10)</f>
        <v>1.92</v>
      </c>
      <c r="G19" s="250">
        <v>170.16</v>
      </c>
      <c r="H19" s="251">
        <f t="shared" si="0"/>
        <v>0.32670719999999998</v>
      </c>
      <c r="I19" s="18">
        <f>F19*G19</f>
        <v>326.7072</v>
      </c>
      <c r="J19" s="33"/>
      <c r="K19" s="8"/>
      <c r="L19" s="8"/>
      <c r="M19" s="8"/>
    </row>
    <row r="20" spans="1:13" ht="15.75" customHeight="1">
      <c r="A20" s="46">
        <v>5</v>
      </c>
      <c r="B20" s="247" t="s">
        <v>162</v>
      </c>
      <c r="C20" s="248" t="s">
        <v>163</v>
      </c>
      <c r="D20" s="247" t="s">
        <v>35</v>
      </c>
      <c r="E20" s="249">
        <v>27.3</v>
      </c>
      <c r="F20" s="250">
        <f>SUM(E20*12/100)</f>
        <v>3.2760000000000002</v>
      </c>
      <c r="G20" s="250">
        <v>217.88</v>
      </c>
      <c r="H20" s="251">
        <f t="shared" si="0"/>
        <v>0.71377488</v>
      </c>
      <c r="I20" s="18">
        <f>F20/12*G20</f>
        <v>59.48124</v>
      </c>
      <c r="J20" s="33"/>
      <c r="K20" s="8"/>
      <c r="L20" s="8"/>
      <c r="M20" s="8"/>
    </row>
    <row r="21" spans="1:13" ht="15.75" customHeight="1">
      <c r="A21" s="46">
        <v>6</v>
      </c>
      <c r="B21" s="247" t="s">
        <v>178</v>
      </c>
      <c r="C21" s="248" t="s">
        <v>163</v>
      </c>
      <c r="D21" s="247" t="s">
        <v>35</v>
      </c>
      <c r="E21" s="249">
        <v>9.08</v>
      </c>
      <c r="F21" s="250">
        <f>SUM(E21*12/100)</f>
        <v>1.0896000000000001</v>
      </c>
      <c r="G21" s="250">
        <v>216.12</v>
      </c>
      <c r="H21" s="251">
        <f t="shared" si="0"/>
        <v>0.23548435200000004</v>
      </c>
      <c r="I21" s="18">
        <f>F21/12*G21</f>
        <v>19.623696000000002</v>
      </c>
      <c r="J21" s="33"/>
      <c r="K21" s="8"/>
      <c r="L21" s="8"/>
      <c r="M21" s="8"/>
    </row>
    <row r="22" spans="1:13" ht="15.75" customHeight="1">
      <c r="A22" s="46">
        <v>7</v>
      </c>
      <c r="B22" s="247" t="s">
        <v>166</v>
      </c>
      <c r="C22" s="248" t="s">
        <v>65</v>
      </c>
      <c r="D22" s="247" t="s">
        <v>189</v>
      </c>
      <c r="E22" s="252">
        <v>12.6</v>
      </c>
      <c r="F22" s="250">
        <f>SUM(E22/100)</f>
        <v>0.126</v>
      </c>
      <c r="G22" s="250">
        <v>44.29</v>
      </c>
      <c r="H22" s="251">
        <f t="shared" si="0"/>
        <v>5.5805400000000002E-3</v>
      </c>
      <c r="I22" s="18">
        <f>F22*G22</f>
        <v>5.5805400000000001</v>
      </c>
      <c r="J22" s="33"/>
      <c r="K22" s="8"/>
      <c r="L22" s="8"/>
      <c r="M22" s="8"/>
    </row>
    <row r="23" spans="1:13" ht="15.75" customHeight="1">
      <c r="A23" s="46">
        <v>8</v>
      </c>
      <c r="B23" s="247" t="s">
        <v>168</v>
      </c>
      <c r="C23" s="248" t="s">
        <v>65</v>
      </c>
      <c r="D23" s="247" t="s">
        <v>169</v>
      </c>
      <c r="E23" s="249">
        <v>20</v>
      </c>
      <c r="F23" s="250">
        <f>E23*12/100</f>
        <v>2.4</v>
      </c>
      <c r="G23" s="250">
        <v>389.72</v>
      </c>
      <c r="H23" s="251">
        <f t="shared" si="0"/>
        <v>0.93532799999999994</v>
      </c>
      <c r="I23" s="18">
        <f>F23/12*G23</f>
        <v>77.944000000000003</v>
      </c>
      <c r="J23" s="33"/>
      <c r="K23" s="8"/>
      <c r="L23" s="8"/>
      <c r="M23" s="8"/>
    </row>
    <row r="24" spans="1:13" ht="15.75" customHeight="1">
      <c r="A24" s="46">
        <v>9</v>
      </c>
      <c r="B24" s="247" t="s">
        <v>170</v>
      </c>
      <c r="C24" s="248" t="s">
        <v>65</v>
      </c>
      <c r="D24" s="247" t="s">
        <v>189</v>
      </c>
      <c r="E24" s="249">
        <v>17</v>
      </c>
      <c r="F24" s="250">
        <f>SUM(E24/100)</f>
        <v>0.17</v>
      </c>
      <c r="G24" s="250">
        <v>520.79999999999995</v>
      </c>
      <c r="H24" s="251">
        <f t="shared" si="0"/>
        <v>8.8536000000000004E-2</v>
      </c>
      <c r="I24" s="18">
        <f>F24*G24</f>
        <v>88.536000000000001</v>
      </c>
      <c r="J24" s="33"/>
      <c r="K24" s="8"/>
      <c r="L24" s="8"/>
      <c r="M24" s="8"/>
    </row>
    <row r="25" spans="1:13" ht="15.75" customHeight="1">
      <c r="A25" s="46">
        <v>10</v>
      </c>
      <c r="B25" s="247" t="s">
        <v>81</v>
      </c>
      <c r="C25" s="248" t="s">
        <v>38</v>
      </c>
      <c r="D25" s="247" t="s">
        <v>232</v>
      </c>
      <c r="E25" s="249">
        <v>0.1</v>
      </c>
      <c r="F25" s="250">
        <f>SUM(E25*365)</f>
        <v>36.5</v>
      </c>
      <c r="G25" s="250">
        <v>147.03</v>
      </c>
      <c r="H25" s="251">
        <f>SUM(F25*G25/1000)</f>
        <v>5.3665950000000002</v>
      </c>
      <c r="I25" s="18">
        <f>F25/12*G25</f>
        <v>447.21625</v>
      </c>
      <c r="J25" s="33"/>
      <c r="K25" s="8"/>
      <c r="L25" s="8"/>
      <c r="M25" s="8"/>
    </row>
    <row r="26" spans="1:13" ht="15.75" customHeight="1">
      <c r="A26" s="46">
        <v>11</v>
      </c>
      <c r="B26" s="257" t="s">
        <v>26</v>
      </c>
      <c r="C26" s="248" t="s">
        <v>27</v>
      </c>
      <c r="D26" s="257" t="s">
        <v>234</v>
      </c>
      <c r="E26" s="249">
        <v>3053.4</v>
      </c>
      <c r="F26" s="250">
        <f>SUM(E26*12)</f>
        <v>36640.800000000003</v>
      </c>
      <c r="G26" s="250">
        <v>4.55</v>
      </c>
      <c r="H26" s="251">
        <f>SUM(F26*G26/1000)</f>
        <v>166.71564000000001</v>
      </c>
      <c r="I26" s="18">
        <f>F26/12*G26</f>
        <v>13892.97</v>
      </c>
      <c r="J26" s="34"/>
    </row>
    <row r="27" spans="1:13" ht="15.75" customHeight="1">
      <c r="A27" s="278" t="s">
        <v>120</v>
      </c>
      <c r="B27" s="279"/>
      <c r="C27" s="279"/>
      <c r="D27" s="279"/>
      <c r="E27" s="279"/>
      <c r="F27" s="279"/>
      <c r="G27" s="279"/>
      <c r="H27" s="279"/>
      <c r="I27" s="280"/>
      <c r="J27" s="33"/>
      <c r="K27" s="8"/>
      <c r="L27" s="8"/>
      <c r="M27" s="8"/>
    </row>
    <row r="28" spans="1:13" ht="15.75" customHeight="1">
      <c r="A28" s="46"/>
      <c r="B28" s="281" t="s">
        <v>33</v>
      </c>
      <c r="C28" s="248"/>
      <c r="D28" s="247"/>
      <c r="E28" s="249"/>
      <c r="F28" s="250"/>
      <c r="G28" s="250"/>
      <c r="H28" s="254"/>
      <c r="I28" s="255"/>
      <c r="J28" s="33"/>
      <c r="K28" s="8"/>
      <c r="L28" s="8"/>
      <c r="M28" s="8"/>
    </row>
    <row r="29" spans="1:13" ht="31.5" customHeight="1">
      <c r="A29" s="46">
        <v>9</v>
      </c>
      <c r="B29" s="247" t="s">
        <v>190</v>
      </c>
      <c r="C29" s="248" t="s">
        <v>191</v>
      </c>
      <c r="D29" s="247" t="s">
        <v>230</v>
      </c>
      <c r="E29" s="250">
        <v>561.6</v>
      </c>
      <c r="F29" s="250">
        <f>SUM(E29*52/1000)</f>
        <v>29.203200000000002</v>
      </c>
      <c r="G29" s="250">
        <v>155.88999999999999</v>
      </c>
      <c r="H29" s="251">
        <f t="shared" ref="H29:H34" si="1">SUM(F29*G29/1000)</f>
        <v>4.5524868479999991</v>
      </c>
      <c r="I29" s="18">
        <f t="shared" ref="I29:I32" si="2">F29/6*G29</f>
        <v>758.74780799999996</v>
      </c>
      <c r="J29" s="33"/>
      <c r="K29" s="8"/>
      <c r="L29" s="8"/>
      <c r="M29" s="8"/>
    </row>
    <row r="30" spans="1:13" ht="31.5" customHeight="1">
      <c r="A30" s="46">
        <v>10</v>
      </c>
      <c r="B30" s="247" t="s">
        <v>254</v>
      </c>
      <c r="C30" s="248" t="s">
        <v>191</v>
      </c>
      <c r="D30" s="247" t="s">
        <v>231</v>
      </c>
      <c r="E30" s="250">
        <v>205.7</v>
      </c>
      <c r="F30" s="250">
        <f>SUM(E30*78/1000)</f>
        <v>16.044599999999999</v>
      </c>
      <c r="G30" s="250">
        <v>258.63</v>
      </c>
      <c r="H30" s="251">
        <f t="shared" si="1"/>
        <v>4.1496148979999994</v>
      </c>
      <c r="I30" s="18">
        <f t="shared" si="2"/>
        <v>691.60248299999989</v>
      </c>
      <c r="J30" s="33"/>
      <c r="K30" s="8"/>
      <c r="L30" s="8"/>
      <c r="M30" s="8"/>
    </row>
    <row r="31" spans="1:13" ht="15.75" customHeight="1">
      <c r="A31" s="46">
        <v>11</v>
      </c>
      <c r="B31" s="247" t="s">
        <v>32</v>
      </c>
      <c r="C31" s="248" t="s">
        <v>191</v>
      </c>
      <c r="D31" s="247" t="s">
        <v>66</v>
      </c>
      <c r="E31" s="250">
        <v>561.6</v>
      </c>
      <c r="F31" s="250">
        <f>SUM(E31/1000)</f>
        <v>0.56159999999999999</v>
      </c>
      <c r="G31" s="250">
        <v>3020.33</v>
      </c>
      <c r="H31" s="251">
        <f t="shared" si="1"/>
        <v>1.6962173279999999</v>
      </c>
      <c r="I31" s="18">
        <f>F31*G31</f>
        <v>1696.217328</v>
      </c>
      <c r="J31" s="33"/>
      <c r="K31" s="8"/>
      <c r="L31" s="8"/>
      <c r="M31" s="8"/>
    </row>
    <row r="32" spans="1:13" ht="15.75" customHeight="1">
      <c r="A32" s="46">
        <v>12</v>
      </c>
      <c r="B32" s="247" t="s">
        <v>193</v>
      </c>
      <c r="C32" s="248" t="s">
        <v>36</v>
      </c>
      <c r="D32" s="247" t="s">
        <v>80</v>
      </c>
      <c r="E32" s="256">
        <v>0.33333333333333331</v>
      </c>
      <c r="F32" s="250">
        <f>155/3</f>
        <v>51.666666666666664</v>
      </c>
      <c r="G32" s="250">
        <v>56.69</v>
      </c>
      <c r="H32" s="251">
        <f>SUM(G32*155/3/1000)</f>
        <v>2.9289833333333331</v>
      </c>
      <c r="I32" s="18">
        <f t="shared" si="2"/>
        <v>488.16388888888883</v>
      </c>
      <c r="J32" s="33"/>
      <c r="K32" s="8"/>
      <c r="L32" s="8"/>
      <c r="M32" s="8"/>
    </row>
    <row r="33" spans="1:14" ht="15.75" hidden="1" customHeight="1">
      <c r="A33" s="46"/>
      <c r="B33" s="247" t="s">
        <v>82</v>
      </c>
      <c r="C33" s="248" t="s">
        <v>38</v>
      </c>
      <c r="D33" s="247" t="s">
        <v>84</v>
      </c>
      <c r="E33" s="249"/>
      <c r="F33" s="250">
        <v>2</v>
      </c>
      <c r="G33" s="250">
        <v>191.32</v>
      </c>
      <c r="H33" s="251">
        <f t="shared" si="1"/>
        <v>0.38263999999999998</v>
      </c>
      <c r="I33" s="18">
        <v>0</v>
      </c>
      <c r="J33" s="33"/>
      <c r="K33" s="8"/>
      <c r="L33" s="8"/>
      <c r="M33" s="8"/>
    </row>
    <row r="34" spans="1:14" ht="15.75" hidden="1" customHeight="1">
      <c r="A34" s="46"/>
      <c r="B34" s="247" t="s">
        <v>83</v>
      </c>
      <c r="C34" s="248" t="s">
        <v>37</v>
      </c>
      <c r="D34" s="247" t="s">
        <v>84</v>
      </c>
      <c r="E34" s="249"/>
      <c r="F34" s="250">
        <v>1</v>
      </c>
      <c r="G34" s="250">
        <v>1136.33</v>
      </c>
      <c r="H34" s="251">
        <f t="shared" si="1"/>
        <v>1.1363299999999998</v>
      </c>
      <c r="I34" s="18">
        <v>0</v>
      </c>
      <c r="J34" s="33"/>
      <c r="K34" s="8"/>
    </row>
    <row r="35" spans="1:14" ht="15.75" hidden="1" customHeight="1">
      <c r="A35" s="46"/>
      <c r="B35" s="281" t="s">
        <v>5</v>
      </c>
      <c r="C35" s="248"/>
      <c r="D35" s="247"/>
      <c r="E35" s="249"/>
      <c r="F35" s="250"/>
      <c r="G35" s="250"/>
      <c r="H35" s="254" t="s">
        <v>234</v>
      </c>
      <c r="I35" s="255"/>
      <c r="J35" s="34"/>
    </row>
    <row r="36" spans="1:14" ht="15.75" hidden="1" customHeight="1">
      <c r="A36" s="46">
        <v>9</v>
      </c>
      <c r="B36" s="247" t="s">
        <v>31</v>
      </c>
      <c r="C36" s="248" t="s">
        <v>37</v>
      </c>
      <c r="D36" s="247"/>
      <c r="E36" s="249"/>
      <c r="F36" s="250">
        <v>3</v>
      </c>
      <c r="G36" s="250">
        <v>1527.22</v>
      </c>
      <c r="H36" s="251">
        <f t="shared" ref="H36:H38" si="3">SUM(F36*G36/1000)</f>
        <v>4.5816600000000003</v>
      </c>
      <c r="I36" s="18">
        <f t="shared" ref="I36:I41" si="4">F36/6*G36</f>
        <v>763.61</v>
      </c>
      <c r="J36" s="34"/>
    </row>
    <row r="37" spans="1:14" ht="15.75" hidden="1" customHeight="1">
      <c r="A37" s="46">
        <v>10</v>
      </c>
      <c r="B37" s="247" t="s">
        <v>85</v>
      </c>
      <c r="C37" s="248" t="s">
        <v>34</v>
      </c>
      <c r="D37" s="247" t="s">
        <v>217</v>
      </c>
      <c r="E37" s="250">
        <v>205.7</v>
      </c>
      <c r="F37" s="250">
        <f>SUM(E37*20/1000)</f>
        <v>4.1139999999999999</v>
      </c>
      <c r="G37" s="250">
        <v>2102.71</v>
      </c>
      <c r="H37" s="251">
        <f t="shared" si="3"/>
        <v>8.6505489400000002</v>
      </c>
      <c r="I37" s="18">
        <f t="shared" si="4"/>
        <v>1441.7581566666665</v>
      </c>
      <c r="J37" s="34"/>
    </row>
    <row r="38" spans="1:14" ht="15.75" hidden="1" customHeight="1">
      <c r="A38" s="46">
        <v>11</v>
      </c>
      <c r="B38" s="247" t="s">
        <v>86</v>
      </c>
      <c r="C38" s="248" t="s">
        <v>34</v>
      </c>
      <c r="D38" s="247" t="s">
        <v>218</v>
      </c>
      <c r="E38" s="249">
        <v>89.1</v>
      </c>
      <c r="F38" s="250">
        <f>SUM(E38*155/1000)</f>
        <v>13.810499999999999</v>
      </c>
      <c r="G38" s="250">
        <v>350.75</v>
      </c>
      <c r="H38" s="251">
        <f t="shared" si="3"/>
        <v>4.8440328749999999</v>
      </c>
      <c r="I38" s="18">
        <f t="shared" si="4"/>
        <v>807.3388124999999</v>
      </c>
      <c r="J38" s="34"/>
    </row>
    <row r="39" spans="1:14" ht="47.25" hidden="1" customHeight="1">
      <c r="A39" s="46">
        <v>12</v>
      </c>
      <c r="B39" s="247" t="s">
        <v>112</v>
      </c>
      <c r="C39" s="248" t="s">
        <v>191</v>
      </c>
      <c r="D39" s="247" t="s">
        <v>219</v>
      </c>
      <c r="E39" s="250">
        <v>48</v>
      </c>
      <c r="F39" s="250">
        <f>SUM(E39*50/1000)</f>
        <v>2.4</v>
      </c>
      <c r="G39" s="250">
        <v>5803.28</v>
      </c>
      <c r="H39" s="251">
        <f>SUM(F39*G39/1000)</f>
        <v>13.927871999999999</v>
      </c>
      <c r="I39" s="18">
        <f t="shared" si="4"/>
        <v>2321.3119999999999</v>
      </c>
      <c r="J39" s="34"/>
    </row>
    <row r="40" spans="1:14" ht="15.75" hidden="1" customHeight="1">
      <c r="A40" s="46">
        <v>13</v>
      </c>
      <c r="B40" s="247" t="s">
        <v>195</v>
      </c>
      <c r="C40" s="248" t="s">
        <v>191</v>
      </c>
      <c r="D40" s="247" t="s">
        <v>87</v>
      </c>
      <c r="E40" s="250">
        <v>89</v>
      </c>
      <c r="F40" s="250">
        <f>SUM(E40*45/1000)</f>
        <v>4.0049999999999999</v>
      </c>
      <c r="G40" s="250">
        <v>428.7</v>
      </c>
      <c r="H40" s="251">
        <f t="shared" ref="H40:H41" si="5">SUM(F40*G40/1000)</f>
        <v>1.7169435</v>
      </c>
      <c r="I40" s="18">
        <f t="shared" si="4"/>
        <v>286.15724999999998</v>
      </c>
      <c r="J40" s="34"/>
      <c r="L40" s="27"/>
      <c r="M40" s="28"/>
      <c r="N40" s="29"/>
    </row>
    <row r="41" spans="1:14" ht="15.75" hidden="1" customHeight="1">
      <c r="A41" s="285">
        <v>14</v>
      </c>
      <c r="B41" s="261" t="s">
        <v>88</v>
      </c>
      <c r="C41" s="262" t="s">
        <v>38</v>
      </c>
      <c r="D41" s="261"/>
      <c r="E41" s="258"/>
      <c r="F41" s="263">
        <v>0.9</v>
      </c>
      <c r="G41" s="263">
        <v>798</v>
      </c>
      <c r="H41" s="264">
        <f t="shared" si="5"/>
        <v>0.71820000000000006</v>
      </c>
      <c r="I41" s="286">
        <f t="shared" si="4"/>
        <v>119.69999999999999</v>
      </c>
      <c r="J41" s="34"/>
      <c r="L41" s="27"/>
      <c r="M41" s="28"/>
      <c r="N41" s="29"/>
    </row>
    <row r="42" spans="1:14" ht="15.75" customHeight="1">
      <c r="A42" s="282" t="s">
        <v>255</v>
      </c>
      <c r="B42" s="283"/>
      <c r="C42" s="283"/>
      <c r="D42" s="283"/>
      <c r="E42" s="283"/>
      <c r="F42" s="283"/>
      <c r="G42" s="283"/>
      <c r="H42" s="283"/>
      <c r="I42" s="284"/>
      <c r="J42" s="34"/>
      <c r="L42" s="27"/>
      <c r="M42" s="28"/>
      <c r="N42" s="29"/>
    </row>
    <row r="43" spans="1:14" ht="15.75" customHeight="1">
      <c r="A43" s="287">
        <v>13</v>
      </c>
      <c r="B43" s="288" t="s">
        <v>196</v>
      </c>
      <c r="C43" s="289" t="s">
        <v>191</v>
      </c>
      <c r="D43" s="288" t="s">
        <v>53</v>
      </c>
      <c r="E43" s="290">
        <v>1632.75</v>
      </c>
      <c r="F43" s="291">
        <f>SUM(E43*2/1000)</f>
        <v>3.2654999999999998</v>
      </c>
      <c r="G43" s="292">
        <v>809.74</v>
      </c>
      <c r="H43" s="293">
        <f t="shared" ref="H43:H52" si="6">SUM(F43*G43/1000)</f>
        <v>2.6442059699999998</v>
      </c>
      <c r="I43" s="18">
        <f t="shared" ref="I43:I46" si="7">F43/2*G43</f>
        <v>1322.102985</v>
      </c>
      <c r="J43" s="34"/>
      <c r="L43" s="27"/>
      <c r="M43" s="28"/>
      <c r="N43" s="29"/>
    </row>
    <row r="44" spans="1:14" ht="15.75" customHeight="1">
      <c r="A44" s="46">
        <v>14</v>
      </c>
      <c r="B44" s="247" t="s">
        <v>42</v>
      </c>
      <c r="C44" s="248" t="s">
        <v>191</v>
      </c>
      <c r="D44" s="247" t="s">
        <v>53</v>
      </c>
      <c r="E44" s="249">
        <v>53.75</v>
      </c>
      <c r="F44" s="250">
        <f>SUM(E44*2/1000)</f>
        <v>0.1075</v>
      </c>
      <c r="G44" s="18">
        <v>579.48</v>
      </c>
      <c r="H44" s="251">
        <f t="shared" si="6"/>
        <v>6.2294099999999998E-2</v>
      </c>
      <c r="I44" s="18">
        <f t="shared" si="7"/>
        <v>31.14705</v>
      </c>
      <c r="J44" s="34"/>
      <c r="L44" s="27"/>
      <c r="M44" s="28"/>
      <c r="N44" s="29"/>
    </row>
    <row r="45" spans="1:14" ht="15.75" customHeight="1">
      <c r="A45" s="46">
        <v>15</v>
      </c>
      <c r="B45" s="247" t="s">
        <v>43</v>
      </c>
      <c r="C45" s="248" t="s">
        <v>191</v>
      </c>
      <c r="D45" s="247" t="s">
        <v>53</v>
      </c>
      <c r="E45" s="249">
        <v>2285.6</v>
      </c>
      <c r="F45" s="250">
        <f>SUM(E45*2/1000)</f>
        <v>4.5712000000000002</v>
      </c>
      <c r="G45" s="18">
        <v>579.48</v>
      </c>
      <c r="H45" s="251">
        <f t="shared" si="6"/>
        <v>2.6489189760000005</v>
      </c>
      <c r="I45" s="18">
        <f t="shared" si="7"/>
        <v>1324.4594880000002</v>
      </c>
      <c r="J45" s="34"/>
      <c r="L45" s="27"/>
      <c r="M45" s="28"/>
      <c r="N45" s="29"/>
    </row>
    <row r="46" spans="1:14" ht="15.75" customHeight="1">
      <c r="A46" s="46">
        <v>16</v>
      </c>
      <c r="B46" s="247" t="s">
        <v>44</v>
      </c>
      <c r="C46" s="248" t="s">
        <v>191</v>
      </c>
      <c r="D46" s="247" t="s">
        <v>53</v>
      </c>
      <c r="E46" s="249">
        <v>1860</v>
      </c>
      <c r="F46" s="250">
        <f>SUM(E46*2/1000)</f>
        <v>3.72</v>
      </c>
      <c r="G46" s="18">
        <v>606.77</v>
      </c>
      <c r="H46" s="251">
        <f t="shared" si="6"/>
        <v>2.2571844000000003</v>
      </c>
      <c r="I46" s="18">
        <f t="shared" si="7"/>
        <v>1128.5922</v>
      </c>
      <c r="J46" s="34"/>
      <c r="L46" s="27"/>
      <c r="M46" s="28"/>
      <c r="N46" s="29"/>
    </row>
    <row r="47" spans="1:14" ht="15.75" customHeight="1">
      <c r="A47" s="46">
        <v>17</v>
      </c>
      <c r="B47" s="247" t="s">
        <v>40</v>
      </c>
      <c r="C47" s="248" t="s">
        <v>41</v>
      </c>
      <c r="D47" s="247" t="s">
        <v>53</v>
      </c>
      <c r="E47" s="249">
        <v>120.49</v>
      </c>
      <c r="F47" s="250">
        <f>SUM(E47*2/100)</f>
        <v>2.4097999999999997</v>
      </c>
      <c r="G47" s="18">
        <v>72.81</v>
      </c>
      <c r="H47" s="251">
        <f t="shared" si="6"/>
        <v>0.17545753799999997</v>
      </c>
      <c r="I47" s="18">
        <f>F47/2*G47</f>
        <v>87.728768999999986</v>
      </c>
      <c r="J47" s="34"/>
      <c r="L47" s="27"/>
      <c r="M47" s="28"/>
      <c r="N47" s="29"/>
    </row>
    <row r="48" spans="1:14" ht="15.75" customHeight="1">
      <c r="A48" s="46">
        <v>18</v>
      </c>
      <c r="B48" s="247" t="s">
        <v>70</v>
      </c>
      <c r="C48" s="248" t="s">
        <v>191</v>
      </c>
      <c r="D48" s="247" t="s">
        <v>258</v>
      </c>
      <c r="E48" s="249">
        <v>1728</v>
      </c>
      <c r="F48" s="250">
        <f>SUM(E48*5/1000)</f>
        <v>8.64</v>
      </c>
      <c r="G48" s="18">
        <v>1213.55</v>
      </c>
      <c r="H48" s="251">
        <f t="shared" si="6"/>
        <v>10.485072000000001</v>
      </c>
      <c r="I48" s="18">
        <f>F48/5*G48</f>
        <v>2097.0144</v>
      </c>
      <c r="J48" s="34"/>
      <c r="L48" s="27"/>
      <c r="M48" s="28"/>
      <c r="N48" s="29"/>
    </row>
    <row r="49" spans="1:22" ht="31.5" customHeight="1">
      <c r="A49" s="46">
        <v>19</v>
      </c>
      <c r="B49" s="247" t="s">
        <v>198</v>
      </c>
      <c r="C49" s="248" t="s">
        <v>191</v>
      </c>
      <c r="D49" s="247" t="s">
        <v>53</v>
      </c>
      <c r="E49" s="249">
        <v>1728</v>
      </c>
      <c r="F49" s="250">
        <f>SUM(E49*2/1000)</f>
        <v>3.456</v>
      </c>
      <c r="G49" s="18">
        <v>1213.55</v>
      </c>
      <c r="H49" s="251">
        <f t="shared" si="6"/>
        <v>4.1940287999999999</v>
      </c>
      <c r="I49" s="18">
        <f>F49/2*G49</f>
        <v>2097.0144</v>
      </c>
      <c r="J49" s="34"/>
      <c r="L49" s="27"/>
      <c r="M49" s="28"/>
      <c r="N49" s="29"/>
    </row>
    <row r="50" spans="1:22" ht="31.5" customHeight="1">
      <c r="A50" s="46">
        <v>20</v>
      </c>
      <c r="B50" s="247" t="s">
        <v>235</v>
      </c>
      <c r="C50" s="248" t="s">
        <v>47</v>
      </c>
      <c r="D50" s="247" t="s">
        <v>53</v>
      </c>
      <c r="E50" s="249">
        <v>20</v>
      </c>
      <c r="F50" s="250">
        <f>SUM(E50*2/100)</f>
        <v>0.4</v>
      </c>
      <c r="G50" s="18">
        <v>2730.49</v>
      </c>
      <c r="H50" s="251">
        <f t="shared" si="6"/>
        <v>1.0921959999999999</v>
      </c>
      <c r="I50" s="18">
        <f t="shared" ref="I50:I51" si="8">F50/2*G50</f>
        <v>546.09799999999996</v>
      </c>
      <c r="J50" s="34"/>
      <c r="L50" s="27"/>
      <c r="M50" s="28"/>
      <c r="N50" s="29"/>
    </row>
    <row r="51" spans="1:22" ht="15.75" customHeight="1">
      <c r="A51" s="46">
        <v>21</v>
      </c>
      <c r="B51" s="247" t="s">
        <v>48</v>
      </c>
      <c r="C51" s="248" t="s">
        <v>49</v>
      </c>
      <c r="D51" s="247" t="s">
        <v>53</v>
      </c>
      <c r="E51" s="249">
        <v>1</v>
      </c>
      <c r="F51" s="250">
        <v>0.02</v>
      </c>
      <c r="G51" s="18">
        <v>5652.13</v>
      </c>
      <c r="H51" s="251">
        <f t="shared" si="6"/>
        <v>0.11304260000000001</v>
      </c>
      <c r="I51" s="18">
        <f t="shared" si="8"/>
        <v>56.521300000000004</v>
      </c>
      <c r="J51" s="34"/>
      <c r="L51" s="27"/>
      <c r="M51" s="28"/>
      <c r="N51" s="29"/>
    </row>
    <row r="52" spans="1:22" ht="15.75" hidden="1" customHeight="1">
      <c r="A52" s="46">
        <v>16</v>
      </c>
      <c r="B52" s="247" t="s">
        <v>52</v>
      </c>
      <c r="C52" s="248" t="s">
        <v>142</v>
      </c>
      <c r="D52" s="247" t="s">
        <v>89</v>
      </c>
      <c r="E52" s="249">
        <v>128</v>
      </c>
      <c r="F52" s="250">
        <f>SUM(E52)*3</f>
        <v>384</v>
      </c>
      <c r="G52" s="18">
        <v>65.67</v>
      </c>
      <c r="H52" s="251">
        <f t="shared" si="6"/>
        <v>25.217279999999999</v>
      </c>
      <c r="I52" s="18">
        <f>E52*G52</f>
        <v>8405.76</v>
      </c>
      <c r="J52" s="34"/>
      <c r="L52" s="27"/>
      <c r="M52" s="28"/>
      <c r="N52" s="29"/>
    </row>
    <row r="53" spans="1:22" ht="15.75" customHeight="1">
      <c r="A53" s="278" t="s">
        <v>256</v>
      </c>
      <c r="B53" s="279"/>
      <c r="C53" s="279"/>
      <c r="D53" s="279"/>
      <c r="E53" s="279"/>
      <c r="F53" s="279"/>
      <c r="G53" s="279"/>
      <c r="H53" s="279"/>
      <c r="I53" s="280"/>
      <c r="J53" s="34"/>
      <c r="L53" s="27"/>
      <c r="M53" s="28"/>
      <c r="N53" s="29"/>
    </row>
    <row r="54" spans="1:22" ht="15.75" hidden="1" customHeight="1">
      <c r="A54" s="46"/>
      <c r="B54" s="281" t="s">
        <v>54</v>
      </c>
      <c r="C54" s="248"/>
      <c r="D54" s="247"/>
      <c r="E54" s="249"/>
      <c r="F54" s="250"/>
      <c r="G54" s="250"/>
      <c r="H54" s="254"/>
      <c r="I54" s="255"/>
      <c r="J54" s="34"/>
      <c r="L54" s="27"/>
      <c r="M54" s="28"/>
      <c r="N54" s="29"/>
    </row>
    <row r="55" spans="1:22" ht="31.5" hidden="1" customHeight="1">
      <c r="A55" s="46">
        <v>17</v>
      </c>
      <c r="B55" s="247" t="s">
        <v>200</v>
      </c>
      <c r="C55" s="248" t="s">
        <v>163</v>
      </c>
      <c r="D55" s="247" t="s">
        <v>201</v>
      </c>
      <c r="E55" s="249">
        <v>163.30000000000001</v>
      </c>
      <c r="F55" s="250">
        <f>SUM(E55*6/100)</f>
        <v>9.798</v>
      </c>
      <c r="G55" s="18">
        <v>1547.28</v>
      </c>
      <c r="H55" s="251">
        <f>SUM(F55*G55/1000)</f>
        <v>15.160249439999999</v>
      </c>
      <c r="I55" s="18">
        <f>F55/6*G55</f>
        <v>2526.7082399999999</v>
      </c>
      <c r="J55" s="34"/>
      <c r="L55" s="27"/>
      <c r="M55" s="28"/>
      <c r="N55" s="29"/>
    </row>
    <row r="56" spans="1:22" ht="15.75" customHeight="1">
      <c r="A56" s="46"/>
      <c r="B56" s="281" t="s">
        <v>55</v>
      </c>
      <c r="C56" s="248"/>
      <c r="D56" s="247"/>
      <c r="E56" s="249"/>
      <c r="F56" s="250"/>
      <c r="G56" s="250"/>
      <c r="H56" s="251" t="s">
        <v>234</v>
      </c>
      <c r="I56" s="255"/>
      <c r="J56" s="34"/>
      <c r="L56" s="27"/>
      <c r="M56" s="28"/>
      <c r="N56" s="29"/>
    </row>
    <row r="57" spans="1:22" ht="15.75" hidden="1" customHeight="1">
      <c r="A57" s="46"/>
      <c r="B57" s="247" t="s">
        <v>56</v>
      </c>
      <c r="C57" s="248" t="s">
        <v>163</v>
      </c>
      <c r="D57" s="247" t="s">
        <v>66</v>
      </c>
      <c r="E57" s="258">
        <v>1155.2</v>
      </c>
      <c r="F57" s="259">
        <v>11.6</v>
      </c>
      <c r="G57" s="18">
        <v>793.61</v>
      </c>
      <c r="H57" s="260">
        <v>9.1679999999999993</v>
      </c>
      <c r="I57" s="18">
        <v>0</v>
      </c>
      <c r="J57" s="34"/>
      <c r="L57" s="27"/>
      <c r="M57" s="28"/>
      <c r="N57" s="29"/>
    </row>
    <row r="58" spans="1:22" ht="15.75" customHeight="1">
      <c r="A58" s="46">
        <v>19</v>
      </c>
      <c r="B58" s="261" t="s">
        <v>144</v>
      </c>
      <c r="C58" s="262" t="s">
        <v>29</v>
      </c>
      <c r="D58" s="261" t="s">
        <v>35</v>
      </c>
      <c r="E58" s="258">
        <v>255.2</v>
      </c>
      <c r="F58" s="263">
        <v>3062.4</v>
      </c>
      <c r="G58" s="243">
        <v>2.6</v>
      </c>
      <c r="H58" s="264">
        <f>G58*F58/1000</f>
        <v>7.9622400000000004</v>
      </c>
      <c r="I58" s="18">
        <f>F58/12*G58</f>
        <v>663.5200000000001</v>
      </c>
      <c r="J58" s="34"/>
      <c r="L58" s="27"/>
      <c r="M58" s="28"/>
      <c r="N58" s="29"/>
    </row>
    <row r="59" spans="1:22" ht="15.75" customHeight="1">
      <c r="A59" s="46"/>
      <c r="B59" s="294" t="s">
        <v>57</v>
      </c>
      <c r="C59" s="262"/>
      <c r="D59" s="261"/>
      <c r="E59" s="258"/>
      <c r="F59" s="263"/>
      <c r="G59" s="263"/>
      <c r="H59" s="264" t="s">
        <v>234</v>
      </c>
      <c r="I59" s="255"/>
      <c r="J59" s="34"/>
      <c r="L59" s="27"/>
      <c r="M59" s="28"/>
      <c r="N59" s="29"/>
    </row>
    <row r="60" spans="1:22" ht="15.75" customHeight="1">
      <c r="A60" s="46">
        <v>20</v>
      </c>
      <c r="B60" s="20" t="s">
        <v>58</v>
      </c>
      <c r="C60" s="22" t="s">
        <v>142</v>
      </c>
      <c r="D60" s="20" t="s">
        <v>233</v>
      </c>
      <c r="E60" s="25">
        <v>5</v>
      </c>
      <c r="F60" s="250">
        <v>5</v>
      </c>
      <c r="G60" s="18">
        <v>222.4</v>
      </c>
      <c r="H60" s="265">
        <f t="shared" ref="H60:H67" si="9">SUM(F60*G60/1000)</f>
        <v>1.1120000000000001</v>
      </c>
      <c r="I60" s="18">
        <f>G60*2</f>
        <v>444.8</v>
      </c>
      <c r="J60" s="34"/>
      <c r="L60" s="27"/>
    </row>
    <row r="61" spans="1:22" ht="15.75" hidden="1" customHeight="1">
      <c r="A61" s="46"/>
      <c r="B61" s="20" t="s">
        <v>59</v>
      </c>
      <c r="C61" s="22" t="s">
        <v>142</v>
      </c>
      <c r="D61" s="20" t="s">
        <v>233</v>
      </c>
      <c r="E61" s="25">
        <v>4</v>
      </c>
      <c r="F61" s="250">
        <v>4</v>
      </c>
      <c r="G61" s="18">
        <v>76.25</v>
      </c>
      <c r="H61" s="265">
        <f t="shared" si="9"/>
        <v>0.30499999999999999</v>
      </c>
      <c r="I61" s="18">
        <v>0</v>
      </c>
      <c r="J61" s="34"/>
      <c r="L61" s="27"/>
    </row>
    <row r="62" spans="1:22" ht="15.75" customHeight="1">
      <c r="A62" s="46">
        <v>21</v>
      </c>
      <c r="B62" s="20" t="s">
        <v>60</v>
      </c>
      <c r="C62" s="22" t="s">
        <v>202</v>
      </c>
      <c r="D62" s="20" t="s">
        <v>66</v>
      </c>
      <c r="E62" s="249">
        <v>15552</v>
      </c>
      <c r="F62" s="18">
        <f>SUM(E62/100)</f>
        <v>155.52000000000001</v>
      </c>
      <c r="G62" s="18">
        <v>212.15</v>
      </c>
      <c r="H62" s="265">
        <f t="shared" si="9"/>
        <v>32.993568000000003</v>
      </c>
      <c r="I62" s="18">
        <f>F62*G62</f>
        <v>32993.568000000007</v>
      </c>
    </row>
    <row r="63" spans="1:22" ht="15.75" customHeight="1">
      <c r="A63" s="46">
        <v>22</v>
      </c>
      <c r="B63" s="20" t="s">
        <v>61</v>
      </c>
      <c r="C63" s="22" t="s">
        <v>203</v>
      </c>
      <c r="D63" s="20"/>
      <c r="E63" s="249">
        <v>15552</v>
      </c>
      <c r="F63" s="18">
        <f>SUM(E63/1000)</f>
        <v>15.552</v>
      </c>
      <c r="G63" s="18">
        <v>165.21</v>
      </c>
      <c r="H63" s="265">
        <f t="shared" si="9"/>
        <v>2.5693459200000004</v>
      </c>
      <c r="I63" s="18">
        <f t="shared" ref="I63:I66" si="10">F63*G63</f>
        <v>2569.3459200000002</v>
      </c>
    </row>
    <row r="64" spans="1:22" ht="15.75" customHeight="1">
      <c r="A64" s="46">
        <v>23</v>
      </c>
      <c r="B64" s="20" t="s">
        <v>62</v>
      </c>
      <c r="C64" s="22" t="s">
        <v>96</v>
      </c>
      <c r="D64" s="20" t="s">
        <v>66</v>
      </c>
      <c r="E64" s="249">
        <v>2432</v>
      </c>
      <c r="F64" s="18">
        <f>SUM(E64/100)</f>
        <v>24.32</v>
      </c>
      <c r="G64" s="18">
        <v>2074.63</v>
      </c>
      <c r="H64" s="265">
        <f t="shared" si="9"/>
        <v>50.455001600000003</v>
      </c>
      <c r="I64" s="18">
        <f t="shared" si="10"/>
        <v>50455.001600000003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46">
        <v>24</v>
      </c>
      <c r="B65" s="266" t="s">
        <v>90</v>
      </c>
      <c r="C65" s="22" t="s">
        <v>38</v>
      </c>
      <c r="D65" s="20"/>
      <c r="E65" s="249">
        <v>34.5</v>
      </c>
      <c r="F65" s="18">
        <f>SUM(E65)</f>
        <v>34.5</v>
      </c>
      <c r="G65" s="18">
        <v>45.32</v>
      </c>
      <c r="H65" s="265">
        <f t="shared" si="9"/>
        <v>1.5635399999999999</v>
      </c>
      <c r="I65" s="18">
        <f t="shared" si="10"/>
        <v>1563.54</v>
      </c>
      <c r="J65" s="38"/>
      <c r="K65" s="38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31.5" customHeight="1">
      <c r="A66" s="46">
        <v>25</v>
      </c>
      <c r="B66" s="266" t="s">
        <v>91</v>
      </c>
      <c r="C66" s="22" t="s">
        <v>38</v>
      </c>
      <c r="D66" s="20"/>
      <c r="E66" s="249">
        <f>E65</f>
        <v>34.5</v>
      </c>
      <c r="F66" s="18">
        <f>SUM(E66)</f>
        <v>34.5</v>
      </c>
      <c r="G66" s="18">
        <v>42.28</v>
      </c>
      <c r="H66" s="265">
        <f t="shared" si="9"/>
        <v>1.4586600000000001</v>
      </c>
      <c r="I66" s="18">
        <f t="shared" si="10"/>
        <v>1458.66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46"/>
      <c r="B67" s="20" t="s">
        <v>71</v>
      </c>
      <c r="C67" s="22" t="s">
        <v>72</v>
      </c>
      <c r="D67" s="20" t="s">
        <v>66</v>
      </c>
      <c r="E67" s="25">
        <v>4</v>
      </c>
      <c r="F67" s="250">
        <f>SUM(E67)</f>
        <v>4</v>
      </c>
      <c r="G67" s="18">
        <v>49.88</v>
      </c>
      <c r="H67" s="265">
        <f t="shared" si="9"/>
        <v>0.19952</v>
      </c>
      <c r="I67" s="18">
        <v>0</v>
      </c>
      <c r="J67" s="5"/>
      <c r="K67" s="5"/>
      <c r="L67" s="5"/>
      <c r="M67" s="5"/>
      <c r="N67" s="5"/>
      <c r="O67" s="5"/>
      <c r="P67" s="5"/>
      <c r="Q67" s="5"/>
      <c r="R67" s="216"/>
      <c r="S67" s="216"/>
      <c r="T67" s="216"/>
      <c r="U67" s="216"/>
    </row>
    <row r="68" spans="1:21" ht="15.75" hidden="1" customHeight="1">
      <c r="A68" s="46"/>
      <c r="B68" s="210" t="s">
        <v>92</v>
      </c>
      <c r="C68" s="22"/>
      <c r="D68" s="20"/>
      <c r="E68" s="25"/>
      <c r="F68" s="18"/>
      <c r="G68" s="18"/>
      <c r="H68" s="265" t="s">
        <v>234</v>
      </c>
      <c r="I68" s="255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ht="15.75" hidden="1" customHeight="1">
      <c r="A69" s="46">
        <v>19</v>
      </c>
      <c r="B69" s="20" t="s">
        <v>93</v>
      </c>
      <c r="C69" s="22" t="s">
        <v>94</v>
      </c>
      <c r="D69" s="20"/>
      <c r="E69" s="25">
        <v>4</v>
      </c>
      <c r="F69" s="18">
        <v>0.4</v>
      </c>
      <c r="G69" s="18">
        <v>501.62</v>
      </c>
      <c r="H69" s="265">
        <f>SUM(F69*G69/1000)</f>
        <v>0.20064800000000002</v>
      </c>
      <c r="I69" s="18">
        <f>G69*0.2</f>
        <v>100.32400000000001</v>
      </c>
    </row>
    <row r="70" spans="1:21" ht="15.75" hidden="1" customHeight="1">
      <c r="A70" s="46"/>
      <c r="B70" s="20" t="s">
        <v>220</v>
      </c>
      <c r="C70" s="22" t="s">
        <v>142</v>
      </c>
      <c r="D70" s="20"/>
      <c r="E70" s="25">
        <v>1</v>
      </c>
      <c r="F70" s="18">
        <f>E70</f>
        <v>1</v>
      </c>
      <c r="G70" s="18">
        <v>852.99</v>
      </c>
      <c r="H70" s="265">
        <f>SUM(F70*G70/1000)</f>
        <v>0.85299000000000003</v>
      </c>
      <c r="I70" s="18">
        <v>0</v>
      </c>
    </row>
    <row r="71" spans="1:21" ht="15.75" hidden="1" customHeight="1">
      <c r="A71" s="46"/>
      <c r="B71" s="269" t="s">
        <v>95</v>
      </c>
      <c r="C71" s="22"/>
      <c r="D71" s="20"/>
      <c r="E71" s="25"/>
      <c r="F71" s="25"/>
      <c r="G71" s="25"/>
      <c r="H71" s="25"/>
      <c r="I71" s="255"/>
    </row>
    <row r="72" spans="1:21" ht="15.75" hidden="1" customHeight="1">
      <c r="A72" s="46"/>
      <c r="B72" s="81" t="s">
        <v>208</v>
      </c>
      <c r="C72" s="22" t="s">
        <v>96</v>
      </c>
      <c r="D72" s="20"/>
      <c r="E72" s="25"/>
      <c r="F72" s="18">
        <v>0.1</v>
      </c>
      <c r="G72" s="18">
        <v>2759.44</v>
      </c>
      <c r="H72" s="268">
        <f t="shared" ref="H72" si="11">SUM(F72*G72/1000)</f>
        <v>0.27594400000000002</v>
      </c>
      <c r="I72" s="18">
        <v>0</v>
      </c>
    </row>
    <row r="73" spans="1:21" ht="15.75" hidden="1" customHeight="1">
      <c r="A73" s="46"/>
      <c r="B73" s="210" t="s">
        <v>206</v>
      </c>
      <c r="C73" s="269"/>
      <c r="D73" s="51"/>
      <c r="E73" s="53"/>
      <c r="F73" s="270"/>
      <c r="G73" s="270"/>
      <c r="H73" s="271">
        <f>SUM(H55:H72)</f>
        <v>124.27670696000001</v>
      </c>
      <c r="I73" s="253"/>
    </row>
    <row r="74" spans="1:21" ht="15.75" hidden="1" customHeight="1">
      <c r="A74" s="285"/>
      <c r="B74" s="261" t="s">
        <v>207</v>
      </c>
      <c r="C74" s="295"/>
      <c r="D74" s="296"/>
      <c r="E74" s="272"/>
      <c r="F74" s="286">
        <f>232/10</f>
        <v>23.2</v>
      </c>
      <c r="G74" s="286">
        <v>11370</v>
      </c>
      <c r="H74" s="297">
        <f>G74*F74/1000</f>
        <v>263.78399999999999</v>
      </c>
      <c r="I74" s="286">
        <v>0</v>
      </c>
    </row>
    <row r="75" spans="1:21" ht="15.75" customHeight="1">
      <c r="A75" s="282" t="s">
        <v>257</v>
      </c>
      <c r="B75" s="283"/>
      <c r="C75" s="283"/>
      <c r="D75" s="283"/>
      <c r="E75" s="283"/>
      <c r="F75" s="283"/>
      <c r="G75" s="283"/>
      <c r="H75" s="283"/>
      <c r="I75" s="284"/>
    </row>
    <row r="76" spans="1:21" ht="15.75" customHeight="1">
      <c r="A76" s="287">
        <v>26</v>
      </c>
      <c r="B76" s="288" t="s">
        <v>209</v>
      </c>
      <c r="C76" s="298" t="s">
        <v>67</v>
      </c>
      <c r="D76" s="299" t="s">
        <v>68</v>
      </c>
      <c r="E76" s="292">
        <v>3053.4</v>
      </c>
      <c r="F76" s="292">
        <f>SUM(E76*12)</f>
        <v>36640.800000000003</v>
      </c>
      <c r="G76" s="292">
        <v>2.1</v>
      </c>
      <c r="H76" s="300">
        <f>SUM(F76*G76/1000)</f>
        <v>76.94568000000001</v>
      </c>
      <c r="I76" s="292">
        <f>F76/12*G76</f>
        <v>6412.14</v>
      </c>
    </row>
    <row r="77" spans="1:21" ht="31.5" customHeight="1">
      <c r="A77" s="46">
        <v>27</v>
      </c>
      <c r="B77" s="20" t="s">
        <v>97</v>
      </c>
      <c r="C77" s="22"/>
      <c r="D77" s="299" t="s">
        <v>68</v>
      </c>
      <c r="E77" s="249">
        <f>E76</f>
        <v>3053.4</v>
      </c>
      <c r="F77" s="18">
        <f>E77*12</f>
        <v>36640.800000000003</v>
      </c>
      <c r="G77" s="18">
        <v>1.63</v>
      </c>
      <c r="H77" s="268">
        <f>F77*G77/1000</f>
        <v>59.724504000000003</v>
      </c>
      <c r="I77" s="18">
        <f>F77/12*G77</f>
        <v>4977.0419999999995</v>
      </c>
    </row>
    <row r="78" spans="1:21" ht="15.75" customHeight="1">
      <c r="A78" s="46"/>
      <c r="B78" s="68" t="s">
        <v>102</v>
      </c>
      <c r="C78" s="269"/>
      <c r="D78" s="267"/>
      <c r="E78" s="270"/>
      <c r="F78" s="270"/>
      <c r="G78" s="270"/>
      <c r="H78" s="271">
        <f>SUM(H77)</f>
        <v>59.724504000000003</v>
      </c>
      <c r="I78" s="270">
        <f>I16+I17+I18+I19+I20+I21+I22+I23+I24+I25+I26+I29+I30+I31+I32+I43+I44+I45+I46+I47+I48+I49+I50+I51+I58+I60+I62+I63+I64+I65+I66+I76+I77</f>
        <v>137203.33402588888</v>
      </c>
    </row>
    <row r="79" spans="1:21" ht="15.75" customHeight="1">
      <c r="A79" s="46"/>
      <c r="B79" s="198" t="s">
        <v>74</v>
      </c>
      <c r="C79" s="22"/>
      <c r="D79" s="81"/>
      <c r="E79" s="18"/>
      <c r="F79" s="18"/>
      <c r="G79" s="18"/>
      <c r="H79" s="23"/>
      <c r="I79" s="255"/>
    </row>
    <row r="80" spans="1:21" ht="15.75" customHeight="1">
      <c r="A80" s="46">
        <v>28</v>
      </c>
      <c r="B80" s="199" t="s">
        <v>173</v>
      </c>
      <c r="C80" s="200" t="s">
        <v>142</v>
      </c>
      <c r="D80" s="81"/>
      <c r="E80" s="18"/>
      <c r="F80" s="18">
        <v>780</v>
      </c>
      <c r="G80" s="18">
        <v>50.68</v>
      </c>
      <c r="H80" s="268">
        <f>G80*F80/1000</f>
        <v>39.5304</v>
      </c>
      <c r="I80" s="18">
        <f>G80*65</f>
        <v>3294.2</v>
      </c>
    </row>
    <row r="81" spans="1:9" ht="31.5" customHeight="1">
      <c r="A81" s="46">
        <v>29</v>
      </c>
      <c r="B81" s="199" t="s">
        <v>239</v>
      </c>
      <c r="C81" s="200" t="s">
        <v>175</v>
      </c>
      <c r="D81" s="81"/>
      <c r="E81" s="18"/>
      <c r="F81" s="18">
        <v>1</v>
      </c>
      <c r="G81" s="18">
        <v>762.37</v>
      </c>
      <c r="H81" s="268">
        <f t="shared" ref="H81:H83" si="12">F81*G81/1000</f>
        <v>0.76236999999999999</v>
      </c>
      <c r="I81" s="18">
        <f>G81</f>
        <v>762.37</v>
      </c>
    </row>
    <row r="82" spans="1:9" ht="31.5" customHeight="1">
      <c r="A82" s="46">
        <v>30</v>
      </c>
      <c r="B82" s="199" t="s">
        <v>240</v>
      </c>
      <c r="C82" s="22" t="s">
        <v>241</v>
      </c>
      <c r="D82" s="81"/>
      <c r="E82" s="18"/>
      <c r="F82" s="18">
        <v>20</v>
      </c>
      <c r="G82" s="18">
        <v>1187</v>
      </c>
      <c r="H82" s="268">
        <f t="shared" si="12"/>
        <v>23.74</v>
      </c>
      <c r="I82" s="18">
        <f>G82*20</f>
        <v>23740</v>
      </c>
    </row>
    <row r="83" spans="1:9" ht="15.75" customHeight="1">
      <c r="A83" s="46">
        <v>31</v>
      </c>
      <c r="B83" s="199" t="s">
        <v>107</v>
      </c>
      <c r="C83" s="200" t="s">
        <v>142</v>
      </c>
      <c r="D83" s="81"/>
      <c r="E83" s="18"/>
      <c r="F83" s="18">
        <v>5</v>
      </c>
      <c r="G83" s="18">
        <v>180.15</v>
      </c>
      <c r="H83" s="268">
        <f t="shared" si="12"/>
        <v>0.90075000000000005</v>
      </c>
      <c r="I83" s="18">
        <f t="shared" ref="I82:I83" si="13">G83</f>
        <v>180.15</v>
      </c>
    </row>
    <row r="84" spans="1:9" ht="15.75" customHeight="1">
      <c r="A84" s="46"/>
      <c r="B84" s="75" t="s">
        <v>63</v>
      </c>
      <c r="C84" s="71"/>
      <c r="D84" s="123"/>
      <c r="E84" s="71">
        <v>1</v>
      </c>
      <c r="F84" s="71"/>
      <c r="G84" s="71"/>
      <c r="H84" s="71"/>
      <c r="I84" s="53">
        <f>SUM(I80:I83)</f>
        <v>27976.720000000001</v>
      </c>
    </row>
    <row r="85" spans="1:9" ht="15.75" customHeight="1">
      <c r="A85" s="46"/>
      <c r="B85" s="81" t="s">
        <v>98</v>
      </c>
      <c r="C85" s="21"/>
      <c r="D85" s="21"/>
      <c r="E85" s="72"/>
      <c r="F85" s="72"/>
      <c r="G85" s="73"/>
      <c r="H85" s="73"/>
      <c r="I85" s="24">
        <v>0</v>
      </c>
    </row>
    <row r="86" spans="1:9" ht="15.75" customHeight="1">
      <c r="A86" s="124"/>
      <c r="B86" s="76" t="s">
        <v>64</v>
      </c>
      <c r="C86" s="59"/>
      <c r="D86" s="59"/>
      <c r="E86" s="59"/>
      <c r="F86" s="59"/>
      <c r="G86" s="59"/>
      <c r="H86" s="59"/>
      <c r="I86" s="74">
        <f>I78+I84</f>
        <v>165180.05402588888</v>
      </c>
    </row>
    <row r="87" spans="1:9" ht="15.75">
      <c r="A87" s="240" t="s">
        <v>273</v>
      </c>
      <c r="B87" s="240"/>
      <c r="C87" s="240"/>
      <c r="D87" s="240"/>
      <c r="E87" s="240"/>
      <c r="F87" s="240"/>
      <c r="G87" s="240"/>
      <c r="H87" s="240"/>
      <c r="I87" s="240"/>
    </row>
    <row r="88" spans="1:9" ht="15.75">
      <c r="A88" s="205"/>
      <c r="B88" s="241" t="s">
        <v>274</v>
      </c>
      <c r="C88" s="241"/>
      <c r="D88" s="241"/>
      <c r="E88" s="241"/>
      <c r="F88" s="241"/>
      <c r="G88" s="241"/>
      <c r="H88" s="246"/>
      <c r="I88" s="3"/>
    </row>
    <row r="89" spans="1:9">
      <c r="A89" s="208"/>
      <c r="B89" s="222" t="s">
        <v>7</v>
      </c>
      <c r="C89" s="222"/>
      <c r="D89" s="222"/>
      <c r="E89" s="222"/>
      <c r="F89" s="222"/>
      <c r="G89" s="222"/>
      <c r="H89" s="37"/>
      <c r="I89" s="5"/>
    </row>
    <row r="90" spans="1:9" ht="15.75" customHeight="1">
      <c r="A90" s="11"/>
      <c r="B90" s="11"/>
      <c r="C90" s="11"/>
      <c r="D90" s="11"/>
      <c r="E90" s="11"/>
      <c r="F90" s="11"/>
      <c r="G90" s="11"/>
      <c r="H90" s="11"/>
      <c r="I90" s="11"/>
    </row>
    <row r="91" spans="1:9" ht="15.75" customHeight="1">
      <c r="A91" s="217" t="s">
        <v>8</v>
      </c>
      <c r="B91" s="217"/>
      <c r="C91" s="217"/>
      <c r="D91" s="217"/>
      <c r="E91" s="217"/>
      <c r="F91" s="217"/>
      <c r="G91" s="217"/>
      <c r="H91" s="217"/>
      <c r="I91" s="217"/>
    </row>
    <row r="92" spans="1:9" ht="15.75" customHeight="1">
      <c r="A92" s="217" t="s">
        <v>9</v>
      </c>
      <c r="B92" s="217"/>
      <c r="C92" s="217"/>
      <c r="D92" s="217"/>
      <c r="E92" s="217"/>
      <c r="F92" s="217"/>
      <c r="G92" s="217"/>
      <c r="H92" s="217"/>
      <c r="I92" s="217"/>
    </row>
    <row r="93" spans="1:9" ht="15.75" customHeight="1">
      <c r="A93" s="219" t="s">
        <v>76</v>
      </c>
      <c r="B93" s="219"/>
      <c r="C93" s="219"/>
      <c r="D93" s="219"/>
      <c r="E93" s="219"/>
      <c r="F93" s="219"/>
      <c r="G93" s="219"/>
      <c r="H93" s="219"/>
      <c r="I93" s="219"/>
    </row>
    <row r="94" spans="1:9" ht="15.75" customHeight="1">
      <c r="A94" s="12"/>
    </row>
    <row r="95" spans="1:9" ht="15.75" customHeight="1">
      <c r="A95" s="220" t="s">
        <v>11</v>
      </c>
      <c r="B95" s="220"/>
      <c r="C95" s="220"/>
      <c r="D95" s="220"/>
      <c r="E95" s="220"/>
      <c r="F95" s="220"/>
      <c r="G95" s="220"/>
      <c r="H95" s="220"/>
      <c r="I95" s="220"/>
    </row>
    <row r="96" spans="1:9" ht="15.75" customHeight="1">
      <c r="A96" s="4"/>
    </row>
    <row r="97" spans="1:9" ht="15.75" customHeight="1">
      <c r="B97" s="204" t="s">
        <v>12</v>
      </c>
      <c r="C97" s="224" t="s">
        <v>136</v>
      </c>
      <c r="D97" s="224"/>
      <c r="E97" s="224"/>
      <c r="F97" s="244"/>
      <c r="I97" s="207"/>
    </row>
    <row r="98" spans="1:9" ht="15.75" customHeight="1">
      <c r="A98" s="208"/>
      <c r="C98" s="222" t="s">
        <v>13</v>
      </c>
      <c r="D98" s="222"/>
      <c r="E98" s="222"/>
      <c r="F98" s="37"/>
      <c r="I98" s="206" t="s">
        <v>14</v>
      </c>
    </row>
    <row r="99" spans="1:9" ht="15.75" customHeight="1">
      <c r="A99" s="38"/>
      <c r="C99" s="13"/>
      <c r="D99" s="13"/>
      <c r="G99" s="13"/>
      <c r="H99" s="13"/>
    </row>
    <row r="100" spans="1:9" ht="15.75" customHeight="1">
      <c r="B100" s="204" t="s">
        <v>15</v>
      </c>
      <c r="C100" s="223"/>
      <c r="D100" s="223"/>
      <c r="E100" s="223"/>
      <c r="F100" s="245"/>
      <c r="I100" s="207"/>
    </row>
    <row r="101" spans="1:9" ht="15.75" customHeight="1">
      <c r="A101" s="208"/>
      <c r="C101" s="216" t="s">
        <v>13</v>
      </c>
      <c r="D101" s="216"/>
      <c r="E101" s="216"/>
      <c r="F101" s="208"/>
      <c r="I101" s="206" t="s">
        <v>14</v>
      </c>
    </row>
    <row r="102" spans="1:9" ht="15.75" customHeight="1">
      <c r="A102" s="4" t="s">
        <v>16</v>
      </c>
    </row>
    <row r="103" spans="1:9">
      <c r="A103" s="234" t="s">
        <v>17</v>
      </c>
      <c r="B103" s="234"/>
      <c r="C103" s="234"/>
      <c r="D103" s="234"/>
      <c r="E103" s="234"/>
      <c r="F103" s="234"/>
      <c r="G103" s="234"/>
      <c r="H103" s="234"/>
      <c r="I103" s="234"/>
    </row>
    <row r="104" spans="1:9" ht="45" customHeight="1">
      <c r="A104" s="235" t="s">
        <v>18</v>
      </c>
      <c r="B104" s="235"/>
      <c r="C104" s="235"/>
      <c r="D104" s="235"/>
      <c r="E104" s="235"/>
      <c r="F104" s="235"/>
      <c r="G104" s="235"/>
      <c r="H104" s="235"/>
      <c r="I104" s="235"/>
    </row>
    <row r="105" spans="1:9" ht="30" customHeight="1">
      <c r="A105" s="235" t="s">
        <v>19</v>
      </c>
      <c r="B105" s="235"/>
      <c r="C105" s="235"/>
      <c r="D105" s="235"/>
      <c r="E105" s="235"/>
      <c r="F105" s="235"/>
      <c r="G105" s="235"/>
      <c r="H105" s="235"/>
      <c r="I105" s="235"/>
    </row>
    <row r="106" spans="1:9" ht="30" customHeight="1">
      <c r="A106" s="235" t="s">
        <v>24</v>
      </c>
      <c r="B106" s="235"/>
      <c r="C106" s="235"/>
      <c r="D106" s="235"/>
      <c r="E106" s="235"/>
      <c r="F106" s="235"/>
      <c r="G106" s="235"/>
      <c r="H106" s="235"/>
      <c r="I106" s="235"/>
    </row>
    <row r="107" spans="1:9" ht="15" customHeight="1">
      <c r="A107" s="235" t="s">
        <v>23</v>
      </c>
      <c r="B107" s="235"/>
      <c r="C107" s="235"/>
      <c r="D107" s="235"/>
      <c r="E107" s="235"/>
      <c r="F107" s="235"/>
      <c r="G107" s="235"/>
      <c r="H107" s="235"/>
      <c r="I107" s="235"/>
    </row>
  </sheetData>
  <autoFilter ref="I12:I62"/>
  <mergeCells count="28">
    <mergeCell ref="A104:I104"/>
    <mergeCell ref="A105:I105"/>
    <mergeCell ref="A106:I106"/>
    <mergeCell ref="A107:I107"/>
    <mergeCell ref="A95:I95"/>
    <mergeCell ref="C97:E97"/>
    <mergeCell ref="C98:E98"/>
    <mergeCell ref="C100:E100"/>
    <mergeCell ref="C101:E101"/>
    <mergeCell ref="A103:I103"/>
    <mergeCell ref="A87:I87"/>
    <mergeCell ref="B88:G88"/>
    <mergeCell ref="B89:G89"/>
    <mergeCell ref="A91:I91"/>
    <mergeCell ref="A92:I92"/>
    <mergeCell ref="A93:I93"/>
    <mergeCell ref="A15:I15"/>
    <mergeCell ref="A27:I27"/>
    <mergeCell ref="A42:I42"/>
    <mergeCell ref="A53:I53"/>
    <mergeCell ref="R67:U67"/>
    <mergeCell ref="A75:I7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123</v>
      </c>
      <c r="I1" s="40"/>
      <c r="J1" s="1"/>
      <c r="K1" s="1"/>
      <c r="L1" s="1"/>
      <c r="M1" s="1"/>
    </row>
    <row r="2" spans="1:13" ht="15.75" customHeight="1">
      <c r="A2" s="42" t="s">
        <v>79</v>
      </c>
      <c r="J2" s="2"/>
      <c r="K2" s="2"/>
      <c r="L2" s="2"/>
      <c r="M2" s="2"/>
    </row>
    <row r="3" spans="1:13" ht="15.75" customHeight="1">
      <c r="A3" s="236" t="s">
        <v>277</v>
      </c>
      <c r="B3" s="236"/>
      <c r="C3" s="236"/>
      <c r="D3" s="236"/>
      <c r="E3" s="236"/>
      <c r="F3" s="236"/>
      <c r="G3" s="236"/>
      <c r="H3" s="236"/>
      <c r="I3" s="236"/>
      <c r="J3" s="3"/>
      <c r="K3" s="3"/>
      <c r="L3" s="3"/>
    </row>
    <row r="4" spans="1:13" ht="31.5" customHeight="1">
      <c r="A4" s="237" t="s">
        <v>211</v>
      </c>
      <c r="B4" s="237"/>
      <c r="C4" s="237"/>
      <c r="D4" s="237"/>
      <c r="E4" s="237"/>
      <c r="F4" s="237"/>
      <c r="G4" s="237"/>
      <c r="H4" s="237"/>
      <c r="I4" s="237"/>
    </row>
    <row r="5" spans="1:13" ht="15.75" customHeight="1">
      <c r="A5" s="236" t="s">
        <v>69</v>
      </c>
      <c r="B5" s="238"/>
      <c r="C5" s="238"/>
      <c r="D5" s="238"/>
      <c r="E5" s="238"/>
      <c r="F5" s="238"/>
      <c r="G5" s="238"/>
      <c r="H5" s="238"/>
      <c r="I5" s="238"/>
      <c r="J5" s="2"/>
      <c r="K5" s="2"/>
      <c r="L5" s="2"/>
      <c r="M5" s="2"/>
    </row>
    <row r="6" spans="1:13" ht="15.75" customHeight="1">
      <c r="A6" s="2"/>
      <c r="B6" s="209"/>
      <c r="C6" s="209"/>
      <c r="D6" s="209"/>
      <c r="E6" s="209"/>
      <c r="F6" s="209"/>
      <c r="G6" s="209"/>
      <c r="H6" s="209"/>
      <c r="I6" s="50">
        <v>42551</v>
      </c>
      <c r="J6" s="2"/>
      <c r="K6" s="2"/>
      <c r="L6" s="2"/>
      <c r="M6" s="2"/>
    </row>
    <row r="7" spans="1:13" ht="15.75" customHeight="1">
      <c r="B7" s="204"/>
      <c r="C7" s="204"/>
      <c r="D7" s="20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4" t="s">
        <v>226</v>
      </c>
      <c r="B8" s="214"/>
      <c r="C8" s="214"/>
      <c r="D8" s="214"/>
      <c r="E8" s="214"/>
      <c r="F8" s="214"/>
      <c r="G8" s="214"/>
      <c r="H8" s="214"/>
      <c r="I8" s="21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5" t="s">
        <v>212</v>
      </c>
      <c r="B10" s="215"/>
      <c r="C10" s="215"/>
      <c r="D10" s="215"/>
      <c r="E10" s="215"/>
      <c r="F10" s="215"/>
      <c r="G10" s="215"/>
      <c r="H10" s="215"/>
      <c r="I10" s="21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9" t="s">
        <v>73</v>
      </c>
      <c r="B14" s="239"/>
      <c r="C14" s="239"/>
      <c r="D14" s="239"/>
      <c r="E14" s="239"/>
      <c r="F14" s="239"/>
      <c r="G14" s="239"/>
      <c r="H14" s="239"/>
      <c r="I14" s="239"/>
      <c r="J14" s="8"/>
      <c r="K14" s="8"/>
      <c r="L14" s="8"/>
      <c r="M14" s="8"/>
    </row>
    <row r="15" spans="1:13" ht="15.75" customHeight="1">
      <c r="A15" s="277" t="s">
        <v>4</v>
      </c>
      <c r="B15" s="277"/>
      <c r="C15" s="277"/>
      <c r="D15" s="277"/>
      <c r="E15" s="277"/>
      <c r="F15" s="277"/>
      <c r="G15" s="277"/>
      <c r="H15" s="277"/>
      <c r="I15" s="277"/>
      <c r="J15" s="8"/>
      <c r="K15" s="8"/>
      <c r="L15" s="8"/>
      <c r="M15" s="8"/>
    </row>
    <row r="16" spans="1:13" ht="31.5" customHeight="1">
      <c r="A16" s="46">
        <v>1</v>
      </c>
      <c r="B16" s="247" t="s">
        <v>125</v>
      </c>
      <c r="C16" s="248" t="s">
        <v>163</v>
      </c>
      <c r="D16" s="247" t="s">
        <v>228</v>
      </c>
      <c r="E16" s="249">
        <v>92.5</v>
      </c>
      <c r="F16" s="250">
        <f>SUM(E16*156/100)</f>
        <v>144.30000000000001</v>
      </c>
      <c r="G16" s="250">
        <v>175.38</v>
      </c>
      <c r="H16" s="251">
        <f t="shared" ref="H16:H24" si="0">SUM(F16*G16/1000)</f>
        <v>25.307334000000001</v>
      </c>
      <c r="I16" s="18">
        <f>F16/12*G16</f>
        <v>2108.9445000000001</v>
      </c>
      <c r="J16" s="8"/>
      <c r="K16" s="8"/>
      <c r="L16" s="8"/>
      <c r="M16" s="8"/>
    </row>
    <row r="17" spans="1:13" ht="31.5" customHeight="1">
      <c r="A17" s="46">
        <v>2</v>
      </c>
      <c r="B17" s="247" t="s">
        <v>185</v>
      </c>
      <c r="C17" s="248" t="s">
        <v>163</v>
      </c>
      <c r="D17" s="247" t="s">
        <v>229</v>
      </c>
      <c r="E17" s="249">
        <v>288.8</v>
      </c>
      <c r="F17" s="250">
        <f>SUM(E17*104/100)</f>
        <v>300.35200000000003</v>
      </c>
      <c r="G17" s="250">
        <v>175.38</v>
      </c>
      <c r="H17" s="251">
        <f t="shared" si="0"/>
        <v>52.67573376</v>
      </c>
      <c r="I17" s="18">
        <f>F17/12*G17</f>
        <v>4389.6444800000008</v>
      </c>
      <c r="J17" s="33"/>
      <c r="K17" s="8"/>
      <c r="L17" s="8"/>
      <c r="M17" s="8"/>
    </row>
    <row r="18" spans="1:13" ht="31.5" customHeight="1">
      <c r="A18" s="46">
        <v>3</v>
      </c>
      <c r="B18" s="247" t="s">
        <v>252</v>
      </c>
      <c r="C18" s="248" t="s">
        <v>163</v>
      </c>
      <c r="D18" s="247" t="s">
        <v>253</v>
      </c>
      <c r="E18" s="249">
        <f>SUM(E16+E17)</f>
        <v>381.3</v>
      </c>
      <c r="F18" s="250">
        <f>SUM(E18*12/100)</f>
        <v>45.756</v>
      </c>
      <c r="G18" s="250">
        <v>504.5</v>
      </c>
      <c r="H18" s="251">
        <f t="shared" si="0"/>
        <v>23.083902000000002</v>
      </c>
      <c r="I18" s="18">
        <f>F18/12*G18</f>
        <v>1923.6585</v>
      </c>
      <c r="J18" s="33"/>
      <c r="K18" s="8"/>
      <c r="L18" s="8"/>
      <c r="M18" s="8"/>
    </row>
    <row r="19" spans="1:13" ht="15.75" hidden="1" customHeight="1">
      <c r="A19" s="46">
        <v>4</v>
      </c>
      <c r="B19" s="247" t="s">
        <v>187</v>
      </c>
      <c r="C19" s="248" t="s">
        <v>188</v>
      </c>
      <c r="D19" s="247" t="s">
        <v>189</v>
      </c>
      <c r="E19" s="249">
        <v>19.2</v>
      </c>
      <c r="F19" s="250">
        <f>SUM(E19/10)</f>
        <v>1.92</v>
      </c>
      <c r="G19" s="250">
        <v>170.16</v>
      </c>
      <c r="H19" s="251">
        <f t="shared" si="0"/>
        <v>0.32670719999999998</v>
      </c>
      <c r="I19" s="18">
        <v>0</v>
      </c>
      <c r="J19" s="33"/>
      <c r="K19" s="8"/>
      <c r="L19" s="8"/>
      <c r="M19" s="8"/>
    </row>
    <row r="20" spans="1:13" ht="15.75" customHeight="1">
      <c r="A20" s="46">
        <v>4</v>
      </c>
      <c r="B20" s="247" t="s">
        <v>162</v>
      </c>
      <c r="C20" s="248" t="s">
        <v>163</v>
      </c>
      <c r="D20" s="247" t="s">
        <v>35</v>
      </c>
      <c r="E20" s="249">
        <v>27.3</v>
      </c>
      <c r="F20" s="250">
        <f>SUM(E20*12/100)</f>
        <v>3.2760000000000002</v>
      </c>
      <c r="G20" s="250">
        <v>217.88</v>
      </c>
      <c r="H20" s="251">
        <f t="shared" si="0"/>
        <v>0.71377488</v>
      </c>
      <c r="I20" s="18">
        <f>F20/12*G20</f>
        <v>59.48124</v>
      </c>
      <c r="J20" s="33"/>
      <c r="K20" s="8"/>
      <c r="L20" s="8"/>
      <c r="M20" s="8"/>
    </row>
    <row r="21" spans="1:13" ht="15.75" customHeight="1">
      <c r="A21" s="46">
        <v>5</v>
      </c>
      <c r="B21" s="247" t="s">
        <v>178</v>
      </c>
      <c r="C21" s="248" t="s">
        <v>163</v>
      </c>
      <c r="D21" s="247" t="s">
        <v>35</v>
      </c>
      <c r="E21" s="249">
        <v>9.08</v>
      </c>
      <c r="F21" s="250">
        <f>SUM(E21*12/100)</f>
        <v>1.0896000000000001</v>
      </c>
      <c r="G21" s="250">
        <v>216.12</v>
      </c>
      <c r="H21" s="251">
        <f t="shared" si="0"/>
        <v>0.23548435200000004</v>
      </c>
      <c r="I21" s="18">
        <f>F21/12*G21</f>
        <v>19.623696000000002</v>
      </c>
      <c r="J21" s="33"/>
      <c r="K21" s="8"/>
      <c r="L21" s="8"/>
      <c r="M21" s="8"/>
    </row>
    <row r="22" spans="1:13" ht="15.75" hidden="1" customHeight="1">
      <c r="A22" s="46">
        <v>7</v>
      </c>
      <c r="B22" s="247" t="s">
        <v>166</v>
      </c>
      <c r="C22" s="248" t="s">
        <v>65</v>
      </c>
      <c r="D22" s="247" t="s">
        <v>189</v>
      </c>
      <c r="E22" s="252">
        <v>12.6</v>
      </c>
      <c r="F22" s="250">
        <f>SUM(E22/100)</f>
        <v>0.126</v>
      </c>
      <c r="G22" s="250">
        <v>44.29</v>
      </c>
      <c r="H22" s="251">
        <f t="shared" si="0"/>
        <v>5.5805400000000002E-3</v>
      </c>
      <c r="I22" s="18">
        <v>0</v>
      </c>
      <c r="J22" s="33"/>
      <c r="K22" s="8"/>
      <c r="L22" s="8"/>
      <c r="M22" s="8"/>
    </row>
    <row r="23" spans="1:13" ht="15.75" customHeight="1">
      <c r="A23" s="46">
        <v>6</v>
      </c>
      <c r="B23" s="247" t="s">
        <v>168</v>
      </c>
      <c r="C23" s="248" t="s">
        <v>65</v>
      </c>
      <c r="D23" s="247" t="s">
        <v>169</v>
      </c>
      <c r="E23" s="249">
        <v>20</v>
      </c>
      <c r="F23" s="250">
        <f>E23*12/100</f>
        <v>2.4</v>
      </c>
      <c r="G23" s="250">
        <v>389.72</v>
      </c>
      <c r="H23" s="251">
        <f t="shared" si="0"/>
        <v>0.93532799999999994</v>
      </c>
      <c r="I23" s="18">
        <f>F23/12*G23</f>
        <v>77.944000000000003</v>
      </c>
      <c r="J23" s="33"/>
      <c r="K23" s="8"/>
      <c r="L23" s="8"/>
      <c r="M23" s="8"/>
    </row>
    <row r="24" spans="1:13" ht="15.75" hidden="1" customHeight="1">
      <c r="A24" s="46">
        <v>9</v>
      </c>
      <c r="B24" s="247" t="s">
        <v>170</v>
      </c>
      <c r="C24" s="248" t="s">
        <v>65</v>
      </c>
      <c r="D24" s="247" t="s">
        <v>189</v>
      </c>
      <c r="E24" s="249">
        <v>17</v>
      </c>
      <c r="F24" s="250">
        <f>SUM(E24/100)</f>
        <v>0.17</v>
      </c>
      <c r="G24" s="250">
        <v>520.79999999999995</v>
      </c>
      <c r="H24" s="251">
        <f t="shared" si="0"/>
        <v>8.8536000000000004E-2</v>
      </c>
      <c r="I24" s="18">
        <v>0</v>
      </c>
      <c r="J24" s="33"/>
      <c r="K24" s="8"/>
      <c r="L24" s="8"/>
      <c r="M24" s="8"/>
    </row>
    <row r="25" spans="1:13" ht="15.75" customHeight="1">
      <c r="A25" s="46">
        <v>7</v>
      </c>
      <c r="B25" s="247" t="s">
        <v>81</v>
      </c>
      <c r="C25" s="248" t="s">
        <v>38</v>
      </c>
      <c r="D25" s="247" t="s">
        <v>232</v>
      </c>
      <c r="E25" s="249">
        <v>0.1</v>
      </c>
      <c r="F25" s="250">
        <f>SUM(E25*365)</f>
        <v>36.5</v>
      </c>
      <c r="G25" s="250">
        <v>147.03</v>
      </c>
      <c r="H25" s="251">
        <f>SUM(F25*G25/1000)</f>
        <v>5.3665950000000002</v>
      </c>
      <c r="I25" s="18">
        <f>F25/12*G25</f>
        <v>447.21625</v>
      </c>
      <c r="J25" s="33"/>
      <c r="K25" s="8"/>
      <c r="L25" s="8"/>
      <c r="M25" s="8"/>
    </row>
    <row r="26" spans="1:13" ht="15.75" customHeight="1">
      <c r="A26" s="46">
        <v>8</v>
      </c>
      <c r="B26" s="257" t="s">
        <v>26</v>
      </c>
      <c r="C26" s="248" t="s">
        <v>27</v>
      </c>
      <c r="D26" s="257" t="s">
        <v>234</v>
      </c>
      <c r="E26" s="249">
        <v>3053.4</v>
      </c>
      <c r="F26" s="250">
        <f>SUM(E26*12)</f>
        <v>36640.800000000003</v>
      </c>
      <c r="G26" s="250">
        <v>4.55</v>
      </c>
      <c r="H26" s="251">
        <f>SUM(F26*G26/1000)</f>
        <v>166.71564000000001</v>
      </c>
      <c r="I26" s="18">
        <f>F26/12*G26</f>
        <v>13892.97</v>
      </c>
      <c r="J26" s="34"/>
    </row>
    <row r="27" spans="1:13" ht="15.75" customHeight="1">
      <c r="A27" s="278" t="s">
        <v>120</v>
      </c>
      <c r="B27" s="279"/>
      <c r="C27" s="279"/>
      <c r="D27" s="279"/>
      <c r="E27" s="279"/>
      <c r="F27" s="279"/>
      <c r="G27" s="279"/>
      <c r="H27" s="279"/>
      <c r="I27" s="280"/>
      <c r="J27" s="33"/>
      <c r="K27" s="8"/>
      <c r="L27" s="8"/>
      <c r="M27" s="8"/>
    </row>
    <row r="28" spans="1:13" ht="15.75" customHeight="1">
      <c r="A28" s="46"/>
      <c r="B28" s="281" t="s">
        <v>33</v>
      </c>
      <c r="C28" s="248"/>
      <c r="D28" s="247"/>
      <c r="E28" s="249"/>
      <c r="F28" s="250"/>
      <c r="G28" s="250"/>
      <c r="H28" s="254"/>
      <c r="I28" s="255"/>
      <c r="J28" s="33"/>
      <c r="K28" s="8"/>
      <c r="L28" s="8"/>
      <c r="M28" s="8"/>
    </row>
    <row r="29" spans="1:13" ht="31.5" customHeight="1">
      <c r="A29" s="46">
        <v>9</v>
      </c>
      <c r="B29" s="247" t="s">
        <v>190</v>
      </c>
      <c r="C29" s="248" t="s">
        <v>191</v>
      </c>
      <c r="D29" s="247" t="s">
        <v>230</v>
      </c>
      <c r="E29" s="250">
        <v>561.6</v>
      </c>
      <c r="F29" s="250">
        <f>SUM(E29*52/1000)</f>
        <v>29.203200000000002</v>
      </c>
      <c r="G29" s="250">
        <v>155.88999999999999</v>
      </c>
      <c r="H29" s="251">
        <f t="shared" ref="H29:H34" si="1">SUM(F29*G29/1000)</f>
        <v>4.5524868479999991</v>
      </c>
      <c r="I29" s="18">
        <f t="shared" ref="I29:I32" si="2">F29/6*G29</f>
        <v>758.74780799999996</v>
      </c>
      <c r="J29" s="33"/>
      <c r="K29" s="8"/>
      <c r="L29" s="8"/>
      <c r="M29" s="8"/>
    </row>
    <row r="30" spans="1:13" ht="31.5" customHeight="1">
      <c r="A30" s="46">
        <v>10</v>
      </c>
      <c r="B30" s="247" t="s">
        <v>254</v>
      </c>
      <c r="C30" s="248" t="s">
        <v>191</v>
      </c>
      <c r="D30" s="247" t="s">
        <v>231</v>
      </c>
      <c r="E30" s="250">
        <v>205.7</v>
      </c>
      <c r="F30" s="250">
        <f>SUM(E30*78/1000)</f>
        <v>16.044599999999999</v>
      </c>
      <c r="G30" s="250">
        <v>258.63</v>
      </c>
      <c r="H30" s="251">
        <f t="shared" si="1"/>
        <v>4.1496148979999994</v>
      </c>
      <c r="I30" s="18">
        <f t="shared" si="2"/>
        <v>691.60248299999989</v>
      </c>
      <c r="J30" s="33"/>
      <c r="K30" s="8"/>
      <c r="L30" s="8"/>
      <c r="M30" s="8"/>
    </row>
    <row r="31" spans="1:13" ht="15.75" hidden="1" customHeight="1">
      <c r="A31" s="46">
        <v>11</v>
      </c>
      <c r="B31" s="247" t="s">
        <v>32</v>
      </c>
      <c r="C31" s="248" t="s">
        <v>191</v>
      </c>
      <c r="D31" s="247" t="s">
        <v>66</v>
      </c>
      <c r="E31" s="250">
        <v>561.6</v>
      </c>
      <c r="F31" s="250">
        <f>SUM(E31/1000)</f>
        <v>0.56159999999999999</v>
      </c>
      <c r="G31" s="250">
        <v>3020.33</v>
      </c>
      <c r="H31" s="251">
        <f t="shared" si="1"/>
        <v>1.6962173279999999</v>
      </c>
      <c r="I31" s="18">
        <f>F31*G31</f>
        <v>1696.217328</v>
      </c>
      <c r="J31" s="33"/>
      <c r="K31" s="8"/>
      <c r="L31" s="8"/>
      <c r="M31" s="8"/>
    </row>
    <row r="32" spans="1:13" ht="15.75" customHeight="1">
      <c r="A32" s="46">
        <v>11</v>
      </c>
      <c r="B32" s="247" t="s">
        <v>193</v>
      </c>
      <c r="C32" s="248" t="s">
        <v>36</v>
      </c>
      <c r="D32" s="247" t="s">
        <v>80</v>
      </c>
      <c r="E32" s="256">
        <v>0.33333333333333331</v>
      </c>
      <c r="F32" s="250">
        <f>155/3</f>
        <v>51.666666666666664</v>
      </c>
      <c r="G32" s="250">
        <v>56.69</v>
      </c>
      <c r="H32" s="251">
        <f>SUM(G32*155/3/1000)</f>
        <v>2.9289833333333331</v>
      </c>
      <c r="I32" s="18">
        <f t="shared" si="2"/>
        <v>488.16388888888883</v>
      </c>
      <c r="J32" s="33"/>
      <c r="K32" s="8"/>
      <c r="L32" s="8"/>
      <c r="M32" s="8"/>
    </row>
    <row r="33" spans="1:14" ht="15.75" hidden="1" customHeight="1">
      <c r="A33" s="46"/>
      <c r="B33" s="247" t="s">
        <v>82</v>
      </c>
      <c r="C33" s="248" t="s">
        <v>38</v>
      </c>
      <c r="D33" s="247" t="s">
        <v>84</v>
      </c>
      <c r="E33" s="249"/>
      <c r="F33" s="250">
        <v>2</v>
      </c>
      <c r="G33" s="250">
        <v>191.32</v>
      </c>
      <c r="H33" s="251">
        <f t="shared" si="1"/>
        <v>0.38263999999999998</v>
      </c>
      <c r="I33" s="18">
        <v>0</v>
      </c>
      <c r="J33" s="33"/>
      <c r="K33" s="8"/>
      <c r="L33" s="8"/>
      <c r="M33" s="8"/>
    </row>
    <row r="34" spans="1:14" ht="15.75" hidden="1" customHeight="1">
      <c r="A34" s="46"/>
      <c r="B34" s="247" t="s">
        <v>83</v>
      </c>
      <c r="C34" s="248" t="s">
        <v>37</v>
      </c>
      <c r="D34" s="247" t="s">
        <v>84</v>
      </c>
      <c r="E34" s="249"/>
      <c r="F34" s="250">
        <v>1</v>
      </c>
      <c r="G34" s="250">
        <v>1136.33</v>
      </c>
      <c r="H34" s="251">
        <f t="shared" si="1"/>
        <v>1.1363299999999998</v>
      </c>
      <c r="I34" s="18">
        <v>0</v>
      </c>
      <c r="J34" s="33"/>
      <c r="K34" s="8"/>
    </row>
    <row r="35" spans="1:14" ht="15.75" hidden="1" customHeight="1">
      <c r="A35" s="46"/>
      <c r="B35" s="281" t="s">
        <v>5</v>
      </c>
      <c r="C35" s="248"/>
      <c r="D35" s="247"/>
      <c r="E35" s="249"/>
      <c r="F35" s="250"/>
      <c r="G35" s="250"/>
      <c r="H35" s="254" t="s">
        <v>234</v>
      </c>
      <c r="I35" s="255"/>
      <c r="J35" s="34"/>
    </row>
    <row r="36" spans="1:14" ht="15.75" hidden="1" customHeight="1">
      <c r="A36" s="46">
        <v>9</v>
      </c>
      <c r="B36" s="247" t="s">
        <v>31</v>
      </c>
      <c r="C36" s="248" t="s">
        <v>37</v>
      </c>
      <c r="D36" s="247"/>
      <c r="E36" s="249"/>
      <c r="F36" s="250">
        <v>3</v>
      </c>
      <c r="G36" s="250">
        <v>1527.22</v>
      </c>
      <c r="H36" s="251">
        <f t="shared" ref="H36:H38" si="3">SUM(F36*G36/1000)</f>
        <v>4.5816600000000003</v>
      </c>
      <c r="I36" s="18">
        <f t="shared" ref="I36:I41" si="4">F36/6*G36</f>
        <v>763.61</v>
      </c>
      <c r="J36" s="34"/>
    </row>
    <row r="37" spans="1:14" ht="15.75" hidden="1" customHeight="1">
      <c r="A37" s="46">
        <v>10</v>
      </c>
      <c r="B37" s="247" t="s">
        <v>85</v>
      </c>
      <c r="C37" s="248" t="s">
        <v>34</v>
      </c>
      <c r="D37" s="247" t="s">
        <v>217</v>
      </c>
      <c r="E37" s="250">
        <v>205.7</v>
      </c>
      <c r="F37" s="250">
        <f>SUM(E37*20/1000)</f>
        <v>4.1139999999999999</v>
      </c>
      <c r="G37" s="250">
        <v>2102.71</v>
      </c>
      <c r="H37" s="251">
        <f t="shared" si="3"/>
        <v>8.6505489400000002</v>
      </c>
      <c r="I37" s="18">
        <f t="shared" si="4"/>
        <v>1441.7581566666665</v>
      </c>
      <c r="J37" s="34"/>
    </row>
    <row r="38" spans="1:14" ht="15.75" hidden="1" customHeight="1">
      <c r="A38" s="46">
        <v>11</v>
      </c>
      <c r="B38" s="247" t="s">
        <v>86</v>
      </c>
      <c r="C38" s="248" t="s">
        <v>34</v>
      </c>
      <c r="D38" s="247" t="s">
        <v>218</v>
      </c>
      <c r="E38" s="249">
        <v>89.1</v>
      </c>
      <c r="F38" s="250">
        <f>SUM(E38*155/1000)</f>
        <v>13.810499999999999</v>
      </c>
      <c r="G38" s="250">
        <v>350.75</v>
      </c>
      <c r="H38" s="251">
        <f t="shared" si="3"/>
        <v>4.8440328749999999</v>
      </c>
      <c r="I38" s="18">
        <f t="shared" si="4"/>
        <v>807.3388124999999</v>
      </c>
      <c r="J38" s="34"/>
    </row>
    <row r="39" spans="1:14" ht="47.25" hidden="1" customHeight="1">
      <c r="A39" s="46">
        <v>12</v>
      </c>
      <c r="B39" s="247" t="s">
        <v>112</v>
      </c>
      <c r="C39" s="248" t="s">
        <v>191</v>
      </c>
      <c r="D39" s="247" t="s">
        <v>219</v>
      </c>
      <c r="E39" s="250">
        <v>48</v>
      </c>
      <c r="F39" s="250">
        <f>SUM(E39*50/1000)</f>
        <v>2.4</v>
      </c>
      <c r="G39" s="250">
        <v>5803.28</v>
      </c>
      <c r="H39" s="251">
        <f>SUM(F39*G39/1000)</f>
        <v>13.927871999999999</v>
      </c>
      <c r="I39" s="18">
        <f t="shared" si="4"/>
        <v>2321.3119999999999</v>
      </c>
      <c r="J39" s="34"/>
    </row>
    <row r="40" spans="1:14" ht="15.75" hidden="1" customHeight="1">
      <c r="A40" s="46">
        <v>13</v>
      </c>
      <c r="B40" s="247" t="s">
        <v>195</v>
      </c>
      <c r="C40" s="248" t="s">
        <v>191</v>
      </c>
      <c r="D40" s="247" t="s">
        <v>87</v>
      </c>
      <c r="E40" s="250">
        <v>89</v>
      </c>
      <c r="F40" s="250">
        <f>SUM(E40*45/1000)</f>
        <v>4.0049999999999999</v>
      </c>
      <c r="G40" s="250">
        <v>428.7</v>
      </c>
      <c r="H40" s="251">
        <f t="shared" ref="H40:H41" si="5">SUM(F40*G40/1000)</f>
        <v>1.7169435</v>
      </c>
      <c r="I40" s="18">
        <f t="shared" si="4"/>
        <v>286.15724999999998</v>
      </c>
      <c r="J40" s="34"/>
      <c r="L40" s="27"/>
      <c r="M40" s="28"/>
      <c r="N40" s="29"/>
    </row>
    <row r="41" spans="1:14" ht="15.75" hidden="1" customHeight="1">
      <c r="A41" s="285">
        <v>14</v>
      </c>
      <c r="B41" s="261" t="s">
        <v>88</v>
      </c>
      <c r="C41" s="262" t="s">
        <v>38</v>
      </c>
      <c r="D41" s="261"/>
      <c r="E41" s="258"/>
      <c r="F41" s="263">
        <v>0.9</v>
      </c>
      <c r="G41" s="263">
        <v>798</v>
      </c>
      <c r="H41" s="264">
        <f t="shared" si="5"/>
        <v>0.71820000000000006</v>
      </c>
      <c r="I41" s="286">
        <f t="shared" si="4"/>
        <v>119.69999999999999</v>
      </c>
      <c r="J41" s="34"/>
      <c r="L41" s="27"/>
      <c r="M41" s="28"/>
      <c r="N41" s="29"/>
    </row>
    <row r="42" spans="1:14" ht="15.75" hidden="1" customHeight="1">
      <c r="A42" s="282" t="s">
        <v>255</v>
      </c>
      <c r="B42" s="283"/>
      <c r="C42" s="283"/>
      <c r="D42" s="283"/>
      <c r="E42" s="283"/>
      <c r="F42" s="283"/>
      <c r="G42" s="283"/>
      <c r="H42" s="283"/>
      <c r="I42" s="284"/>
      <c r="J42" s="34"/>
      <c r="L42" s="27"/>
      <c r="M42" s="28"/>
      <c r="N42" s="29"/>
    </row>
    <row r="43" spans="1:14" ht="15.75" hidden="1" customHeight="1">
      <c r="A43" s="287"/>
      <c r="B43" s="288" t="s">
        <v>196</v>
      </c>
      <c r="C43" s="289" t="s">
        <v>191</v>
      </c>
      <c r="D43" s="288" t="s">
        <v>53</v>
      </c>
      <c r="E43" s="290">
        <v>1632.75</v>
      </c>
      <c r="F43" s="291">
        <f>SUM(E43*2/1000)</f>
        <v>3.2654999999999998</v>
      </c>
      <c r="G43" s="292">
        <v>809.74</v>
      </c>
      <c r="H43" s="293">
        <f t="shared" ref="H43:H52" si="6">SUM(F43*G43/1000)</f>
        <v>2.6442059699999998</v>
      </c>
      <c r="I43" s="292">
        <v>0</v>
      </c>
      <c r="J43" s="34"/>
      <c r="L43" s="27"/>
      <c r="M43" s="28"/>
      <c r="N43" s="29"/>
    </row>
    <row r="44" spans="1:14" ht="15.75" hidden="1" customHeight="1">
      <c r="A44" s="46"/>
      <c r="B44" s="247" t="s">
        <v>42</v>
      </c>
      <c r="C44" s="248" t="s">
        <v>191</v>
      </c>
      <c r="D44" s="247" t="s">
        <v>53</v>
      </c>
      <c r="E44" s="249">
        <v>53.75</v>
      </c>
      <c r="F44" s="250">
        <f>SUM(E44*2/1000)</f>
        <v>0.1075</v>
      </c>
      <c r="G44" s="18">
        <v>579.48</v>
      </c>
      <c r="H44" s="251">
        <f t="shared" si="6"/>
        <v>6.2294099999999998E-2</v>
      </c>
      <c r="I44" s="18">
        <v>0</v>
      </c>
      <c r="J44" s="34"/>
      <c r="L44" s="27"/>
      <c r="M44" s="28"/>
      <c r="N44" s="29"/>
    </row>
    <row r="45" spans="1:14" ht="15.75" hidden="1" customHeight="1">
      <c r="A45" s="46"/>
      <c r="B45" s="247" t="s">
        <v>43</v>
      </c>
      <c r="C45" s="248" t="s">
        <v>191</v>
      </c>
      <c r="D45" s="247" t="s">
        <v>53</v>
      </c>
      <c r="E45" s="249">
        <v>2285.6</v>
      </c>
      <c r="F45" s="250">
        <f>SUM(E45*2/1000)</f>
        <v>4.5712000000000002</v>
      </c>
      <c r="G45" s="18">
        <v>579.48</v>
      </c>
      <c r="H45" s="251">
        <f t="shared" si="6"/>
        <v>2.6489189760000005</v>
      </c>
      <c r="I45" s="18">
        <v>0</v>
      </c>
      <c r="J45" s="34"/>
      <c r="L45" s="27"/>
      <c r="M45" s="28"/>
      <c r="N45" s="29"/>
    </row>
    <row r="46" spans="1:14" ht="15.75" hidden="1" customHeight="1">
      <c r="A46" s="46"/>
      <c r="B46" s="247" t="s">
        <v>44</v>
      </c>
      <c r="C46" s="248" t="s">
        <v>191</v>
      </c>
      <c r="D46" s="247" t="s">
        <v>53</v>
      </c>
      <c r="E46" s="249">
        <v>1860</v>
      </c>
      <c r="F46" s="250">
        <f>SUM(E46*2/1000)</f>
        <v>3.72</v>
      </c>
      <c r="G46" s="18">
        <v>606.77</v>
      </c>
      <c r="H46" s="251">
        <f t="shared" si="6"/>
        <v>2.2571844000000003</v>
      </c>
      <c r="I46" s="18">
        <v>0</v>
      </c>
      <c r="J46" s="34"/>
      <c r="L46" s="27"/>
      <c r="M46" s="28"/>
      <c r="N46" s="29"/>
    </row>
    <row r="47" spans="1:14" ht="15.75" hidden="1" customHeight="1">
      <c r="A47" s="46"/>
      <c r="B47" s="247" t="s">
        <v>40</v>
      </c>
      <c r="C47" s="248" t="s">
        <v>41</v>
      </c>
      <c r="D47" s="247" t="s">
        <v>53</v>
      </c>
      <c r="E47" s="249">
        <v>120.49</v>
      </c>
      <c r="F47" s="250">
        <f>SUM(E47*2/100)</f>
        <v>2.4097999999999997</v>
      </c>
      <c r="G47" s="18">
        <v>72.81</v>
      </c>
      <c r="H47" s="251">
        <f t="shared" si="6"/>
        <v>0.17545753799999997</v>
      </c>
      <c r="I47" s="18">
        <v>0</v>
      </c>
      <c r="J47" s="34"/>
      <c r="L47" s="27"/>
      <c r="M47" s="28"/>
      <c r="N47" s="29"/>
    </row>
    <row r="48" spans="1:14" ht="15.75" hidden="1" customHeight="1">
      <c r="A48" s="46">
        <v>15</v>
      </c>
      <c r="B48" s="247" t="s">
        <v>70</v>
      </c>
      <c r="C48" s="248" t="s">
        <v>191</v>
      </c>
      <c r="D48" s="247" t="s">
        <v>258</v>
      </c>
      <c r="E48" s="249">
        <v>1728</v>
      </c>
      <c r="F48" s="250">
        <f>SUM(E48*5/1000)</f>
        <v>8.64</v>
      </c>
      <c r="G48" s="18">
        <v>1213.55</v>
      </c>
      <c r="H48" s="251">
        <f t="shared" si="6"/>
        <v>10.485072000000001</v>
      </c>
      <c r="I48" s="18">
        <f>F48/5*G48</f>
        <v>2097.0144</v>
      </c>
      <c r="J48" s="34"/>
      <c r="L48" s="27"/>
      <c r="M48" s="28"/>
      <c r="N48" s="29"/>
    </row>
    <row r="49" spans="1:22" ht="31.5" hidden="1" customHeight="1">
      <c r="A49" s="46"/>
      <c r="B49" s="247" t="s">
        <v>198</v>
      </c>
      <c r="C49" s="248" t="s">
        <v>191</v>
      </c>
      <c r="D49" s="247" t="s">
        <v>53</v>
      </c>
      <c r="E49" s="249">
        <v>1728</v>
      </c>
      <c r="F49" s="250">
        <f>SUM(E49*2/1000)</f>
        <v>3.456</v>
      </c>
      <c r="G49" s="18">
        <v>1213.55</v>
      </c>
      <c r="H49" s="251">
        <f t="shared" si="6"/>
        <v>4.1940287999999999</v>
      </c>
      <c r="I49" s="18">
        <v>0</v>
      </c>
      <c r="J49" s="34"/>
      <c r="L49" s="27"/>
      <c r="M49" s="28"/>
      <c r="N49" s="29"/>
    </row>
    <row r="50" spans="1:22" ht="31.5" hidden="1" customHeight="1">
      <c r="A50" s="46"/>
      <c r="B50" s="247" t="s">
        <v>235</v>
      </c>
      <c r="C50" s="248" t="s">
        <v>47</v>
      </c>
      <c r="D50" s="247" t="s">
        <v>53</v>
      </c>
      <c r="E50" s="249">
        <v>20</v>
      </c>
      <c r="F50" s="250">
        <f>SUM(E50*2/100)</f>
        <v>0.4</v>
      </c>
      <c r="G50" s="18">
        <v>2730.49</v>
      </c>
      <c r="H50" s="251">
        <f t="shared" si="6"/>
        <v>1.0921959999999999</v>
      </c>
      <c r="I50" s="18">
        <v>0</v>
      </c>
      <c r="J50" s="34"/>
      <c r="L50" s="27"/>
      <c r="M50" s="28"/>
      <c r="N50" s="29"/>
    </row>
    <row r="51" spans="1:22" ht="15.75" hidden="1" customHeight="1">
      <c r="A51" s="46"/>
      <c r="B51" s="247" t="s">
        <v>48</v>
      </c>
      <c r="C51" s="248" t="s">
        <v>49</v>
      </c>
      <c r="D51" s="247" t="s">
        <v>53</v>
      </c>
      <c r="E51" s="249">
        <v>1</v>
      </c>
      <c r="F51" s="250">
        <v>0.02</v>
      </c>
      <c r="G51" s="18">
        <v>5652.13</v>
      </c>
      <c r="H51" s="251">
        <f t="shared" si="6"/>
        <v>0.11304260000000001</v>
      </c>
      <c r="I51" s="18">
        <v>0</v>
      </c>
      <c r="J51" s="34"/>
      <c r="L51" s="27"/>
      <c r="M51" s="28"/>
      <c r="N51" s="29"/>
    </row>
    <row r="52" spans="1:22" ht="15.75" hidden="1" customHeight="1">
      <c r="A52" s="46">
        <v>16</v>
      </c>
      <c r="B52" s="247" t="s">
        <v>52</v>
      </c>
      <c r="C52" s="248" t="s">
        <v>142</v>
      </c>
      <c r="D52" s="247" t="s">
        <v>89</v>
      </c>
      <c r="E52" s="249">
        <v>128</v>
      </c>
      <c r="F52" s="250">
        <f>SUM(E52)*3</f>
        <v>384</v>
      </c>
      <c r="G52" s="18">
        <v>65.67</v>
      </c>
      <c r="H52" s="251">
        <f t="shared" si="6"/>
        <v>25.217279999999999</v>
      </c>
      <c r="I52" s="18">
        <f>E52*G52</f>
        <v>8405.76</v>
      </c>
      <c r="J52" s="34"/>
      <c r="L52" s="27"/>
      <c r="M52" s="28"/>
      <c r="N52" s="29"/>
    </row>
    <row r="53" spans="1:22" ht="15.75" customHeight="1">
      <c r="A53" s="278" t="s">
        <v>263</v>
      </c>
      <c r="B53" s="279"/>
      <c r="C53" s="279"/>
      <c r="D53" s="279"/>
      <c r="E53" s="279"/>
      <c r="F53" s="279"/>
      <c r="G53" s="279"/>
      <c r="H53" s="279"/>
      <c r="I53" s="280"/>
      <c r="J53" s="34"/>
      <c r="L53" s="27"/>
      <c r="M53" s="28"/>
      <c r="N53" s="29"/>
    </row>
    <row r="54" spans="1:22" ht="15.75" hidden="1" customHeight="1">
      <c r="A54" s="46"/>
      <c r="B54" s="281" t="s">
        <v>54</v>
      </c>
      <c r="C54" s="248"/>
      <c r="D54" s="247"/>
      <c r="E54" s="249"/>
      <c r="F54" s="250"/>
      <c r="G54" s="250"/>
      <c r="H54" s="254"/>
      <c r="I54" s="255"/>
      <c r="J54" s="34"/>
      <c r="L54" s="27"/>
      <c r="M54" s="28"/>
      <c r="N54" s="29"/>
    </row>
    <row r="55" spans="1:22" ht="31.5" hidden="1" customHeight="1">
      <c r="A55" s="46">
        <v>17</v>
      </c>
      <c r="B55" s="247" t="s">
        <v>200</v>
      </c>
      <c r="C55" s="248" t="s">
        <v>163</v>
      </c>
      <c r="D55" s="247" t="s">
        <v>201</v>
      </c>
      <c r="E55" s="249">
        <v>163.30000000000001</v>
      </c>
      <c r="F55" s="250">
        <f>SUM(E55*6/100)</f>
        <v>9.798</v>
      </c>
      <c r="G55" s="18">
        <v>1547.28</v>
      </c>
      <c r="H55" s="251">
        <f>SUM(F55*G55/1000)</f>
        <v>15.160249439999999</v>
      </c>
      <c r="I55" s="18">
        <f>F55/6*G55</f>
        <v>2526.7082399999999</v>
      </c>
      <c r="J55" s="34"/>
      <c r="L55" s="27"/>
      <c r="M55" s="28"/>
      <c r="N55" s="29"/>
    </row>
    <row r="56" spans="1:22" ht="15.75" customHeight="1">
      <c r="A56" s="46"/>
      <c r="B56" s="281" t="s">
        <v>55</v>
      </c>
      <c r="C56" s="248"/>
      <c r="D56" s="247"/>
      <c r="E56" s="249"/>
      <c r="F56" s="250"/>
      <c r="G56" s="250"/>
      <c r="H56" s="251" t="s">
        <v>234</v>
      </c>
      <c r="I56" s="255"/>
      <c r="J56" s="34"/>
      <c r="L56" s="27"/>
      <c r="M56" s="28"/>
      <c r="N56" s="29"/>
    </row>
    <row r="57" spans="1:22" ht="15.75" hidden="1" customHeight="1">
      <c r="A57" s="46"/>
      <c r="B57" s="247" t="s">
        <v>56</v>
      </c>
      <c r="C57" s="248" t="s">
        <v>163</v>
      </c>
      <c r="D57" s="247" t="s">
        <v>66</v>
      </c>
      <c r="E57" s="258">
        <v>1155.2</v>
      </c>
      <c r="F57" s="259">
        <v>11.6</v>
      </c>
      <c r="G57" s="18">
        <v>793.61</v>
      </c>
      <c r="H57" s="260">
        <v>9.1679999999999993</v>
      </c>
      <c r="I57" s="18">
        <v>0</v>
      </c>
      <c r="J57" s="34"/>
      <c r="L57" s="27"/>
      <c r="M57" s="28"/>
      <c r="N57" s="29"/>
    </row>
    <row r="58" spans="1:22" ht="15.75" customHeight="1">
      <c r="A58" s="46">
        <v>12</v>
      </c>
      <c r="B58" s="261" t="s">
        <v>144</v>
      </c>
      <c r="C58" s="262" t="s">
        <v>29</v>
      </c>
      <c r="D58" s="261" t="s">
        <v>35</v>
      </c>
      <c r="E58" s="258">
        <v>255.2</v>
      </c>
      <c r="F58" s="263">
        <v>3062.4</v>
      </c>
      <c r="G58" s="243">
        <v>2.6</v>
      </c>
      <c r="H58" s="264">
        <f>G58*F58/1000</f>
        <v>7.9622400000000004</v>
      </c>
      <c r="I58" s="18">
        <f>F58/12*G58</f>
        <v>663.5200000000001</v>
      </c>
      <c r="J58" s="34"/>
      <c r="L58" s="27"/>
      <c r="M58" s="28"/>
      <c r="N58" s="29"/>
    </row>
    <row r="59" spans="1:22" ht="15.75" customHeight="1">
      <c r="A59" s="46"/>
      <c r="B59" s="294" t="s">
        <v>57</v>
      </c>
      <c r="C59" s="262"/>
      <c r="D59" s="261"/>
      <c r="E59" s="258"/>
      <c r="F59" s="263"/>
      <c r="G59" s="263"/>
      <c r="H59" s="264" t="s">
        <v>234</v>
      </c>
      <c r="I59" s="255"/>
      <c r="J59" s="34"/>
      <c r="L59" s="27"/>
      <c r="M59" s="28"/>
      <c r="N59" s="29"/>
    </row>
    <row r="60" spans="1:22" ht="15.75" customHeight="1">
      <c r="A60" s="46">
        <v>13</v>
      </c>
      <c r="B60" s="20" t="s">
        <v>58</v>
      </c>
      <c r="C60" s="22" t="s">
        <v>142</v>
      </c>
      <c r="D60" s="20" t="s">
        <v>233</v>
      </c>
      <c r="E60" s="25">
        <v>5</v>
      </c>
      <c r="F60" s="250">
        <v>5</v>
      </c>
      <c r="G60" s="18">
        <v>222.4</v>
      </c>
      <c r="H60" s="265">
        <f t="shared" ref="H60:H67" si="7">SUM(F60*G60/1000)</f>
        <v>1.1120000000000001</v>
      </c>
      <c r="I60" s="18">
        <f>G60*4</f>
        <v>889.6</v>
      </c>
      <c r="J60" s="34"/>
      <c r="L60" s="27"/>
    </row>
    <row r="61" spans="1:22" ht="15.75" hidden="1" customHeight="1">
      <c r="A61" s="46"/>
      <c r="B61" s="20" t="s">
        <v>59</v>
      </c>
      <c r="C61" s="22" t="s">
        <v>142</v>
      </c>
      <c r="D61" s="20" t="s">
        <v>233</v>
      </c>
      <c r="E61" s="25">
        <v>4</v>
      </c>
      <c r="F61" s="250">
        <v>4</v>
      </c>
      <c r="G61" s="18">
        <v>76.25</v>
      </c>
      <c r="H61" s="265">
        <f t="shared" si="7"/>
        <v>0.30499999999999999</v>
      </c>
      <c r="I61" s="18">
        <v>0</v>
      </c>
      <c r="J61" s="34"/>
      <c r="L61" s="27"/>
    </row>
    <row r="62" spans="1:22" ht="15.75" hidden="1" customHeight="1">
      <c r="A62" s="46"/>
      <c r="B62" s="20" t="s">
        <v>60</v>
      </c>
      <c r="C62" s="22" t="s">
        <v>202</v>
      </c>
      <c r="D62" s="20" t="s">
        <v>66</v>
      </c>
      <c r="E62" s="249">
        <v>15552</v>
      </c>
      <c r="F62" s="18">
        <f>SUM(E62/100)</f>
        <v>155.52000000000001</v>
      </c>
      <c r="G62" s="18">
        <v>212.15</v>
      </c>
      <c r="H62" s="265">
        <f t="shared" si="7"/>
        <v>32.993568000000003</v>
      </c>
      <c r="I62" s="18">
        <v>0</v>
      </c>
    </row>
    <row r="63" spans="1:22" ht="15.75" hidden="1" customHeight="1">
      <c r="A63" s="46"/>
      <c r="B63" s="20" t="s">
        <v>61</v>
      </c>
      <c r="C63" s="22" t="s">
        <v>203</v>
      </c>
      <c r="D63" s="20"/>
      <c r="E63" s="249">
        <v>15552</v>
      </c>
      <c r="F63" s="18">
        <f>SUM(E63/1000)</f>
        <v>15.552</v>
      </c>
      <c r="G63" s="18">
        <v>165.21</v>
      </c>
      <c r="H63" s="265">
        <f t="shared" si="7"/>
        <v>2.5693459200000004</v>
      </c>
      <c r="I63" s="18">
        <v>0</v>
      </c>
    </row>
    <row r="64" spans="1:22" ht="15.75" hidden="1" customHeight="1">
      <c r="A64" s="46"/>
      <c r="B64" s="20" t="s">
        <v>62</v>
      </c>
      <c r="C64" s="22" t="s">
        <v>96</v>
      </c>
      <c r="D64" s="20" t="s">
        <v>66</v>
      </c>
      <c r="E64" s="249">
        <v>2432</v>
      </c>
      <c r="F64" s="18">
        <f>SUM(E64/100)</f>
        <v>24.32</v>
      </c>
      <c r="G64" s="18">
        <v>2074.63</v>
      </c>
      <c r="H64" s="265">
        <f t="shared" si="7"/>
        <v>50.455001600000003</v>
      </c>
      <c r="I64" s="18"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46"/>
      <c r="B65" s="266" t="s">
        <v>90</v>
      </c>
      <c r="C65" s="22" t="s">
        <v>38</v>
      </c>
      <c r="D65" s="20"/>
      <c r="E65" s="249">
        <v>34.5</v>
      </c>
      <c r="F65" s="18">
        <f>SUM(E65)</f>
        <v>34.5</v>
      </c>
      <c r="G65" s="18">
        <v>45.32</v>
      </c>
      <c r="H65" s="265">
        <f t="shared" si="7"/>
        <v>1.5635399999999999</v>
      </c>
      <c r="I65" s="18">
        <v>0</v>
      </c>
      <c r="J65" s="38"/>
      <c r="K65" s="38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31.5" hidden="1" customHeight="1">
      <c r="A66" s="46"/>
      <c r="B66" s="266" t="s">
        <v>91</v>
      </c>
      <c r="C66" s="22" t="s">
        <v>38</v>
      </c>
      <c r="D66" s="20"/>
      <c r="E66" s="249">
        <f>E65</f>
        <v>34.5</v>
      </c>
      <c r="F66" s="18">
        <f>SUM(E66)</f>
        <v>34.5</v>
      </c>
      <c r="G66" s="18">
        <v>42.28</v>
      </c>
      <c r="H66" s="265">
        <f t="shared" si="7"/>
        <v>1.4586600000000001</v>
      </c>
      <c r="I66" s="18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46"/>
      <c r="B67" s="20" t="s">
        <v>71</v>
      </c>
      <c r="C67" s="22" t="s">
        <v>72</v>
      </c>
      <c r="D67" s="20" t="s">
        <v>66</v>
      </c>
      <c r="E67" s="25">
        <v>4</v>
      </c>
      <c r="F67" s="250">
        <f>SUM(E67)</f>
        <v>4</v>
      </c>
      <c r="G67" s="18">
        <v>49.88</v>
      </c>
      <c r="H67" s="265">
        <f t="shared" si="7"/>
        <v>0.19952</v>
      </c>
      <c r="I67" s="18">
        <v>0</v>
      </c>
      <c r="J67" s="5"/>
      <c r="K67" s="5"/>
      <c r="L67" s="5"/>
      <c r="M67" s="5"/>
      <c r="N67" s="5"/>
      <c r="O67" s="5"/>
      <c r="P67" s="5"/>
      <c r="Q67" s="5"/>
      <c r="R67" s="216"/>
      <c r="S67" s="216"/>
      <c r="T67" s="216"/>
      <c r="U67" s="216"/>
    </row>
    <row r="68" spans="1:21" ht="15.75" hidden="1" customHeight="1">
      <c r="A68" s="46"/>
      <c r="B68" s="210" t="s">
        <v>92</v>
      </c>
      <c r="C68" s="22"/>
      <c r="D68" s="20"/>
      <c r="E68" s="25"/>
      <c r="F68" s="18"/>
      <c r="G68" s="18"/>
      <c r="H68" s="265" t="s">
        <v>234</v>
      </c>
      <c r="I68" s="255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ht="15.75" hidden="1" customHeight="1">
      <c r="A69" s="46">
        <v>19</v>
      </c>
      <c r="B69" s="20" t="s">
        <v>93</v>
      </c>
      <c r="C69" s="22" t="s">
        <v>94</v>
      </c>
      <c r="D69" s="20"/>
      <c r="E69" s="25">
        <v>4</v>
      </c>
      <c r="F69" s="18">
        <v>0.4</v>
      </c>
      <c r="G69" s="18">
        <v>501.62</v>
      </c>
      <c r="H69" s="265">
        <f>SUM(F69*G69/1000)</f>
        <v>0.20064800000000002</v>
      </c>
      <c r="I69" s="18">
        <f>G69*0.2</f>
        <v>100.32400000000001</v>
      </c>
    </row>
    <row r="70" spans="1:21" ht="15.75" hidden="1" customHeight="1">
      <c r="A70" s="46"/>
      <c r="B70" s="20" t="s">
        <v>220</v>
      </c>
      <c r="C70" s="22" t="s">
        <v>142</v>
      </c>
      <c r="D70" s="20"/>
      <c r="E70" s="25">
        <v>1</v>
      </c>
      <c r="F70" s="18">
        <f>E70</f>
        <v>1</v>
      </c>
      <c r="G70" s="18">
        <v>852.99</v>
      </c>
      <c r="H70" s="265">
        <f>SUM(F70*G70/1000)</f>
        <v>0.85299000000000003</v>
      </c>
      <c r="I70" s="18">
        <v>0</v>
      </c>
    </row>
    <row r="71" spans="1:21" ht="15.75" hidden="1" customHeight="1">
      <c r="A71" s="46"/>
      <c r="B71" s="269" t="s">
        <v>95</v>
      </c>
      <c r="C71" s="22"/>
      <c r="D71" s="20"/>
      <c r="E71" s="25"/>
      <c r="F71" s="25"/>
      <c r="G71" s="25"/>
      <c r="H71" s="25"/>
      <c r="I71" s="255"/>
    </row>
    <row r="72" spans="1:21" ht="15.75" hidden="1" customHeight="1">
      <c r="A72" s="46"/>
      <c r="B72" s="81" t="s">
        <v>208</v>
      </c>
      <c r="C72" s="22" t="s">
        <v>96</v>
      </c>
      <c r="D72" s="20"/>
      <c r="E72" s="25"/>
      <c r="F72" s="18">
        <v>0.1</v>
      </c>
      <c r="G72" s="18">
        <v>2759.44</v>
      </c>
      <c r="H72" s="268">
        <f t="shared" ref="H72" si="8">SUM(F72*G72/1000)</f>
        <v>0.27594400000000002</v>
      </c>
      <c r="I72" s="18">
        <v>0</v>
      </c>
    </row>
    <row r="73" spans="1:21" ht="15.75" hidden="1" customHeight="1">
      <c r="A73" s="46"/>
      <c r="B73" s="210" t="s">
        <v>206</v>
      </c>
      <c r="C73" s="269"/>
      <c r="D73" s="51"/>
      <c r="E73" s="53"/>
      <c r="F73" s="270"/>
      <c r="G73" s="270"/>
      <c r="H73" s="271">
        <f>SUM(H55:H72)</f>
        <v>124.27670696000001</v>
      </c>
      <c r="I73" s="253"/>
    </row>
    <row r="74" spans="1:21" ht="15.75" hidden="1" customHeight="1">
      <c r="A74" s="285"/>
      <c r="B74" s="261" t="s">
        <v>207</v>
      </c>
      <c r="C74" s="295"/>
      <c r="D74" s="296"/>
      <c r="E74" s="272"/>
      <c r="F74" s="286">
        <f>232/10</f>
        <v>23.2</v>
      </c>
      <c r="G74" s="286">
        <v>11370</v>
      </c>
      <c r="H74" s="297">
        <f>G74*F74/1000</f>
        <v>263.78399999999999</v>
      </c>
      <c r="I74" s="286">
        <v>0</v>
      </c>
    </row>
    <row r="75" spans="1:21" ht="15.75" customHeight="1">
      <c r="A75" s="282" t="s">
        <v>264</v>
      </c>
      <c r="B75" s="283"/>
      <c r="C75" s="283"/>
      <c r="D75" s="283"/>
      <c r="E75" s="283"/>
      <c r="F75" s="283"/>
      <c r="G75" s="283"/>
      <c r="H75" s="283"/>
      <c r="I75" s="284"/>
    </row>
    <row r="76" spans="1:21" ht="15.75" customHeight="1">
      <c r="A76" s="287">
        <v>14</v>
      </c>
      <c r="B76" s="288" t="s">
        <v>209</v>
      </c>
      <c r="C76" s="298" t="s">
        <v>67</v>
      </c>
      <c r="D76" s="299" t="s">
        <v>68</v>
      </c>
      <c r="E76" s="292">
        <v>3053.4</v>
      </c>
      <c r="F76" s="292">
        <f>SUM(E76*12)</f>
        <v>36640.800000000003</v>
      </c>
      <c r="G76" s="292">
        <v>2.1</v>
      </c>
      <c r="H76" s="300">
        <f>SUM(F76*G76/1000)</f>
        <v>76.94568000000001</v>
      </c>
      <c r="I76" s="292">
        <f>F76/12*G76</f>
        <v>6412.14</v>
      </c>
    </row>
    <row r="77" spans="1:21" ht="31.5" customHeight="1">
      <c r="A77" s="46">
        <v>15</v>
      </c>
      <c r="B77" s="20" t="s">
        <v>97</v>
      </c>
      <c r="C77" s="22"/>
      <c r="D77" s="299" t="s">
        <v>68</v>
      </c>
      <c r="E77" s="249">
        <f>E76</f>
        <v>3053.4</v>
      </c>
      <c r="F77" s="18">
        <f>E77*12</f>
        <v>36640.800000000003</v>
      </c>
      <c r="G77" s="18">
        <v>1.63</v>
      </c>
      <c r="H77" s="268">
        <f>F77*G77/1000</f>
        <v>59.724504000000003</v>
      </c>
      <c r="I77" s="18">
        <f>F77/12*G77</f>
        <v>4977.0419999999995</v>
      </c>
    </row>
    <row r="78" spans="1:21" ht="15.75" customHeight="1">
      <c r="A78" s="46"/>
      <c r="B78" s="68" t="s">
        <v>102</v>
      </c>
      <c r="C78" s="269"/>
      <c r="D78" s="267"/>
      <c r="E78" s="270"/>
      <c r="F78" s="270"/>
      <c r="G78" s="270"/>
      <c r="H78" s="271">
        <f>SUM(H77)</f>
        <v>59.724504000000003</v>
      </c>
      <c r="I78" s="270">
        <f>I16+I17+I18+I20+I21+I23+I25+I26+I29+I30+I32+I58+I60+I76+I77</f>
        <v>37800.298845888887</v>
      </c>
    </row>
    <row r="79" spans="1:21" ht="15.75" customHeight="1">
      <c r="A79" s="46"/>
      <c r="B79" s="198" t="s">
        <v>74</v>
      </c>
      <c r="C79" s="22"/>
      <c r="D79" s="81"/>
      <c r="E79" s="18"/>
      <c r="F79" s="18"/>
      <c r="G79" s="18"/>
      <c r="H79" s="23"/>
      <c r="I79" s="255"/>
    </row>
    <row r="80" spans="1:21" ht="15.75" customHeight="1">
      <c r="A80" s="46">
        <v>16</v>
      </c>
      <c r="B80" s="199" t="s">
        <v>173</v>
      </c>
      <c r="C80" s="200" t="s">
        <v>142</v>
      </c>
      <c r="D80" s="81"/>
      <c r="E80" s="18"/>
      <c r="F80" s="18">
        <v>780</v>
      </c>
      <c r="G80" s="18">
        <v>50.68</v>
      </c>
      <c r="H80" s="268">
        <f>G80*F80/1000</f>
        <v>39.5304</v>
      </c>
      <c r="I80" s="18">
        <f>G80*65</f>
        <v>3294.2</v>
      </c>
    </row>
    <row r="81" spans="1:9" ht="15.75" customHeight="1">
      <c r="A81" s="46">
        <v>17</v>
      </c>
      <c r="B81" s="199" t="s">
        <v>107</v>
      </c>
      <c r="C81" s="200" t="s">
        <v>142</v>
      </c>
      <c r="D81" s="81"/>
      <c r="E81" s="18"/>
      <c r="F81" s="18">
        <v>5</v>
      </c>
      <c r="G81" s="18">
        <v>180.15</v>
      </c>
      <c r="H81" s="268">
        <f t="shared" ref="H81:H87" si="9">F81*G81/1000</f>
        <v>0.90075000000000005</v>
      </c>
      <c r="I81" s="18">
        <f>G81*2</f>
        <v>360.3</v>
      </c>
    </row>
    <row r="82" spans="1:9" ht="15.75" customHeight="1">
      <c r="A82" s="46">
        <v>18</v>
      </c>
      <c r="B82" s="199" t="s">
        <v>242</v>
      </c>
      <c r="C82" s="200" t="s">
        <v>113</v>
      </c>
      <c r="D82" s="81"/>
      <c r="E82" s="18"/>
      <c r="F82" s="18">
        <v>2</v>
      </c>
      <c r="G82" s="18">
        <v>185.81</v>
      </c>
      <c r="H82" s="268">
        <f t="shared" si="9"/>
        <v>0.37162000000000001</v>
      </c>
      <c r="I82" s="18">
        <f>G82</f>
        <v>185.81</v>
      </c>
    </row>
    <row r="83" spans="1:9" ht="15.75" customHeight="1">
      <c r="A83" s="46">
        <v>19</v>
      </c>
      <c r="B83" s="199" t="s">
        <v>243</v>
      </c>
      <c r="C83" s="200" t="s">
        <v>175</v>
      </c>
      <c r="D83" s="81"/>
      <c r="E83" s="18"/>
      <c r="F83" s="18">
        <v>1</v>
      </c>
      <c r="G83" s="18">
        <v>3498.23</v>
      </c>
      <c r="H83" s="268">
        <f t="shared" si="9"/>
        <v>3.49823</v>
      </c>
      <c r="I83" s="18">
        <f>G83</f>
        <v>3498.23</v>
      </c>
    </row>
    <row r="84" spans="1:9" ht="15.75" customHeight="1">
      <c r="A84" s="46">
        <v>20</v>
      </c>
      <c r="B84" s="199" t="s">
        <v>244</v>
      </c>
      <c r="C84" s="200" t="s">
        <v>175</v>
      </c>
      <c r="D84" s="81"/>
      <c r="E84" s="18"/>
      <c r="F84" s="18">
        <v>1</v>
      </c>
      <c r="G84" s="18">
        <v>5860.39</v>
      </c>
      <c r="H84" s="268">
        <f t="shared" si="9"/>
        <v>5.8603900000000007</v>
      </c>
      <c r="I84" s="18">
        <f>G84</f>
        <v>5860.39</v>
      </c>
    </row>
    <row r="85" spans="1:9" ht="15.75" customHeight="1">
      <c r="A85" s="46">
        <v>21</v>
      </c>
      <c r="B85" s="199" t="s">
        <v>245</v>
      </c>
      <c r="C85" s="200" t="s">
        <v>175</v>
      </c>
      <c r="D85" s="81"/>
      <c r="E85" s="18"/>
      <c r="F85" s="18">
        <v>2</v>
      </c>
      <c r="G85" s="18">
        <v>7226.23</v>
      </c>
      <c r="H85" s="268">
        <f t="shared" si="9"/>
        <v>14.452459999999999</v>
      </c>
      <c r="I85" s="18">
        <f>G85*2</f>
        <v>14452.46</v>
      </c>
    </row>
    <row r="86" spans="1:9" ht="31.5" customHeight="1">
      <c r="A86" s="46">
        <v>22</v>
      </c>
      <c r="B86" s="199" t="s">
        <v>246</v>
      </c>
      <c r="C86" s="200" t="s">
        <v>34</v>
      </c>
      <c r="D86" s="81"/>
      <c r="E86" s="18"/>
      <c r="F86" s="23">
        <f>1/1000</f>
        <v>1E-3</v>
      </c>
      <c r="G86" s="18">
        <v>1510.06</v>
      </c>
      <c r="H86" s="268">
        <f t="shared" si="9"/>
        <v>1.5100599999999999E-3</v>
      </c>
      <c r="I86" s="18">
        <f>G86*0.001</f>
        <v>1.51006</v>
      </c>
    </row>
    <row r="87" spans="1:9" ht="15.75" customHeight="1">
      <c r="A87" s="46">
        <v>23</v>
      </c>
      <c r="B87" s="199" t="s">
        <v>247</v>
      </c>
      <c r="C87" s="200" t="s">
        <v>248</v>
      </c>
      <c r="D87" s="81"/>
      <c r="E87" s="18"/>
      <c r="F87" s="18">
        <f>1/100</f>
        <v>0.01</v>
      </c>
      <c r="G87" s="18">
        <v>7033.13</v>
      </c>
      <c r="H87" s="268">
        <f t="shared" si="9"/>
        <v>7.0331299999999999E-2</v>
      </c>
      <c r="I87" s="18">
        <f>G87*0.01</f>
        <v>70.331299999999999</v>
      </c>
    </row>
    <row r="88" spans="1:9" ht="15.75" customHeight="1">
      <c r="A88" s="46"/>
      <c r="B88" s="75" t="s">
        <v>63</v>
      </c>
      <c r="C88" s="71"/>
      <c r="D88" s="123"/>
      <c r="E88" s="71">
        <v>1</v>
      </c>
      <c r="F88" s="71"/>
      <c r="G88" s="71"/>
      <c r="H88" s="71"/>
      <c r="I88" s="53">
        <f>SUM(I80:I87)</f>
        <v>27723.231360000002</v>
      </c>
    </row>
    <row r="89" spans="1:9" ht="15.75" customHeight="1">
      <c r="A89" s="46"/>
      <c r="B89" s="81" t="s">
        <v>98</v>
      </c>
      <c r="C89" s="21"/>
      <c r="D89" s="21"/>
      <c r="E89" s="72"/>
      <c r="F89" s="72"/>
      <c r="G89" s="73"/>
      <c r="H89" s="73"/>
      <c r="I89" s="24">
        <v>0</v>
      </c>
    </row>
    <row r="90" spans="1:9" ht="15.75" customHeight="1">
      <c r="A90" s="124"/>
      <c r="B90" s="76" t="s">
        <v>64</v>
      </c>
      <c r="C90" s="59"/>
      <c r="D90" s="59"/>
      <c r="E90" s="59"/>
      <c r="F90" s="59"/>
      <c r="G90" s="59"/>
      <c r="H90" s="59"/>
      <c r="I90" s="74">
        <f>I78+I88</f>
        <v>65523.530205888892</v>
      </c>
    </row>
    <row r="91" spans="1:9" ht="15.75">
      <c r="A91" s="240" t="s">
        <v>275</v>
      </c>
      <c r="B91" s="240"/>
      <c r="C91" s="240"/>
      <c r="D91" s="240"/>
      <c r="E91" s="240"/>
      <c r="F91" s="240"/>
      <c r="G91" s="240"/>
      <c r="H91" s="240"/>
      <c r="I91" s="240"/>
    </row>
    <row r="92" spans="1:9" ht="15.75">
      <c r="A92" s="205"/>
      <c r="B92" s="241" t="s">
        <v>276</v>
      </c>
      <c r="C92" s="241"/>
      <c r="D92" s="241"/>
      <c r="E92" s="241"/>
      <c r="F92" s="241"/>
      <c r="G92" s="241"/>
      <c r="H92" s="246"/>
      <c r="I92" s="3"/>
    </row>
    <row r="93" spans="1:9">
      <c r="A93" s="208"/>
      <c r="B93" s="222" t="s">
        <v>7</v>
      </c>
      <c r="C93" s="222"/>
      <c r="D93" s="222"/>
      <c r="E93" s="222"/>
      <c r="F93" s="222"/>
      <c r="G93" s="222"/>
      <c r="H93" s="37"/>
      <c r="I93" s="5"/>
    </row>
    <row r="94" spans="1:9" ht="15.75" customHeight="1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15.75" customHeight="1">
      <c r="A95" s="217" t="s">
        <v>8</v>
      </c>
      <c r="B95" s="217"/>
      <c r="C95" s="217"/>
      <c r="D95" s="217"/>
      <c r="E95" s="217"/>
      <c r="F95" s="217"/>
      <c r="G95" s="217"/>
      <c r="H95" s="217"/>
      <c r="I95" s="217"/>
    </row>
    <row r="96" spans="1:9" ht="15.75" customHeight="1">
      <c r="A96" s="217" t="s">
        <v>9</v>
      </c>
      <c r="B96" s="217"/>
      <c r="C96" s="217"/>
      <c r="D96" s="217"/>
      <c r="E96" s="217"/>
      <c r="F96" s="217"/>
      <c r="G96" s="217"/>
      <c r="H96" s="217"/>
      <c r="I96" s="217"/>
    </row>
    <row r="97" spans="1:9" ht="15.75" customHeight="1">
      <c r="A97" s="219" t="s">
        <v>76</v>
      </c>
      <c r="B97" s="219"/>
      <c r="C97" s="219"/>
      <c r="D97" s="219"/>
      <c r="E97" s="219"/>
      <c r="F97" s="219"/>
      <c r="G97" s="219"/>
      <c r="H97" s="219"/>
      <c r="I97" s="219"/>
    </row>
    <row r="98" spans="1:9" ht="15.75" customHeight="1">
      <c r="A98" s="12"/>
    </row>
    <row r="99" spans="1:9" ht="15.75" customHeight="1">
      <c r="A99" s="220" t="s">
        <v>11</v>
      </c>
      <c r="B99" s="220"/>
      <c r="C99" s="220"/>
      <c r="D99" s="220"/>
      <c r="E99" s="220"/>
      <c r="F99" s="220"/>
      <c r="G99" s="220"/>
      <c r="H99" s="220"/>
      <c r="I99" s="220"/>
    </row>
    <row r="100" spans="1:9" ht="15.75" customHeight="1">
      <c r="A100" s="4"/>
    </row>
    <row r="101" spans="1:9" ht="15.75" customHeight="1">
      <c r="B101" s="204" t="s">
        <v>12</v>
      </c>
      <c r="C101" s="224" t="s">
        <v>136</v>
      </c>
      <c r="D101" s="224"/>
      <c r="E101" s="224"/>
      <c r="F101" s="244"/>
      <c r="I101" s="207"/>
    </row>
    <row r="102" spans="1:9" ht="15.75" customHeight="1">
      <c r="A102" s="208"/>
      <c r="C102" s="222" t="s">
        <v>13</v>
      </c>
      <c r="D102" s="222"/>
      <c r="E102" s="222"/>
      <c r="F102" s="37"/>
      <c r="I102" s="206" t="s">
        <v>14</v>
      </c>
    </row>
    <row r="103" spans="1:9" ht="15.75" customHeight="1">
      <c r="A103" s="38"/>
      <c r="C103" s="13"/>
      <c r="D103" s="13"/>
      <c r="G103" s="13"/>
      <c r="H103" s="13"/>
    </row>
    <row r="104" spans="1:9" ht="15.75" customHeight="1">
      <c r="B104" s="204" t="s">
        <v>15</v>
      </c>
      <c r="C104" s="223"/>
      <c r="D104" s="223"/>
      <c r="E104" s="223"/>
      <c r="F104" s="245"/>
      <c r="I104" s="207"/>
    </row>
    <row r="105" spans="1:9" ht="15.75" customHeight="1">
      <c r="A105" s="208"/>
      <c r="C105" s="216" t="s">
        <v>13</v>
      </c>
      <c r="D105" s="216"/>
      <c r="E105" s="216"/>
      <c r="F105" s="208"/>
      <c r="I105" s="206" t="s">
        <v>14</v>
      </c>
    </row>
    <row r="106" spans="1:9" ht="15.75" customHeight="1">
      <c r="A106" s="4" t="s">
        <v>16</v>
      </c>
    </row>
    <row r="107" spans="1:9">
      <c r="A107" s="234" t="s">
        <v>17</v>
      </c>
      <c r="B107" s="234"/>
      <c r="C107" s="234"/>
      <c r="D107" s="234"/>
      <c r="E107" s="234"/>
      <c r="F107" s="234"/>
      <c r="G107" s="234"/>
      <c r="H107" s="234"/>
      <c r="I107" s="234"/>
    </row>
    <row r="108" spans="1:9" ht="47.25" customHeight="1">
      <c r="A108" s="235" t="s">
        <v>18</v>
      </c>
      <c r="B108" s="235"/>
      <c r="C108" s="235"/>
      <c r="D108" s="235"/>
      <c r="E108" s="235"/>
      <c r="F108" s="235"/>
      <c r="G108" s="235"/>
      <c r="H108" s="235"/>
      <c r="I108" s="235"/>
    </row>
    <row r="109" spans="1:9" ht="31.5" customHeight="1">
      <c r="A109" s="235" t="s">
        <v>19</v>
      </c>
      <c r="B109" s="235"/>
      <c r="C109" s="235"/>
      <c r="D109" s="235"/>
      <c r="E109" s="235"/>
      <c r="F109" s="235"/>
      <c r="G109" s="235"/>
      <c r="H109" s="235"/>
      <c r="I109" s="235"/>
    </row>
    <row r="110" spans="1:9" ht="31.5" customHeight="1">
      <c r="A110" s="235" t="s">
        <v>24</v>
      </c>
      <c r="B110" s="235"/>
      <c r="C110" s="235"/>
      <c r="D110" s="235"/>
      <c r="E110" s="235"/>
      <c r="F110" s="235"/>
      <c r="G110" s="235"/>
      <c r="H110" s="235"/>
      <c r="I110" s="235"/>
    </row>
    <row r="111" spans="1:9" ht="15.75">
      <c r="A111" s="235" t="s">
        <v>23</v>
      </c>
      <c r="B111" s="235"/>
      <c r="C111" s="235"/>
      <c r="D111" s="235"/>
      <c r="E111" s="235"/>
      <c r="F111" s="235"/>
      <c r="G111" s="235"/>
      <c r="H111" s="235"/>
      <c r="I111" s="235"/>
    </row>
  </sheetData>
  <autoFilter ref="I12:I62"/>
  <mergeCells count="28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1:I91"/>
    <mergeCell ref="B92:G92"/>
    <mergeCell ref="B93:G93"/>
    <mergeCell ref="A95:I95"/>
    <mergeCell ref="A96:I96"/>
    <mergeCell ref="A97:I97"/>
    <mergeCell ref="A15:I15"/>
    <mergeCell ref="A27:I27"/>
    <mergeCell ref="A42:I42"/>
    <mergeCell ref="A53:I53"/>
    <mergeCell ref="R67:U67"/>
    <mergeCell ref="A75:I7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123</v>
      </c>
      <c r="I1" s="40"/>
      <c r="J1" s="1"/>
      <c r="K1" s="1"/>
      <c r="L1" s="1"/>
      <c r="M1" s="1"/>
    </row>
    <row r="2" spans="1:13" ht="15.75" customHeight="1">
      <c r="A2" s="42" t="s">
        <v>79</v>
      </c>
      <c r="J2" s="2"/>
      <c r="K2" s="2"/>
      <c r="L2" s="2"/>
      <c r="M2" s="2"/>
    </row>
    <row r="3" spans="1:13" ht="15.75" customHeight="1">
      <c r="A3" s="236" t="s">
        <v>278</v>
      </c>
      <c r="B3" s="236"/>
      <c r="C3" s="236"/>
      <c r="D3" s="236"/>
      <c r="E3" s="236"/>
      <c r="F3" s="236"/>
      <c r="G3" s="236"/>
      <c r="H3" s="236"/>
      <c r="I3" s="236"/>
      <c r="J3" s="3"/>
      <c r="K3" s="3"/>
      <c r="L3" s="3"/>
    </row>
    <row r="4" spans="1:13" ht="31.5" customHeight="1">
      <c r="A4" s="237" t="s">
        <v>211</v>
      </c>
      <c r="B4" s="237"/>
      <c r="C4" s="237"/>
      <c r="D4" s="237"/>
      <c r="E4" s="237"/>
      <c r="F4" s="237"/>
      <c r="G4" s="237"/>
      <c r="H4" s="237"/>
      <c r="I4" s="237"/>
    </row>
    <row r="5" spans="1:13" ht="15.75" customHeight="1">
      <c r="A5" s="236" t="s">
        <v>109</v>
      </c>
      <c r="B5" s="238"/>
      <c r="C5" s="238"/>
      <c r="D5" s="238"/>
      <c r="E5" s="238"/>
      <c r="F5" s="238"/>
      <c r="G5" s="238"/>
      <c r="H5" s="238"/>
      <c r="I5" s="238"/>
      <c r="J5" s="2"/>
      <c r="K5" s="2"/>
      <c r="L5" s="2"/>
      <c r="M5" s="2"/>
    </row>
    <row r="6" spans="1:13" ht="15.75" customHeight="1">
      <c r="A6" s="2"/>
      <c r="B6" s="209"/>
      <c r="C6" s="209"/>
      <c r="D6" s="209"/>
      <c r="E6" s="209"/>
      <c r="F6" s="209"/>
      <c r="G6" s="209"/>
      <c r="H6" s="209"/>
      <c r="I6" s="50">
        <v>42582</v>
      </c>
      <c r="J6" s="2"/>
      <c r="K6" s="2"/>
      <c r="L6" s="2"/>
      <c r="M6" s="2"/>
    </row>
    <row r="7" spans="1:13" ht="15.75" customHeight="1">
      <c r="B7" s="204"/>
      <c r="C7" s="204"/>
      <c r="D7" s="20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4" t="s">
        <v>226</v>
      </c>
      <c r="B8" s="214"/>
      <c r="C8" s="214"/>
      <c r="D8" s="214"/>
      <c r="E8" s="214"/>
      <c r="F8" s="214"/>
      <c r="G8" s="214"/>
      <c r="H8" s="214"/>
      <c r="I8" s="21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5" t="s">
        <v>212</v>
      </c>
      <c r="B10" s="215"/>
      <c r="C10" s="215"/>
      <c r="D10" s="215"/>
      <c r="E10" s="215"/>
      <c r="F10" s="215"/>
      <c r="G10" s="215"/>
      <c r="H10" s="215"/>
      <c r="I10" s="21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9" t="s">
        <v>73</v>
      </c>
      <c r="B14" s="239"/>
      <c r="C14" s="239"/>
      <c r="D14" s="239"/>
      <c r="E14" s="239"/>
      <c r="F14" s="239"/>
      <c r="G14" s="239"/>
      <c r="H14" s="239"/>
      <c r="I14" s="239"/>
      <c r="J14" s="8"/>
      <c r="K14" s="8"/>
      <c r="L14" s="8"/>
      <c r="M14" s="8"/>
    </row>
    <row r="15" spans="1:13" ht="15.75" customHeight="1">
      <c r="A15" s="277" t="s">
        <v>4</v>
      </c>
      <c r="B15" s="277"/>
      <c r="C15" s="277"/>
      <c r="D15" s="277"/>
      <c r="E15" s="277"/>
      <c r="F15" s="277"/>
      <c r="G15" s="277"/>
      <c r="H15" s="277"/>
      <c r="I15" s="277"/>
      <c r="J15" s="8"/>
      <c r="K15" s="8"/>
      <c r="L15" s="8"/>
      <c r="M15" s="8"/>
    </row>
    <row r="16" spans="1:13" ht="31.5" customHeight="1">
      <c r="A16" s="46">
        <v>1</v>
      </c>
      <c r="B16" s="247" t="s">
        <v>125</v>
      </c>
      <c r="C16" s="248" t="s">
        <v>163</v>
      </c>
      <c r="D16" s="247" t="s">
        <v>228</v>
      </c>
      <c r="E16" s="249">
        <v>92.5</v>
      </c>
      <c r="F16" s="250">
        <f>SUM(E16*156/100)</f>
        <v>144.30000000000001</v>
      </c>
      <c r="G16" s="250">
        <v>175.38</v>
      </c>
      <c r="H16" s="251">
        <f t="shared" ref="H16:H24" si="0">SUM(F16*G16/1000)</f>
        <v>25.307334000000001</v>
      </c>
      <c r="I16" s="18">
        <f>F16/12*G16</f>
        <v>2108.9445000000001</v>
      </c>
      <c r="J16" s="8"/>
      <c r="K16" s="8"/>
      <c r="L16" s="8"/>
      <c r="M16" s="8"/>
    </row>
    <row r="17" spans="1:13" ht="31.5" customHeight="1">
      <c r="A17" s="46">
        <v>2</v>
      </c>
      <c r="B17" s="247" t="s">
        <v>185</v>
      </c>
      <c r="C17" s="248" t="s">
        <v>163</v>
      </c>
      <c r="D17" s="247" t="s">
        <v>229</v>
      </c>
      <c r="E17" s="249">
        <v>288.8</v>
      </c>
      <c r="F17" s="250">
        <f>SUM(E17*104/100)</f>
        <v>300.35200000000003</v>
      </c>
      <c r="G17" s="250">
        <v>175.38</v>
      </c>
      <c r="H17" s="251">
        <f t="shared" si="0"/>
        <v>52.67573376</v>
      </c>
      <c r="I17" s="18">
        <f>F17/12*G17</f>
        <v>4389.6444800000008</v>
      </c>
      <c r="J17" s="33"/>
      <c r="K17" s="8"/>
      <c r="L17" s="8"/>
      <c r="M17" s="8"/>
    </row>
    <row r="18" spans="1:13" ht="31.5" customHeight="1">
      <c r="A18" s="46">
        <v>3</v>
      </c>
      <c r="B18" s="247" t="s">
        <v>252</v>
      </c>
      <c r="C18" s="248" t="s">
        <v>163</v>
      </c>
      <c r="D18" s="247" t="s">
        <v>253</v>
      </c>
      <c r="E18" s="249">
        <f>SUM(E16+E17)</f>
        <v>381.3</v>
      </c>
      <c r="F18" s="250">
        <f>SUM(E18*12/100)</f>
        <v>45.756</v>
      </c>
      <c r="G18" s="250">
        <v>504.5</v>
      </c>
      <c r="H18" s="251">
        <f t="shared" si="0"/>
        <v>23.083902000000002</v>
      </c>
      <c r="I18" s="18">
        <f>F18/12*G18</f>
        <v>1923.6585</v>
      </c>
      <c r="J18" s="33"/>
      <c r="K18" s="8"/>
      <c r="L18" s="8"/>
      <c r="M18" s="8"/>
    </row>
    <row r="19" spans="1:13" ht="15.75" hidden="1" customHeight="1">
      <c r="A19" s="46">
        <v>4</v>
      </c>
      <c r="B19" s="247" t="s">
        <v>187</v>
      </c>
      <c r="C19" s="248" t="s">
        <v>188</v>
      </c>
      <c r="D19" s="247" t="s">
        <v>189</v>
      </c>
      <c r="E19" s="249">
        <v>19.2</v>
      </c>
      <c r="F19" s="250">
        <f>SUM(E19/10)</f>
        <v>1.92</v>
      </c>
      <c r="G19" s="250">
        <v>170.16</v>
      </c>
      <c r="H19" s="251">
        <f t="shared" si="0"/>
        <v>0.32670719999999998</v>
      </c>
      <c r="I19" s="18">
        <v>0</v>
      </c>
      <c r="J19" s="33"/>
      <c r="K19" s="8"/>
      <c r="L19" s="8"/>
      <c r="M19" s="8"/>
    </row>
    <row r="20" spans="1:13" ht="15.75" customHeight="1">
      <c r="A20" s="46">
        <v>4</v>
      </c>
      <c r="B20" s="247" t="s">
        <v>162</v>
      </c>
      <c r="C20" s="248" t="s">
        <v>163</v>
      </c>
      <c r="D20" s="247" t="s">
        <v>35</v>
      </c>
      <c r="E20" s="249">
        <v>27.3</v>
      </c>
      <c r="F20" s="250">
        <f>SUM(E20*12/100)</f>
        <v>3.2760000000000002</v>
      </c>
      <c r="G20" s="250">
        <v>217.88</v>
      </c>
      <c r="H20" s="251">
        <f t="shared" si="0"/>
        <v>0.71377488</v>
      </c>
      <c r="I20" s="18">
        <f>F20/12*G20</f>
        <v>59.48124</v>
      </c>
      <c r="J20" s="33"/>
      <c r="K20" s="8"/>
      <c r="L20" s="8"/>
      <c r="M20" s="8"/>
    </row>
    <row r="21" spans="1:13" ht="15.75" customHeight="1">
      <c r="A21" s="46">
        <v>5</v>
      </c>
      <c r="B21" s="247" t="s">
        <v>178</v>
      </c>
      <c r="C21" s="248" t="s">
        <v>163</v>
      </c>
      <c r="D21" s="247" t="s">
        <v>35</v>
      </c>
      <c r="E21" s="249">
        <v>9.08</v>
      </c>
      <c r="F21" s="250">
        <f>SUM(E21*12/100)</f>
        <v>1.0896000000000001</v>
      </c>
      <c r="G21" s="250">
        <v>216.12</v>
      </c>
      <c r="H21" s="251">
        <f t="shared" si="0"/>
        <v>0.23548435200000004</v>
      </c>
      <c r="I21" s="18">
        <f>F21/12*G21</f>
        <v>19.623696000000002</v>
      </c>
      <c r="J21" s="33"/>
      <c r="K21" s="8"/>
      <c r="L21" s="8"/>
      <c r="M21" s="8"/>
    </row>
    <row r="22" spans="1:13" ht="15.75" hidden="1" customHeight="1">
      <c r="A22" s="46">
        <v>7</v>
      </c>
      <c r="B22" s="247" t="s">
        <v>166</v>
      </c>
      <c r="C22" s="248" t="s">
        <v>65</v>
      </c>
      <c r="D22" s="247" t="s">
        <v>189</v>
      </c>
      <c r="E22" s="252">
        <v>12.6</v>
      </c>
      <c r="F22" s="250">
        <f>SUM(E22/100)</f>
        <v>0.126</v>
      </c>
      <c r="G22" s="250">
        <v>44.29</v>
      </c>
      <c r="H22" s="251">
        <f t="shared" si="0"/>
        <v>5.5805400000000002E-3</v>
      </c>
      <c r="I22" s="18">
        <v>0</v>
      </c>
      <c r="J22" s="33"/>
      <c r="K22" s="8"/>
      <c r="L22" s="8"/>
      <c r="M22" s="8"/>
    </row>
    <row r="23" spans="1:13" ht="15.75" customHeight="1">
      <c r="A23" s="46">
        <v>6</v>
      </c>
      <c r="B23" s="247" t="s">
        <v>168</v>
      </c>
      <c r="C23" s="248" t="s">
        <v>65</v>
      </c>
      <c r="D23" s="247" t="s">
        <v>169</v>
      </c>
      <c r="E23" s="249">
        <v>20</v>
      </c>
      <c r="F23" s="250">
        <f>E23*12/100</f>
        <v>2.4</v>
      </c>
      <c r="G23" s="250">
        <v>389.72</v>
      </c>
      <c r="H23" s="251">
        <f t="shared" si="0"/>
        <v>0.93532799999999994</v>
      </c>
      <c r="I23" s="18">
        <f>F23/12*G23</f>
        <v>77.944000000000003</v>
      </c>
      <c r="J23" s="33"/>
      <c r="K23" s="8"/>
      <c r="L23" s="8"/>
      <c r="M23" s="8"/>
    </row>
    <row r="24" spans="1:13" ht="15.75" hidden="1" customHeight="1">
      <c r="A24" s="46">
        <v>9</v>
      </c>
      <c r="B24" s="247" t="s">
        <v>170</v>
      </c>
      <c r="C24" s="248" t="s">
        <v>65</v>
      </c>
      <c r="D24" s="247" t="s">
        <v>189</v>
      </c>
      <c r="E24" s="249">
        <v>17</v>
      </c>
      <c r="F24" s="250">
        <f>SUM(E24/100)</f>
        <v>0.17</v>
      </c>
      <c r="G24" s="250">
        <v>520.79999999999995</v>
      </c>
      <c r="H24" s="251">
        <f t="shared" si="0"/>
        <v>8.8536000000000004E-2</v>
      </c>
      <c r="I24" s="18">
        <v>0</v>
      </c>
      <c r="J24" s="33"/>
      <c r="K24" s="8"/>
      <c r="L24" s="8"/>
      <c r="M24" s="8"/>
    </row>
    <row r="25" spans="1:13" ht="15.75" customHeight="1">
      <c r="A25" s="46">
        <v>7</v>
      </c>
      <c r="B25" s="247" t="s">
        <v>81</v>
      </c>
      <c r="C25" s="248" t="s">
        <v>38</v>
      </c>
      <c r="D25" s="247" t="s">
        <v>232</v>
      </c>
      <c r="E25" s="249">
        <v>0.1</v>
      </c>
      <c r="F25" s="250">
        <f>SUM(E25*365)</f>
        <v>36.5</v>
      </c>
      <c r="G25" s="250">
        <v>147.03</v>
      </c>
      <c r="H25" s="251">
        <f>SUM(F25*G25/1000)</f>
        <v>5.3665950000000002</v>
      </c>
      <c r="I25" s="18">
        <f>F25/12*G25</f>
        <v>447.21625</v>
      </c>
      <c r="J25" s="33"/>
      <c r="K25" s="8"/>
      <c r="L25" s="8"/>
      <c r="M25" s="8"/>
    </row>
    <row r="26" spans="1:13" ht="15.75" customHeight="1">
      <c r="A26" s="46">
        <v>8</v>
      </c>
      <c r="B26" s="257" t="s">
        <v>26</v>
      </c>
      <c r="C26" s="248" t="s">
        <v>27</v>
      </c>
      <c r="D26" s="257" t="s">
        <v>234</v>
      </c>
      <c r="E26" s="249">
        <v>3053.4</v>
      </c>
      <c r="F26" s="250">
        <f>SUM(E26*12)</f>
        <v>36640.800000000003</v>
      </c>
      <c r="G26" s="250">
        <v>4.55</v>
      </c>
      <c r="H26" s="251">
        <f>SUM(F26*G26/1000)</f>
        <v>166.71564000000001</v>
      </c>
      <c r="I26" s="18">
        <f>F26/12*G26</f>
        <v>13892.97</v>
      </c>
      <c r="J26" s="34"/>
    </row>
    <row r="27" spans="1:13" ht="15.75" customHeight="1">
      <c r="A27" s="278" t="s">
        <v>120</v>
      </c>
      <c r="B27" s="279"/>
      <c r="C27" s="279"/>
      <c r="D27" s="279"/>
      <c r="E27" s="279"/>
      <c r="F27" s="279"/>
      <c r="G27" s="279"/>
      <c r="H27" s="279"/>
      <c r="I27" s="280"/>
      <c r="J27" s="33"/>
      <c r="K27" s="8"/>
      <c r="L27" s="8"/>
      <c r="M27" s="8"/>
    </row>
    <row r="28" spans="1:13" ht="15.75" customHeight="1">
      <c r="A28" s="46"/>
      <c r="B28" s="281" t="s">
        <v>33</v>
      </c>
      <c r="C28" s="248"/>
      <c r="D28" s="247"/>
      <c r="E28" s="249"/>
      <c r="F28" s="250"/>
      <c r="G28" s="250"/>
      <c r="H28" s="254"/>
      <c r="I28" s="255"/>
      <c r="J28" s="33"/>
      <c r="K28" s="8"/>
      <c r="L28" s="8"/>
      <c r="M28" s="8"/>
    </row>
    <row r="29" spans="1:13" ht="31.5" customHeight="1">
      <c r="A29" s="46">
        <v>9</v>
      </c>
      <c r="B29" s="247" t="s">
        <v>190</v>
      </c>
      <c r="C29" s="248" t="s">
        <v>191</v>
      </c>
      <c r="D29" s="247" t="s">
        <v>230</v>
      </c>
      <c r="E29" s="250">
        <v>561.6</v>
      </c>
      <c r="F29" s="250">
        <f>SUM(E29*52/1000)</f>
        <v>29.203200000000002</v>
      </c>
      <c r="G29" s="250">
        <v>155.88999999999999</v>
      </c>
      <c r="H29" s="251">
        <f t="shared" ref="H29:H34" si="1">SUM(F29*G29/1000)</f>
        <v>4.5524868479999991</v>
      </c>
      <c r="I29" s="18">
        <f t="shared" ref="I29:I32" si="2">F29/6*G29</f>
        <v>758.74780799999996</v>
      </c>
      <c r="J29" s="33"/>
      <c r="K29" s="8"/>
      <c r="L29" s="8"/>
      <c r="M29" s="8"/>
    </row>
    <row r="30" spans="1:13" ht="31.5" customHeight="1">
      <c r="A30" s="46">
        <v>10</v>
      </c>
      <c r="B30" s="247" t="s">
        <v>254</v>
      </c>
      <c r="C30" s="248" t="s">
        <v>191</v>
      </c>
      <c r="D30" s="247" t="s">
        <v>231</v>
      </c>
      <c r="E30" s="250">
        <v>205.7</v>
      </c>
      <c r="F30" s="250">
        <f>SUM(E30*78/1000)</f>
        <v>16.044599999999999</v>
      </c>
      <c r="G30" s="250">
        <v>258.63</v>
      </c>
      <c r="H30" s="251">
        <f t="shared" si="1"/>
        <v>4.1496148979999994</v>
      </c>
      <c r="I30" s="18">
        <f t="shared" si="2"/>
        <v>691.60248299999989</v>
      </c>
      <c r="J30" s="33"/>
      <c r="K30" s="8"/>
      <c r="L30" s="8"/>
      <c r="M30" s="8"/>
    </row>
    <row r="31" spans="1:13" ht="15.75" hidden="1" customHeight="1">
      <c r="A31" s="46">
        <v>11</v>
      </c>
      <c r="B31" s="247" t="s">
        <v>32</v>
      </c>
      <c r="C31" s="248" t="s">
        <v>191</v>
      </c>
      <c r="D31" s="247" t="s">
        <v>66</v>
      </c>
      <c r="E31" s="250">
        <v>561.6</v>
      </c>
      <c r="F31" s="250">
        <f>SUM(E31/1000)</f>
        <v>0.56159999999999999</v>
      </c>
      <c r="G31" s="250">
        <v>3020.33</v>
      </c>
      <c r="H31" s="251">
        <f t="shared" si="1"/>
        <v>1.6962173279999999</v>
      </c>
      <c r="I31" s="18">
        <f>F31*G31</f>
        <v>1696.217328</v>
      </c>
      <c r="J31" s="33"/>
      <c r="K31" s="8"/>
      <c r="L31" s="8"/>
      <c r="M31" s="8"/>
    </row>
    <row r="32" spans="1:13" ht="15.75" customHeight="1">
      <c r="A32" s="46">
        <v>11</v>
      </c>
      <c r="B32" s="247" t="s">
        <v>193</v>
      </c>
      <c r="C32" s="248" t="s">
        <v>36</v>
      </c>
      <c r="D32" s="247" t="s">
        <v>80</v>
      </c>
      <c r="E32" s="256">
        <v>0.33333333333333331</v>
      </c>
      <c r="F32" s="250">
        <f>155/3</f>
        <v>51.666666666666664</v>
      </c>
      <c r="G32" s="250">
        <v>56.69</v>
      </c>
      <c r="H32" s="251">
        <f>SUM(G32*155/3/1000)</f>
        <v>2.9289833333333331</v>
      </c>
      <c r="I32" s="18">
        <f t="shared" si="2"/>
        <v>488.16388888888883</v>
      </c>
      <c r="J32" s="33"/>
      <c r="K32" s="8"/>
      <c r="L32" s="8"/>
      <c r="M32" s="8"/>
    </row>
    <row r="33" spans="1:14" ht="15.75" hidden="1" customHeight="1">
      <c r="A33" s="46"/>
      <c r="B33" s="247" t="s">
        <v>82</v>
      </c>
      <c r="C33" s="248" t="s">
        <v>38</v>
      </c>
      <c r="D33" s="247" t="s">
        <v>84</v>
      </c>
      <c r="E33" s="249"/>
      <c r="F33" s="250">
        <v>2</v>
      </c>
      <c r="G33" s="250">
        <v>191.32</v>
      </c>
      <c r="H33" s="251">
        <f t="shared" si="1"/>
        <v>0.38263999999999998</v>
      </c>
      <c r="I33" s="18">
        <v>0</v>
      </c>
      <c r="J33" s="33"/>
      <c r="K33" s="8"/>
      <c r="L33" s="8"/>
      <c r="M33" s="8"/>
    </row>
    <row r="34" spans="1:14" ht="15.75" hidden="1" customHeight="1">
      <c r="A34" s="46"/>
      <c r="B34" s="247" t="s">
        <v>83</v>
      </c>
      <c r="C34" s="248" t="s">
        <v>37</v>
      </c>
      <c r="D34" s="247" t="s">
        <v>84</v>
      </c>
      <c r="E34" s="249"/>
      <c r="F34" s="250">
        <v>1</v>
      </c>
      <c r="G34" s="250">
        <v>1136.33</v>
      </c>
      <c r="H34" s="251">
        <f t="shared" si="1"/>
        <v>1.1363299999999998</v>
      </c>
      <c r="I34" s="18">
        <v>0</v>
      </c>
      <c r="J34" s="33"/>
      <c r="K34" s="8"/>
    </row>
    <row r="35" spans="1:14" ht="15.75" hidden="1" customHeight="1">
      <c r="A35" s="46"/>
      <c r="B35" s="281" t="s">
        <v>5</v>
      </c>
      <c r="C35" s="248"/>
      <c r="D35" s="247"/>
      <c r="E35" s="249"/>
      <c r="F35" s="250"/>
      <c r="G35" s="250"/>
      <c r="H35" s="254" t="s">
        <v>234</v>
      </c>
      <c r="I35" s="255"/>
      <c r="J35" s="34"/>
    </row>
    <row r="36" spans="1:14" ht="15.75" hidden="1" customHeight="1">
      <c r="A36" s="46">
        <v>9</v>
      </c>
      <c r="B36" s="247" t="s">
        <v>31</v>
      </c>
      <c r="C36" s="248" t="s">
        <v>37</v>
      </c>
      <c r="D36" s="247"/>
      <c r="E36" s="249"/>
      <c r="F36" s="250">
        <v>3</v>
      </c>
      <c r="G36" s="250">
        <v>1527.22</v>
      </c>
      <c r="H36" s="251">
        <f t="shared" ref="H36:H38" si="3">SUM(F36*G36/1000)</f>
        <v>4.5816600000000003</v>
      </c>
      <c r="I36" s="18">
        <f t="shared" ref="I36:I41" si="4">F36/6*G36</f>
        <v>763.61</v>
      </c>
      <c r="J36" s="34"/>
    </row>
    <row r="37" spans="1:14" ht="15.75" hidden="1" customHeight="1">
      <c r="A37" s="46">
        <v>10</v>
      </c>
      <c r="B37" s="247" t="s">
        <v>85</v>
      </c>
      <c r="C37" s="248" t="s">
        <v>34</v>
      </c>
      <c r="D37" s="247" t="s">
        <v>217</v>
      </c>
      <c r="E37" s="250">
        <v>205.7</v>
      </c>
      <c r="F37" s="250">
        <f>SUM(E37*20/1000)</f>
        <v>4.1139999999999999</v>
      </c>
      <c r="G37" s="250">
        <v>2102.71</v>
      </c>
      <c r="H37" s="251">
        <f t="shared" si="3"/>
        <v>8.6505489400000002</v>
      </c>
      <c r="I37" s="18">
        <f t="shared" si="4"/>
        <v>1441.7581566666665</v>
      </c>
      <c r="J37" s="34"/>
    </row>
    <row r="38" spans="1:14" ht="15.75" hidden="1" customHeight="1">
      <c r="A38" s="46">
        <v>11</v>
      </c>
      <c r="B38" s="247" t="s">
        <v>86</v>
      </c>
      <c r="C38" s="248" t="s">
        <v>34</v>
      </c>
      <c r="D38" s="247" t="s">
        <v>218</v>
      </c>
      <c r="E38" s="249">
        <v>89.1</v>
      </c>
      <c r="F38" s="250">
        <f>SUM(E38*155/1000)</f>
        <v>13.810499999999999</v>
      </c>
      <c r="G38" s="250">
        <v>350.75</v>
      </c>
      <c r="H38" s="251">
        <f t="shared" si="3"/>
        <v>4.8440328749999999</v>
      </c>
      <c r="I38" s="18">
        <f t="shared" si="4"/>
        <v>807.3388124999999</v>
      </c>
      <c r="J38" s="34"/>
    </row>
    <row r="39" spans="1:14" ht="47.25" hidden="1" customHeight="1">
      <c r="A39" s="46">
        <v>12</v>
      </c>
      <c r="B39" s="247" t="s">
        <v>112</v>
      </c>
      <c r="C39" s="248" t="s">
        <v>191</v>
      </c>
      <c r="D39" s="247" t="s">
        <v>219</v>
      </c>
      <c r="E39" s="250">
        <v>48</v>
      </c>
      <c r="F39" s="250">
        <f>SUM(E39*50/1000)</f>
        <v>2.4</v>
      </c>
      <c r="G39" s="250">
        <v>5803.28</v>
      </c>
      <c r="H39" s="251">
        <f>SUM(F39*G39/1000)</f>
        <v>13.927871999999999</v>
      </c>
      <c r="I39" s="18">
        <f t="shared" si="4"/>
        <v>2321.3119999999999</v>
      </c>
      <c r="J39" s="34"/>
    </row>
    <row r="40" spans="1:14" ht="15.75" hidden="1" customHeight="1">
      <c r="A40" s="46">
        <v>13</v>
      </c>
      <c r="B40" s="247" t="s">
        <v>195</v>
      </c>
      <c r="C40" s="248" t="s">
        <v>191</v>
      </c>
      <c r="D40" s="247" t="s">
        <v>87</v>
      </c>
      <c r="E40" s="250">
        <v>89</v>
      </c>
      <c r="F40" s="250">
        <f>SUM(E40*45/1000)</f>
        <v>4.0049999999999999</v>
      </c>
      <c r="G40" s="250">
        <v>428.7</v>
      </c>
      <c r="H40" s="251">
        <f t="shared" ref="H40:H41" si="5">SUM(F40*G40/1000)</f>
        <v>1.7169435</v>
      </c>
      <c r="I40" s="18">
        <f t="shared" si="4"/>
        <v>286.15724999999998</v>
      </c>
      <c r="J40" s="34"/>
      <c r="L40" s="27"/>
      <c r="M40" s="28"/>
      <c r="N40" s="29"/>
    </row>
    <row r="41" spans="1:14" ht="15.75" hidden="1" customHeight="1">
      <c r="A41" s="285">
        <v>14</v>
      </c>
      <c r="B41" s="261" t="s">
        <v>88</v>
      </c>
      <c r="C41" s="262" t="s">
        <v>38</v>
      </c>
      <c r="D41" s="261"/>
      <c r="E41" s="258"/>
      <c r="F41" s="263">
        <v>0.9</v>
      </c>
      <c r="G41" s="263">
        <v>798</v>
      </c>
      <c r="H41" s="264">
        <f t="shared" si="5"/>
        <v>0.71820000000000006</v>
      </c>
      <c r="I41" s="286">
        <f t="shared" si="4"/>
        <v>119.69999999999999</v>
      </c>
      <c r="J41" s="34"/>
      <c r="L41" s="27"/>
      <c r="M41" s="28"/>
      <c r="N41" s="29"/>
    </row>
    <row r="42" spans="1:14" ht="15.75" hidden="1" customHeight="1">
      <c r="A42" s="282" t="s">
        <v>255</v>
      </c>
      <c r="B42" s="283"/>
      <c r="C42" s="283"/>
      <c r="D42" s="283"/>
      <c r="E42" s="283"/>
      <c r="F42" s="283"/>
      <c r="G42" s="283"/>
      <c r="H42" s="283"/>
      <c r="I42" s="284"/>
      <c r="J42" s="34"/>
      <c r="L42" s="27"/>
      <c r="M42" s="28"/>
      <c r="N42" s="29"/>
    </row>
    <row r="43" spans="1:14" ht="15.75" hidden="1" customHeight="1">
      <c r="A43" s="287"/>
      <c r="B43" s="288" t="s">
        <v>196</v>
      </c>
      <c r="C43" s="289" t="s">
        <v>191</v>
      </c>
      <c r="D43" s="288" t="s">
        <v>53</v>
      </c>
      <c r="E43" s="290">
        <v>1632.75</v>
      </c>
      <c r="F43" s="291">
        <f>SUM(E43*2/1000)</f>
        <v>3.2654999999999998</v>
      </c>
      <c r="G43" s="292">
        <v>809.74</v>
      </c>
      <c r="H43" s="293">
        <f t="shared" ref="H43:H52" si="6">SUM(F43*G43/1000)</f>
        <v>2.6442059699999998</v>
      </c>
      <c r="I43" s="292">
        <v>0</v>
      </c>
      <c r="J43" s="34"/>
      <c r="L43" s="27"/>
      <c r="M43" s="28"/>
      <c r="N43" s="29"/>
    </row>
    <row r="44" spans="1:14" ht="15.75" hidden="1" customHeight="1">
      <c r="A44" s="46"/>
      <c r="B44" s="247" t="s">
        <v>42</v>
      </c>
      <c r="C44" s="248" t="s">
        <v>191</v>
      </c>
      <c r="D44" s="247" t="s">
        <v>53</v>
      </c>
      <c r="E44" s="249">
        <v>53.75</v>
      </c>
      <c r="F44" s="250">
        <f>SUM(E44*2/1000)</f>
        <v>0.1075</v>
      </c>
      <c r="G44" s="18">
        <v>579.48</v>
      </c>
      <c r="H44" s="251">
        <f t="shared" si="6"/>
        <v>6.2294099999999998E-2</v>
      </c>
      <c r="I44" s="18">
        <v>0</v>
      </c>
      <c r="J44" s="34"/>
      <c r="L44" s="27"/>
      <c r="M44" s="28"/>
      <c r="N44" s="29"/>
    </row>
    <row r="45" spans="1:14" ht="15.75" hidden="1" customHeight="1">
      <c r="A45" s="46"/>
      <c r="B45" s="247" t="s">
        <v>43</v>
      </c>
      <c r="C45" s="248" t="s">
        <v>191</v>
      </c>
      <c r="D45" s="247" t="s">
        <v>53</v>
      </c>
      <c r="E45" s="249">
        <v>2285.6</v>
      </c>
      <c r="F45" s="250">
        <f>SUM(E45*2/1000)</f>
        <v>4.5712000000000002</v>
      </c>
      <c r="G45" s="18">
        <v>579.48</v>
      </c>
      <c r="H45" s="251">
        <f t="shared" si="6"/>
        <v>2.6489189760000005</v>
      </c>
      <c r="I45" s="18">
        <v>0</v>
      </c>
      <c r="J45" s="34"/>
      <c r="L45" s="27"/>
      <c r="M45" s="28"/>
      <c r="N45" s="29"/>
    </row>
    <row r="46" spans="1:14" ht="15.75" hidden="1" customHeight="1">
      <c r="A46" s="46"/>
      <c r="B46" s="247" t="s">
        <v>44</v>
      </c>
      <c r="C46" s="248" t="s">
        <v>191</v>
      </c>
      <c r="D46" s="247" t="s">
        <v>53</v>
      </c>
      <c r="E46" s="249">
        <v>1860</v>
      </c>
      <c r="F46" s="250">
        <f>SUM(E46*2/1000)</f>
        <v>3.72</v>
      </c>
      <c r="G46" s="18">
        <v>606.77</v>
      </c>
      <c r="H46" s="251">
        <f t="shared" si="6"/>
        <v>2.2571844000000003</v>
      </c>
      <c r="I46" s="18">
        <v>0</v>
      </c>
      <c r="J46" s="34"/>
      <c r="L46" s="27"/>
      <c r="M46" s="28"/>
      <c r="N46" s="29"/>
    </row>
    <row r="47" spans="1:14" ht="15.75" hidden="1" customHeight="1">
      <c r="A47" s="46"/>
      <c r="B47" s="247" t="s">
        <v>40</v>
      </c>
      <c r="C47" s="248" t="s">
        <v>41</v>
      </c>
      <c r="D47" s="247" t="s">
        <v>53</v>
      </c>
      <c r="E47" s="249">
        <v>120.49</v>
      </c>
      <c r="F47" s="250">
        <f>SUM(E47*2/100)</f>
        <v>2.4097999999999997</v>
      </c>
      <c r="G47" s="18">
        <v>72.81</v>
      </c>
      <c r="H47" s="251">
        <f t="shared" si="6"/>
        <v>0.17545753799999997</v>
      </c>
      <c r="I47" s="18">
        <v>0</v>
      </c>
      <c r="J47" s="34"/>
      <c r="L47" s="27"/>
      <c r="M47" s="28"/>
      <c r="N47" s="29"/>
    </row>
    <row r="48" spans="1:14" ht="15.75" hidden="1" customHeight="1">
      <c r="A48" s="46">
        <v>15</v>
      </c>
      <c r="B48" s="247" t="s">
        <v>70</v>
      </c>
      <c r="C48" s="248" t="s">
        <v>191</v>
      </c>
      <c r="D48" s="247" t="s">
        <v>258</v>
      </c>
      <c r="E48" s="249">
        <v>1728</v>
      </c>
      <c r="F48" s="250">
        <f>SUM(E48*5/1000)</f>
        <v>8.64</v>
      </c>
      <c r="G48" s="18">
        <v>1213.55</v>
      </c>
      <c r="H48" s="251">
        <f t="shared" si="6"/>
        <v>10.485072000000001</v>
      </c>
      <c r="I48" s="18">
        <f>F48/5*G48</f>
        <v>2097.0144</v>
      </c>
      <c r="J48" s="34"/>
      <c r="L48" s="27"/>
      <c r="M48" s="28"/>
      <c r="N48" s="29"/>
    </row>
    <row r="49" spans="1:22" ht="31.5" hidden="1" customHeight="1">
      <c r="A49" s="46"/>
      <c r="B49" s="247" t="s">
        <v>198</v>
      </c>
      <c r="C49" s="248" t="s">
        <v>191</v>
      </c>
      <c r="D49" s="247" t="s">
        <v>53</v>
      </c>
      <c r="E49" s="249">
        <v>1728</v>
      </c>
      <c r="F49" s="250">
        <f>SUM(E49*2/1000)</f>
        <v>3.456</v>
      </c>
      <c r="G49" s="18">
        <v>1213.55</v>
      </c>
      <c r="H49" s="251">
        <f t="shared" si="6"/>
        <v>4.1940287999999999</v>
      </c>
      <c r="I49" s="18">
        <v>0</v>
      </c>
      <c r="J49" s="34"/>
      <c r="L49" s="27"/>
      <c r="M49" s="28"/>
      <c r="N49" s="29"/>
    </row>
    <row r="50" spans="1:22" ht="31.5" hidden="1" customHeight="1">
      <c r="A50" s="46"/>
      <c r="B50" s="247" t="s">
        <v>235</v>
      </c>
      <c r="C50" s="248" t="s">
        <v>47</v>
      </c>
      <c r="D50" s="247" t="s">
        <v>53</v>
      </c>
      <c r="E50" s="249">
        <v>20</v>
      </c>
      <c r="F50" s="250">
        <f>SUM(E50*2/100)</f>
        <v>0.4</v>
      </c>
      <c r="G50" s="18">
        <v>2730.49</v>
      </c>
      <c r="H50" s="251">
        <f t="shared" si="6"/>
        <v>1.0921959999999999</v>
      </c>
      <c r="I50" s="18">
        <v>0</v>
      </c>
      <c r="J50" s="34"/>
      <c r="L50" s="27"/>
      <c r="M50" s="28"/>
      <c r="N50" s="29"/>
    </row>
    <row r="51" spans="1:22" ht="15.75" hidden="1" customHeight="1">
      <c r="A51" s="46"/>
      <c r="B51" s="247" t="s">
        <v>48</v>
      </c>
      <c r="C51" s="248" t="s">
        <v>49</v>
      </c>
      <c r="D51" s="247" t="s">
        <v>53</v>
      </c>
      <c r="E51" s="249">
        <v>1</v>
      </c>
      <c r="F51" s="250">
        <v>0.02</v>
      </c>
      <c r="G51" s="18">
        <v>5652.13</v>
      </c>
      <c r="H51" s="251">
        <f t="shared" si="6"/>
        <v>0.11304260000000001</v>
      </c>
      <c r="I51" s="18">
        <v>0</v>
      </c>
      <c r="J51" s="34"/>
      <c r="L51" s="27"/>
      <c r="M51" s="28"/>
      <c r="N51" s="29"/>
    </row>
    <row r="52" spans="1:22" ht="15.75" hidden="1" customHeight="1">
      <c r="A52" s="46">
        <v>16</v>
      </c>
      <c r="B52" s="247" t="s">
        <v>52</v>
      </c>
      <c r="C52" s="248" t="s">
        <v>142</v>
      </c>
      <c r="D52" s="247" t="s">
        <v>89</v>
      </c>
      <c r="E52" s="249">
        <v>128</v>
      </c>
      <c r="F52" s="250">
        <f>SUM(E52)*3</f>
        <v>384</v>
      </c>
      <c r="G52" s="18">
        <v>65.67</v>
      </c>
      <c r="H52" s="251">
        <f t="shared" si="6"/>
        <v>25.217279999999999</v>
      </c>
      <c r="I52" s="18">
        <f>E52*G52</f>
        <v>8405.76</v>
      </c>
      <c r="J52" s="34"/>
      <c r="L52" s="27"/>
      <c r="M52" s="28"/>
      <c r="N52" s="29"/>
    </row>
    <row r="53" spans="1:22" ht="15.75" customHeight="1">
      <c r="A53" s="278" t="s">
        <v>263</v>
      </c>
      <c r="B53" s="279"/>
      <c r="C53" s="279"/>
      <c r="D53" s="279"/>
      <c r="E53" s="279"/>
      <c r="F53" s="279"/>
      <c r="G53" s="279"/>
      <c r="H53" s="279"/>
      <c r="I53" s="280"/>
      <c r="J53" s="34"/>
      <c r="L53" s="27"/>
      <c r="M53" s="28"/>
      <c r="N53" s="29"/>
    </row>
    <row r="54" spans="1:22" ht="15.75" hidden="1" customHeight="1">
      <c r="A54" s="46"/>
      <c r="B54" s="281" t="s">
        <v>54</v>
      </c>
      <c r="C54" s="248"/>
      <c r="D54" s="247"/>
      <c r="E54" s="249"/>
      <c r="F54" s="250"/>
      <c r="G54" s="250"/>
      <c r="H54" s="254"/>
      <c r="I54" s="255"/>
      <c r="J54" s="34"/>
      <c r="L54" s="27"/>
      <c r="M54" s="28"/>
      <c r="N54" s="29"/>
    </row>
    <row r="55" spans="1:22" ht="31.5" hidden="1" customHeight="1">
      <c r="A55" s="46">
        <v>17</v>
      </c>
      <c r="B55" s="247" t="s">
        <v>200</v>
      </c>
      <c r="C55" s="248" t="s">
        <v>163</v>
      </c>
      <c r="D55" s="247" t="s">
        <v>201</v>
      </c>
      <c r="E55" s="249">
        <v>163.30000000000001</v>
      </c>
      <c r="F55" s="250">
        <f>SUM(E55*6/100)</f>
        <v>9.798</v>
      </c>
      <c r="G55" s="18">
        <v>1547.28</v>
      </c>
      <c r="H55" s="251">
        <f>SUM(F55*G55/1000)</f>
        <v>15.160249439999999</v>
      </c>
      <c r="I55" s="18">
        <f>F55/6*G55</f>
        <v>2526.7082399999999</v>
      </c>
      <c r="J55" s="34"/>
      <c r="L55" s="27"/>
      <c r="M55" s="28"/>
      <c r="N55" s="29"/>
    </row>
    <row r="56" spans="1:22" ht="15.75" customHeight="1">
      <c r="A56" s="46"/>
      <c r="B56" s="281" t="s">
        <v>55</v>
      </c>
      <c r="C56" s="248"/>
      <c r="D56" s="247"/>
      <c r="E56" s="249"/>
      <c r="F56" s="250"/>
      <c r="G56" s="250"/>
      <c r="H56" s="251" t="s">
        <v>234</v>
      </c>
      <c r="I56" s="255"/>
      <c r="J56" s="34"/>
      <c r="L56" s="27"/>
      <c r="M56" s="28"/>
      <c r="N56" s="29"/>
    </row>
    <row r="57" spans="1:22" ht="15.75" hidden="1" customHeight="1">
      <c r="A57" s="46"/>
      <c r="B57" s="247" t="s">
        <v>56</v>
      </c>
      <c r="C57" s="248" t="s">
        <v>163</v>
      </c>
      <c r="D57" s="247" t="s">
        <v>66</v>
      </c>
      <c r="E57" s="258">
        <v>1155.2</v>
      </c>
      <c r="F57" s="259">
        <v>11.6</v>
      </c>
      <c r="G57" s="18">
        <v>793.61</v>
      </c>
      <c r="H57" s="260">
        <v>9.1679999999999993</v>
      </c>
      <c r="I57" s="18">
        <v>0</v>
      </c>
      <c r="J57" s="34"/>
      <c r="L57" s="27"/>
      <c r="M57" s="28"/>
      <c r="N57" s="29"/>
    </row>
    <row r="58" spans="1:22" ht="15.75" customHeight="1">
      <c r="A58" s="46">
        <v>12</v>
      </c>
      <c r="B58" s="261" t="s">
        <v>144</v>
      </c>
      <c r="C58" s="262" t="s">
        <v>29</v>
      </c>
      <c r="D58" s="261" t="s">
        <v>35</v>
      </c>
      <c r="E58" s="258">
        <v>255.2</v>
      </c>
      <c r="F58" s="263">
        <v>3062.4</v>
      </c>
      <c r="G58" s="243">
        <v>2.6</v>
      </c>
      <c r="H58" s="264">
        <f>G58*F58/1000</f>
        <v>7.9622400000000004</v>
      </c>
      <c r="I58" s="18">
        <f>F58/12*G58</f>
        <v>663.5200000000001</v>
      </c>
      <c r="J58" s="34"/>
      <c r="L58" s="27"/>
      <c r="M58" s="28"/>
      <c r="N58" s="29"/>
    </row>
    <row r="59" spans="1:22" ht="15.75" customHeight="1">
      <c r="A59" s="46"/>
      <c r="B59" s="294" t="s">
        <v>57</v>
      </c>
      <c r="C59" s="262"/>
      <c r="D59" s="261"/>
      <c r="E59" s="258"/>
      <c r="F59" s="263"/>
      <c r="G59" s="263"/>
      <c r="H59" s="264" t="s">
        <v>234</v>
      </c>
      <c r="I59" s="255"/>
      <c r="J59" s="34"/>
      <c r="L59" s="27"/>
      <c r="M59" s="28"/>
      <c r="N59" s="29"/>
    </row>
    <row r="60" spans="1:22" ht="15.75" customHeight="1">
      <c r="A60" s="46">
        <v>13</v>
      </c>
      <c r="B60" s="20" t="s">
        <v>58</v>
      </c>
      <c r="C60" s="22" t="s">
        <v>142</v>
      </c>
      <c r="D60" s="20" t="s">
        <v>84</v>
      </c>
      <c r="E60" s="25">
        <v>5</v>
      </c>
      <c r="F60" s="250">
        <v>5</v>
      </c>
      <c r="G60" s="18">
        <v>222.4</v>
      </c>
      <c r="H60" s="265">
        <f t="shared" ref="H60:H67" si="7">SUM(F60*G60/1000)</f>
        <v>1.1120000000000001</v>
      </c>
      <c r="I60" s="18">
        <f>G60*9</f>
        <v>2001.6000000000001</v>
      </c>
      <c r="J60" s="34"/>
      <c r="L60" s="27"/>
    </row>
    <row r="61" spans="1:22" ht="15.75" hidden="1" customHeight="1">
      <c r="A61" s="46"/>
      <c r="B61" s="20" t="s">
        <v>59</v>
      </c>
      <c r="C61" s="22" t="s">
        <v>142</v>
      </c>
      <c r="D61" s="20" t="s">
        <v>233</v>
      </c>
      <c r="E61" s="25">
        <v>4</v>
      </c>
      <c r="F61" s="250">
        <v>4</v>
      </c>
      <c r="G61" s="18">
        <v>76.25</v>
      </c>
      <c r="H61" s="265">
        <f t="shared" si="7"/>
        <v>0.30499999999999999</v>
      </c>
      <c r="I61" s="18">
        <v>0</v>
      </c>
      <c r="J61" s="34"/>
      <c r="L61" s="27"/>
    </row>
    <row r="62" spans="1:22" ht="15.75" hidden="1" customHeight="1">
      <c r="A62" s="46"/>
      <c r="B62" s="20" t="s">
        <v>60</v>
      </c>
      <c r="C62" s="22" t="s">
        <v>202</v>
      </c>
      <c r="D62" s="20" t="s">
        <v>66</v>
      </c>
      <c r="E62" s="249">
        <v>15552</v>
      </c>
      <c r="F62" s="18">
        <f>SUM(E62/100)</f>
        <v>155.52000000000001</v>
      </c>
      <c r="G62" s="18">
        <v>212.15</v>
      </c>
      <c r="H62" s="265">
        <f t="shared" si="7"/>
        <v>32.993568000000003</v>
      </c>
      <c r="I62" s="18">
        <v>0</v>
      </c>
    </row>
    <row r="63" spans="1:22" ht="15.75" hidden="1" customHeight="1">
      <c r="A63" s="46"/>
      <c r="B63" s="20" t="s">
        <v>61</v>
      </c>
      <c r="C63" s="22" t="s">
        <v>203</v>
      </c>
      <c r="D63" s="20"/>
      <c r="E63" s="249">
        <v>15552</v>
      </c>
      <c r="F63" s="18">
        <f>SUM(E63/1000)</f>
        <v>15.552</v>
      </c>
      <c r="G63" s="18">
        <v>165.21</v>
      </c>
      <c r="H63" s="265">
        <f t="shared" si="7"/>
        <v>2.5693459200000004</v>
      </c>
      <c r="I63" s="18">
        <v>0</v>
      </c>
    </row>
    <row r="64" spans="1:22" ht="15.75" hidden="1" customHeight="1">
      <c r="A64" s="46"/>
      <c r="B64" s="20" t="s">
        <v>62</v>
      </c>
      <c r="C64" s="22" t="s">
        <v>96</v>
      </c>
      <c r="D64" s="20" t="s">
        <v>66</v>
      </c>
      <c r="E64" s="249">
        <v>2432</v>
      </c>
      <c r="F64" s="18">
        <f>SUM(E64/100)</f>
        <v>24.32</v>
      </c>
      <c r="G64" s="18">
        <v>2074.63</v>
      </c>
      <c r="H64" s="265">
        <f t="shared" si="7"/>
        <v>50.455001600000003</v>
      </c>
      <c r="I64" s="18"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46"/>
      <c r="B65" s="266" t="s">
        <v>90</v>
      </c>
      <c r="C65" s="22" t="s">
        <v>38</v>
      </c>
      <c r="D65" s="20"/>
      <c r="E65" s="249">
        <v>34.5</v>
      </c>
      <c r="F65" s="18">
        <f>SUM(E65)</f>
        <v>34.5</v>
      </c>
      <c r="G65" s="18">
        <v>45.32</v>
      </c>
      <c r="H65" s="265">
        <f t="shared" si="7"/>
        <v>1.5635399999999999</v>
      </c>
      <c r="I65" s="18">
        <v>0</v>
      </c>
      <c r="J65" s="38"/>
      <c r="K65" s="38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31.5" hidden="1" customHeight="1">
      <c r="A66" s="46"/>
      <c r="B66" s="266" t="s">
        <v>91</v>
      </c>
      <c r="C66" s="22" t="s">
        <v>38</v>
      </c>
      <c r="D66" s="20"/>
      <c r="E66" s="249">
        <f>E65</f>
        <v>34.5</v>
      </c>
      <c r="F66" s="18">
        <f>SUM(E66)</f>
        <v>34.5</v>
      </c>
      <c r="G66" s="18">
        <v>42.28</v>
      </c>
      <c r="H66" s="265">
        <f t="shared" si="7"/>
        <v>1.4586600000000001</v>
      </c>
      <c r="I66" s="18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46"/>
      <c r="B67" s="20" t="s">
        <v>71</v>
      </c>
      <c r="C67" s="22" t="s">
        <v>72</v>
      </c>
      <c r="D67" s="20" t="s">
        <v>66</v>
      </c>
      <c r="E67" s="25">
        <v>4</v>
      </c>
      <c r="F67" s="250">
        <f>SUM(E67)</f>
        <v>4</v>
      </c>
      <c r="G67" s="18">
        <v>49.88</v>
      </c>
      <c r="H67" s="265">
        <f t="shared" si="7"/>
        <v>0.19952</v>
      </c>
      <c r="I67" s="18">
        <v>0</v>
      </c>
      <c r="J67" s="5"/>
      <c r="K67" s="5"/>
      <c r="L67" s="5"/>
      <c r="M67" s="5"/>
      <c r="N67" s="5"/>
      <c r="O67" s="5"/>
      <c r="P67" s="5"/>
      <c r="Q67" s="5"/>
      <c r="R67" s="216"/>
      <c r="S67" s="216"/>
      <c r="T67" s="216"/>
      <c r="U67" s="216"/>
    </row>
    <row r="68" spans="1:21" ht="15.75" hidden="1" customHeight="1">
      <c r="A68" s="46"/>
      <c r="B68" s="210" t="s">
        <v>92</v>
      </c>
      <c r="C68" s="22"/>
      <c r="D68" s="20"/>
      <c r="E68" s="25"/>
      <c r="F68" s="18"/>
      <c r="G68" s="18"/>
      <c r="H68" s="265" t="s">
        <v>234</v>
      </c>
      <c r="I68" s="255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ht="15.75" hidden="1" customHeight="1">
      <c r="A69" s="46">
        <v>19</v>
      </c>
      <c r="B69" s="20" t="s">
        <v>93</v>
      </c>
      <c r="C69" s="22" t="s">
        <v>94</v>
      </c>
      <c r="D69" s="20"/>
      <c r="E69" s="25">
        <v>4</v>
      </c>
      <c r="F69" s="18">
        <v>0.4</v>
      </c>
      <c r="G69" s="18">
        <v>501.62</v>
      </c>
      <c r="H69" s="265">
        <f>SUM(F69*G69/1000)</f>
        <v>0.20064800000000002</v>
      </c>
      <c r="I69" s="18">
        <f>G69*0.2</f>
        <v>100.32400000000001</v>
      </c>
    </row>
    <row r="70" spans="1:21" ht="15.75" hidden="1" customHeight="1">
      <c r="A70" s="46"/>
      <c r="B70" s="20" t="s">
        <v>220</v>
      </c>
      <c r="C70" s="22" t="s">
        <v>142</v>
      </c>
      <c r="D70" s="20"/>
      <c r="E70" s="25">
        <v>1</v>
      </c>
      <c r="F70" s="18">
        <f>E70</f>
        <v>1</v>
      </c>
      <c r="G70" s="18">
        <v>852.99</v>
      </c>
      <c r="H70" s="265">
        <f>SUM(F70*G70/1000)</f>
        <v>0.85299000000000003</v>
      </c>
      <c r="I70" s="18">
        <v>0</v>
      </c>
    </row>
    <row r="71" spans="1:21" ht="15.75" hidden="1" customHeight="1">
      <c r="A71" s="46"/>
      <c r="B71" s="269" t="s">
        <v>95</v>
      </c>
      <c r="C71" s="22"/>
      <c r="D71" s="20"/>
      <c r="E71" s="25"/>
      <c r="F71" s="25"/>
      <c r="G71" s="25"/>
      <c r="H71" s="25"/>
      <c r="I71" s="255"/>
    </row>
    <row r="72" spans="1:21" ht="15.75" hidden="1" customHeight="1">
      <c r="A72" s="46"/>
      <c r="B72" s="81" t="s">
        <v>208</v>
      </c>
      <c r="C72" s="22" t="s">
        <v>96</v>
      </c>
      <c r="D72" s="20"/>
      <c r="E72" s="25"/>
      <c r="F72" s="18">
        <v>0.1</v>
      </c>
      <c r="G72" s="18">
        <v>2759.44</v>
      </c>
      <c r="H72" s="268">
        <f t="shared" ref="H72" si="8">SUM(F72*G72/1000)</f>
        <v>0.27594400000000002</v>
      </c>
      <c r="I72" s="18">
        <v>0</v>
      </c>
    </row>
    <row r="73" spans="1:21" ht="15.75" hidden="1" customHeight="1">
      <c r="A73" s="46"/>
      <c r="B73" s="210" t="s">
        <v>206</v>
      </c>
      <c r="C73" s="269"/>
      <c r="D73" s="51"/>
      <c r="E73" s="53"/>
      <c r="F73" s="270"/>
      <c r="G73" s="270"/>
      <c r="H73" s="271">
        <f>SUM(H55:H72)</f>
        <v>124.27670696000001</v>
      </c>
      <c r="I73" s="253"/>
    </row>
    <row r="74" spans="1:21" ht="15.75" hidden="1" customHeight="1">
      <c r="A74" s="285"/>
      <c r="B74" s="261" t="s">
        <v>207</v>
      </c>
      <c r="C74" s="295"/>
      <c r="D74" s="296"/>
      <c r="E74" s="272"/>
      <c r="F74" s="286">
        <f>232/10</f>
        <v>23.2</v>
      </c>
      <c r="G74" s="286">
        <v>11370</v>
      </c>
      <c r="H74" s="297">
        <f>G74*F74/1000</f>
        <v>263.78399999999999</v>
      </c>
      <c r="I74" s="286">
        <v>0</v>
      </c>
    </row>
    <row r="75" spans="1:21" ht="15.75" customHeight="1">
      <c r="A75" s="282" t="s">
        <v>264</v>
      </c>
      <c r="B75" s="283"/>
      <c r="C75" s="283"/>
      <c r="D75" s="283"/>
      <c r="E75" s="283"/>
      <c r="F75" s="283"/>
      <c r="G75" s="283"/>
      <c r="H75" s="283"/>
      <c r="I75" s="284"/>
    </row>
    <row r="76" spans="1:21" ht="15.75" customHeight="1">
      <c r="A76" s="287">
        <v>14</v>
      </c>
      <c r="B76" s="288" t="s">
        <v>209</v>
      </c>
      <c r="C76" s="298" t="s">
        <v>67</v>
      </c>
      <c r="D76" s="299" t="s">
        <v>68</v>
      </c>
      <c r="E76" s="292">
        <v>3053.4</v>
      </c>
      <c r="F76" s="292">
        <f>SUM(E76*12)</f>
        <v>36640.800000000003</v>
      </c>
      <c r="G76" s="292">
        <v>2.1</v>
      </c>
      <c r="H76" s="300">
        <f>SUM(F76*G76/1000)</f>
        <v>76.94568000000001</v>
      </c>
      <c r="I76" s="292">
        <f>F76/12*G76</f>
        <v>6412.14</v>
      </c>
    </row>
    <row r="77" spans="1:21" ht="31.5" customHeight="1">
      <c r="A77" s="46">
        <v>15</v>
      </c>
      <c r="B77" s="20" t="s">
        <v>97</v>
      </c>
      <c r="C77" s="22"/>
      <c r="D77" s="299" t="s">
        <v>68</v>
      </c>
      <c r="E77" s="249">
        <f>E76</f>
        <v>3053.4</v>
      </c>
      <c r="F77" s="18">
        <f>E77*12</f>
        <v>36640.800000000003</v>
      </c>
      <c r="G77" s="18">
        <v>1.63</v>
      </c>
      <c r="H77" s="268">
        <f>F77*G77/1000</f>
        <v>59.724504000000003</v>
      </c>
      <c r="I77" s="18">
        <f>F77/12*G77</f>
        <v>4977.0419999999995</v>
      </c>
    </row>
    <row r="78" spans="1:21" ht="15.75" customHeight="1">
      <c r="A78" s="46"/>
      <c r="B78" s="68" t="s">
        <v>102</v>
      </c>
      <c r="C78" s="269"/>
      <c r="D78" s="267"/>
      <c r="E78" s="270"/>
      <c r="F78" s="270"/>
      <c r="G78" s="270"/>
      <c r="H78" s="271">
        <f>SUM(H77)</f>
        <v>59.724504000000003</v>
      </c>
      <c r="I78" s="270">
        <f>I16+I17+I18+I20+I21+I23+I25+I26+I29+I30+I32+I58+I60+I76+I77</f>
        <v>38912.298845888887</v>
      </c>
    </row>
    <row r="79" spans="1:21" ht="15.75" customHeight="1">
      <c r="A79" s="46"/>
      <c r="B79" s="198" t="s">
        <v>74</v>
      </c>
      <c r="C79" s="22"/>
      <c r="D79" s="81"/>
      <c r="E79" s="18"/>
      <c r="F79" s="18"/>
      <c r="G79" s="18"/>
      <c r="H79" s="23"/>
      <c r="I79" s="255"/>
    </row>
    <row r="80" spans="1:21" ht="15.75" customHeight="1">
      <c r="A80" s="46">
        <v>16</v>
      </c>
      <c r="B80" s="199" t="s">
        <v>173</v>
      </c>
      <c r="C80" s="200" t="s">
        <v>142</v>
      </c>
      <c r="D80" s="81"/>
      <c r="E80" s="18"/>
      <c r="F80" s="18">
        <v>780</v>
      </c>
      <c r="G80" s="18">
        <v>50.68</v>
      </c>
      <c r="H80" s="268">
        <f>G80*F80/1000</f>
        <v>39.5304</v>
      </c>
      <c r="I80" s="18">
        <f>G80*65</f>
        <v>3294.2</v>
      </c>
    </row>
    <row r="81" spans="1:9" ht="15.75" customHeight="1">
      <c r="A81" s="46">
        <v>17</v>
      </c>
      <c r="B81" s="199" t="s">
        <v>107</v>
      </c>
      <c r="C81" s="200" t="s">
        <v>142</v>
      </c>
      <c r="D81" s="81"/>
      <c r="E81" s="18"/>
      <c r="F81" s="18">
        <v>5</v>
      </c>
      <c r="G81" s="18">
        <v>180.15</v>
      </c>
      <c r="H81" s="268">
        <f t="shared" ref="H81:H85" si="9">F81*G81/1000</f>
        <v>0.90075000000000005</v>
      </c>
      <c r="I81" s="18">
        <f>G81</f>
        <v>180.15</v>
      </c>
    </row>
    <row r="82" spans="1:9" ht="15.75" customHeight="1">
      <c r="A82" s="46">
        <v>18</v>
      </c>
      <c r="B82" s="199" t="s">
        <v>242</v>
      </c>
      <c r="C82" s="200" t="s">
        <v>113</v>
      </c>
      <c r="D82" s="81"/>
      <c r="E82" s="18"/>
      <c r="F82" s="18">
        <v>2</v>
      </c>
      <c r="G82" s="18">
        <v>185.81</v>
      </c>
      <c r="H82" s="268">
        <f t="shared" si="9"/>
        <v>0.37162000000000001</v>
      </c>
      <c r="I82" s="18">
        <f>G82</f>
        <v>185.81</v>
      </c>
    </row>
    <row r="83" spans="1:9" ht="31.5" customHeight="1">
      <c r="A83" s="46">
        <v>19</v>
      </c>
      <c r="B83" s="199" t="s">
        <v>134</v>
      </c>
      <c r="C83" s="200" t="s">
        <v>175</v>
      </c>
      <c r="D83" s="81"/>
      <c r="E83" s="18"/>
      <c r="F83" s="18">
        <v>6</v>
      </c>
      <c r="G83" s="18">
        <v>559.62</v>
      </c>
      <c r="H83" s="268">
        <f t="shared" si="9"/>
        <v>3.35772</v>
      </c>
      <c r="I83" s="18">
        <f>G83*2</f>
        <v>1119.24</v>
      </c>
    </row>
    <row r="84" spans="1:9" ht="15.75" customHeight="1">
      <c r="A84" s="46">
        <v>20</v>
      </c>
      <c r="B84" s="274" t="s">
        <v>145</v>
      </c>
      <c r="C84" s="275" t="s">
        <v>146</v>
      </c>
      <c r="D84" s="81"/>
      <c r="E84" s="18"/>
      <c r="F84" s="18">
        <f>15/3</f>
        <v>5</v>
      </c>
      <c r="G84" s="18">
        <v>1063.47</v>
      </c>
      <c r="H84" s="268">
        <f t="shared" si="9"/>
        <v>5.3173500000000002</v>
      </c>
      <c r="I84" s="18">
        <f t="shared" ref="I84:I85" si="10">G84</f>
        <v>1063.47</v>
      </c>
    </row>
    <row r="85" spans="1:9" ht="31.5" customHeight="1">
      <c r="A85" s="46">
        <v>21</v>
      </c>
      <c r="B85" s="199" t="s">
        <v>101</v>
      </c>
      <c r="C85" s="200" t="s">
        <v>142</v>
      </c>
      <c r="D85" s="81"/>
      <c r="E85" s="18"/>
      <c r="F85" s="18">
        <v>3</v>
      </c>
      <c r="G85" s="18">
        <v>79.09</v>
      </c>
      <c r="H85" s="268">
        <f t="shared" si="9"/>
        <v>0.23727000000000001</v>
      </c>
      <c r="I85" s="18">
        <f t="shared" si="10"/>
        <v>79.09</v>
      </c>
    </row>
    <row r="86" spans="1:9" ht="15.75" customHeight="1">
      <c r="A86" s="46"/>
      <c r="B86" s="75" t="s">
        <v>63</v>
      </c>
      <c r="C86" s="71"/>
      <c r="D86" s="123"/>
      <c r="E86" s="71">
        <v>1</v>
      </c>
      <c r="F86" s="71"/>
      <c r="G86" s="71"/>
      <c r="H86" s="71"/>
      <c r="I86" s="53">
        <f>SUM(I80:I85)</f>
        <v>5921.96</v>
      </c>
    </row>
    <row r="87" spans="1:9" ht="15.75" customHeight="1">
      <c r="A87" s="46"/>
      <c r="B87" s="81" t="s">
        <v>98</v>
      </c>
      <c r="C87" s="21"/>
      <c r="D87" s="21"/>
      <c r="E87" s="72"/>
      <c r="F87" s="72"/>
      <c r="G87" s="73"/>
      <c r="H87" s="73"/>
      <c r="I87" s="24">
        <v>0</v>
      </c>
    </row>
    <row r="88" spans="1:9" ht="15.75" customHeight="1">
      <c r="A88" s="124"/>
      <c r="B88" s="76" t="s">
        <v>64</v>
      </c>
      <c r="C88" s="59"/>
      <c r="D88" s="59"/>
      <c r="E88" s="59"/>
      <c r="F88" s="59"/>
      <c r="G88" s="59"/>
      <c r="H88" s="59"/>
      <c r="I88" s="74">
        <f>I78+I86</f>
        <v>44834.258845888886</v>
      </c>
    </row>
    <row r="89" spans="1:9" ht="15.75">
      <c r="A89" s="240" t="s">
        <v>279</v>
      </c>
      <c r="B89" s="240"/>
      <c r="C89" s="240"/>
      <c r="D89" s="240"/>
      <c r="E89" s="240"/>
      <c r="F89" s="240"/>
      <c r="G89" s="240"/>
      <c r="H89" s="240"/>
      <c r="I89" s="240"/>
    </row>
    <row r="90" spans="1:9" ht="15.75">
      <c r="A90" s="205"/>
      <c r="B90" s="241" t="s">
        <v>280</v>
      </c>
      <c r="C90" s="241"/>
      <c r="D90" s="241"/>
      <c r="E90" s="241"/>
      <c r="F90" s="241"/>
      <c r="G90" s="241"/>
      <c r="H90" s="246"/>
      <c r="I90" s="3"/>
    </row>
    <row r="91" spans="1:9">
      <c r="A91" s="208"/>
      <c r="B91" s="222" t="s">
        <v>7</v>
      </c>
      <c r="C91" s="222"/>
      <c r="D91" s="222"/>
      <c r="E91" s="222"/>
      <c r="F91" s="222"/>
      <c r="G91" s="222"/>
      <c r="H91" s="37"/>
      <c r="I91" s="5"/>
    </row>
    <row r="92" spans="1:9" ht="15.75" customHeight="1">
      <c r="A92" s="11"/>
      <c r="B92" s="11"/>
      <c r="C92" s="11"/>
      <c r="D92" s="11"/>
      <c r="E92" s="11"/>
      <c r="F92" s="11"/>
      <c r="G92" s="11"/>
      <c r="H92" s="11"/>
      <c r="I92" s="11"/>
    </row>
    <row r="93" spans="1:9" ht="15.75" customHeight="1">
      <c r="A93" s="217" t="s">
        <v>8</v>
      </c>
      <c r="B93" s="217"/>
      <c r="C93" s="217"/>
      <c r="D93" s="217"/>
      <c r="E93" s="217"/>
      <c r="F93" s="217"/>
      <c r="G93" s="217"/>
      <c r="H93" s="217"/>
      <c r="I93" s="217"/>
    </row>
    <row r="94" spans="1:9" ht="15.75" customHeight="1">
      <c r="A94" s="217" t="s">
        <v>9</v>
      </c>
      <c r="B94" s="217"/>
      <c r="C94" s="217"/>
      <c r="D94" s="217"/>
      <c r="E94" s="217"/>
      <c r="F94" s="217"/>
      <c r="G94" s="217"/>
      <c r="H94" s="217"/>
      <c r="I94" s="217"/>
    </row>
    <row r="95" spans="1:9" ht="15.75" customHeight="1">
      <c r="A95" s="219" t="s">
        <v>76</v>
      </c>
      <c r="B95" s="219"/>
      <c r="C95" s="219"/>
      <c r="D95" s="219"/>
      <c r="E95" s="219"/>
      <c r="F95" s="219"/>
      <c r="G95" s="219"/>
      <c r="H95" s="219"/>
      <c r="I95" s="219"/>
    </row>
    <row r="96" spans="1:9" ht="15.75" customHeight="1">
      <c r="A96" s="12"/>
    </row>
    <row r="97" spans="1:9" ht="15.75" customHeight="1">
      <c r="A97" s="220" t="s">
        <v>11</v>
      </c>
      <c r="B97" s="220"/>
      <c r="C97" s="220"/>
      <c r="D97" s="220"/>
      <c r="E97" s="220"/>
      <c r="F97" s="220"/>
      <c r="G97" s="220"/>
      <c r="H97" s="220"/>
      <c r="I97" s="220"/>
    </row>
    <row r="98" spans="1:9" ht="15.75" customHeight="1">
      <c r="A98" s="4"/>
    </row>
    <row r="99" spans="1:9" ht="15.75" customHeight="1">
      <c r="B99" s="204" t="s">
        <v>12</v>
      </c>
      <c r="C99" s="224" t="s">
        <v>136</v>
      </c>
      <c r="D99" s="224"/>
      <c r="E99" s="224"/>
      <c r="F99" s="244"/>
      <c r="I99" s="207"/>
    </row>
    <row r="100" spans="1:9" ht="15.75" customHeight="1">
      <c r="A100" s="208"/>
      <c r="C100" s="222" t="s">
        <v>13</v>
      </c>
      <c r="D100" s="222"/>
      <c r="E100" s="222"/>
      <c r="F100" s="37"/>
      <c r="I100" s="206" t="s">
        <v>14</v>
      </c>
    </row>
    <row r="101" spans="1:9" ht="15.75" customHeight="1">
      <c r="A101" s="38"/>
      <c r="C101" s="13"/>
      <c r="D101" s="13"/>
      <c r="G101" s="13"/>
      <c r="H101" s="13"/>
    </row>
    <row r="102" spans="1:9" ht="15.75" customHeight="1">
      <c r="B102" s="204" t="s">
        <v>15</v>
      </c>
      <c r="C102" s="223"/>
      <c r="D102" s="223"/>
      <c r="E102" s="223"/>
      <c r="F102" s="245"/>
      <c r="I102" s="207"/>
    </row>
    <row r="103" spans="1:9" ht="15.75" customHeight="1">
      <c r="A103" s="208"/>
      <c r="C103" s="216" t="s">
        <v>13</v>
      </c>
      <c r="D103" s="216"/>
      <c r="E103" s="216"/>
      <c r="F103" s="208"/>
      <c r="I103" s="206" t="s">
        <v>14</v>
      </c>
    </row>
    <row r="104" spans="1:9" ht="15.75" customHeight="1">
      <c r="A104" s="4" t="s">
        <v>16</v>
      </c>
    </row>
    <row r="105" spans="1:9">
      <c r="A105" s="234" t="s">
        <v>17</v>
      </c>
      <c r="B105" s="234"/>
      <c r="C105" s="234"/>
      <c r="D105" s="234"/>
      <c r="E105" s="234"/>
      <c r="F105" s="234"/>
      <c r="G105" s="234"/>
      <c r="H105" s="234"/>
      <c r="I105" s="234"/>
    </row>
    <row r="106" spans="1:9" ht="47.25" customHeight="1">
      <c r="A106" s="235" t="s">
        <v>18</v>
      </c>
      <c r="B106" s="235"/>
      <c r="C106" s="235"/>
      <c r="D106" s="235"/>
      <c r="E106" s="235"/>
      <c r="F106" s="235"/>
      <c r="G106" s="235"/>
      <c r="H106" s="235"/>
      <c r="I106" s="235"/>
    </row>
    <row r="107" spans="1:9" ht="31.5" customHeight="1">
      <c r="A107" s="235" t="s">
        <v>19</v>
      </c>
      <c r="B107" s="235"/>
      <c r="C107" s="235"/>
      <c r="D107" s="235"/>
      <c r="E107" s="235"/>
      <c r="F107" s="235"/>
      <c r="G107" s="235"/>
      <c r="H107" s="235"/>
      <c r="I107" s="235"/>
    </row>
    <row r="108" spans="1:9" ht="31.5" customHeight="1">
      <c r="A108" s="235" t="s">
        <v>24</v>
      </c>
      <c r="B108" s="235"/>
      <c r="C108" s="235"/>
      <c r="D108" s="235"/>
      <c r="E108" s="235"/>
      <c r="F108" s="235"/>
      <c r="G108" s="235"/>
      <c r="H108" s="235"/>
      <c r="I108" s="235"/>
    </row>
    <row r="109" spans="1:9" ht="15.75">
      <c r="A109" s="235" t="s">
        <v>23</v>
      </c>
      <c r="B109" s="235"/>
      <c r="C109" s="235"/>
      <c r="D109" s="235"/>
      <c r="E109" s="235"/>
      <c r="F109" s="235"/>
      <c r="G109" s="235"/>
      <c r="H109" s="235"/>
      <c r="I109" s="235"/>
    </row>
  </sheetData>
  <autoFilter ref="I12:I62"/>
  <mergeCells count="28">
    <mergeCell ref="A106:I106"/>
    <mergeCell ref="A107:I107"/>
    <mergeCell ref="A108:I108"/>
    <mergeCell ref="A109:I109"/>
    <mergeCell ref="A97:I97"/>
    <mergeCell ref="C99:E99"/>
    <mergeCell ref="C100:E100"/>
    <mergeCell ref="C102:E102"/>
    <mergeCell ref="C103:E103"/>
    <mergeCell ref="A105:I105"/>
    <mergeCell ref="A89:I89"/>
    <mergeCell ref="B90:G90"/>
    <mergeCell ref="B91:G91"/>
    <mergeCell ref="A93:I93"/>
    <mergeCell ref="A94:I94"/>
    <mergeCell ref="A95:I95"/>
    <mergeCell ref="A15:I15"/>
    <mergeCell ref="A27:I27"/>
    <mergeCell ref="A42:I42"/>
    <mergeCell ref="A53:I53"/>
    <mergeCell ref="R67:U67"/>
    <mergeCell ref="A75:I7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0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123</v>
      </c>
      <c r="I1" s="40"/>
      <c r="J1" s="1"/>
      <c r="K1" s="1"/>
      <c r="L1" s="1"/>
      <c r="M1" s="1"/>
    </row>
    <row r="2" spans="1:13" ht="15.75" customHeight="1">
      <c r="A2" s="42" t="s">
        <v>79</v>
      </c>
      <c r="J2" s="2"/>
      <c r="K2" s="2"/>
      <c r="L2" s="2"/>
      <c r="M2" s="2"/>
    </row>
    <row r="3" spans="1:13" ht="15.75" customHeight="1">
      <c r="A3" s="236" t="s">
        <v>281</v>
      </c>
      <c r="B3" s="236"/>
      <c r="C3" s="236"/>
      <c r="D3" s="236"/>
      <c r="E3" s="236"/>
      <c r="F3" s="236"/>
      <c r="G3" s="236"/>
      <c r="H3" s="236"/>
      <c r="I3" s="236"/>
      <c r="J3" s="3"/>
      <c r="K3" s="3"/>
      <c r="L3" s="3"/>
    </row>
    <row r="4" spans="1:13" ht="31.5" customHeight="1">
      <c r="A4" s="237" t="s">
        <v>211</v>
      </c>
      <c r="B4" s="237"/>
      <c r="C4" s="237"/>
      <c r="D4" s="237"/>
      <c r="E4" s="237"/>
      <c r="F4" s="237"/>
      <c r="G4" s="237"/>
      <c r="H4" s="237"/>
      <c r="I4" s="237"/>
    </row>
    <row r="5" spans="1:13" ht="15.75" customHeight="1">
      <c r="A5" s="236" t="s">
        <v>77</v>
      </c>
      <c r="B5" s="238"/>
      <c r="C5" s="238"/>
      <c r="D5" s="238"/>
      <c r="E5" s="238"/>
      <c r="F5" s="238"/>
      <c r="G5" s="238"/>
      <c r="H5" s="238"/>
      <c r="I5" s="238"/>
      <c r="J5" s="2"/>
      <c r="K5" s="2"/>
      <c r="L5" s="2"/>
      <c r="M5" s="2"/>
    </row>
    <row r="6" spans="1:13" ht="15.75" customHeight="1">
      <c r="A6" s="2"/>
      <c r="B6" s="209"/>
      <c r="C6" s="209"/>
      <c r="D6" s="209"/>
      <c r="E6" s="209"/>
      <c r="F6" s="209"/>
      <c r="G6" s="209"/>
      <c r="H6" s="209"/>
      <c r="I6" s="50">
        <v>42613</v>
      </c>
      <c r="J6" s="2"/>
      <c r="K6" s="2"/>
      <c r="L6" s="2"/>
      <c r="M6" s="2"/>
    </row>
    <row r="7" spans="1:13" ht="15.75" customHeight="1">
      <c r="B7" s="204"/>
      <c r="C7" s="204"/>
      <c r="D7" s="20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4" t="s">
        <v>226</v>
      </c>
      <c r="B8" s="214"/>
      <c r="C8" s="214"/>
      <c r="D8" s="214"/>
      <c r="E8" s="214"/>
      <c r="F8" s="214"/>
      <c r="G8" s="214"/>
      <c r="H8" s="214"/>
      <c r="I8" s="21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5" t="s">
        <v>212</v>
      </c>
      <c r="B10" s="215"/>
      <c r="C10" s="215"/>
      <c r="D10" s="215"/>
      <c r="E10" s="215"/>
      <c r="F10" s="215"/>
      <c r="G10" s="215"/>
      <c r="H10" s="215"/>
      <c r="I10" s="21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9" t="s">
        <v>73</v>
      </c>
      <c r="B14" s="239"/>
      <c r="C14" s="239"/>
      <c r="D14" s="239"/>
      <c r="E14" s="239"/>
      <c r="F14" s="239"/>
      <c r="G14" s="239"/>
      <c r="H14" s="239"/>
      <c r="I14" s="239"/>
      <c r="J14" s="8"/>
      <c r="K14" s="8"/>
      <c r="L14" s="8"/>
      <c r="M14" s="8"/>
    </row>
    <row r="15" spans="1:13" ht="15.75" customHeight="1">
      <c r="A15" s="277" t="s">
        <v>4</v>
      </c>
      <c r="B15" s="277"/>
      <c r="C15" s="277"/>
      <c r="D15" s="277"/>
      <c r="E15" s="277"/>
      <c r="F15" s="277"/>
      <c r="G15" s="277"/>
      <c r="H15" s="277"/>
      <c r="I15" s="277"/>
      <c r="J15" s="8"/>
      <c r="K15" s="8"/>
      <c r="L15" s="8"/>
      <c r="M15" s="8"/>
    </row>
    <row r="16" spans="1:13" ht="31.5" customHeight="1">
      <c r="A16" s="46">
        <v>1</v>
      </c>
      <c r="B16" s="247" t="s">
        <v>125</v>
      </c>
      <c r="C16" s="248" t="s">
        <v>163</v>
      </c>
      <c r="D16" s="247" t="s">
        <v>228</v>
      </c>
      <c r="E16" s="249">
        <v>92.5</v>
      </c>
      <c r="F16" s="250">
        <f>SUM(E16*156/100)</f>
        <v>144.30000000000001</v>
      </c>
      <c r="G16" s="250">
        <v>175.38</v>
      </c>
      <c r="H16" s="251">
        <f t="shared" ref="H16:H24" si="0">SUM(F16*G16/1000)</f>
        <v>25.307334000000001</v>
      </c>
      <c r="I16" s="18">
        <f>F16/12*G16</f>
        <v>2108.9445000000001</v>
      </c>
      <c r="J16" s="8"/>
      <c r="K16" s="8"/>
      <c r="L16" s="8"/>
      <c r="M16" s="8"/>
    </row>
    <row r="17" spans="1:13" ht="31.5" customHeight="1">
      <c r="A17" s="46">
        <v>2</v>
      </c>
      <c r="B17" s="247" t="s">
        <v>185</v>
      </c>
      <c r="C17" s="248" t="s">
        <v>163</v>
      </c>
      <c r="D17" s="247" t="s">
        <v>229</v>
      </c>
      <c r="E17" s="249">
        <v>288.8</v>
      </c>
      <c r="F17" s="250">
        <f>SUM(E17*104/100)</f>
        <v>300.35200000000003</v>
      </c>
      <c r="G17" s="250">
        <v>175.38</v>
      </c>
      <c r="H17" s="251">
        <f t="shared" si="0"/>
        <v>52.67573376</v>
      </c>
      <c r="I17" s="18">
        <f>F17/12*G17</f>
        <v>4389.6444800000008</v>
      </c>
      <c r="J17" s="33"/>
      <c r="K17" s="8"/>
      <c r="L17" s="8"/>
      <c r="M17" s="8"/>
    </row>
    <row r="18" spans="1:13" ht="31.5" customHeight="1">
      <c r="A18" s="46">
        <v>3</v>
      </c>
      <c r="B18" s="247" t="s">
        <v>252</v>
      </c>
      <c r="C18" s="248" t="s">
        <v>163</v>
      </c>
      <c r="D18" s="247" t="s">
        <v>253</v>
      </c>
      <c r="E18" s="249">
        <f>SUM(E16+E17)</f>
        <v>381.3</v>
      </c>
      <c r="F18" s="250">
        <f>SUM(E18*12/100)</f>
        <v>45.756</v>
      </c>
      <c r="G18" s="250">
        <v>504.5</v>
      </c>
      <c r="H18" s="251">
        <f t="shared" si="0"/>
        <v>23.083902000000002</v>
      </c>
      <c r="I18" s="18">
        <f>F18/12*G18</f>
        <v>1923.6585</v>
      </c>
      <c r="J18" s="33"/>
      <c r="K18" s="8"/>
      <c r="L18" s="8"/>
      <c r="M18" s="8"/>
    </row>
    <row r="19" spans="1:13" ht="15.75" hidden="1" customHeight="1">
      <c r="A19" s="46">
        <v>4</v>
      </c>
      <c r="B19" s="247" t="s">
        <v>187</v>
      </c>
      <c r="C19" s="248" t="s">
        <v>188</v>
      </c>
      <c r="D19" s="247" t="s">
        <v>189</v>
      </c>
      <c r="E19" s="249">
        <v>19.2</v>
      </c>
      <c r="F19" s="250">
        <f>SUM(E19/10)</f>
        <v>1.92</v>
      </c>
      <c r="G19" s="250">
        <v>170.16</v>
      </c>
      <c r="H19" s="251">
        <f t="shared" si="0"/>
        <v>0.32670719999999998</v>
      </c>
      <c r="I19" s="18">
        <v>0</v>
      </c>
      <c r="J19" s="33"/>
      <c r="K19" s="8"/>
      <c r="L19" s="8"/>
      <c r="M19" s="8"/>
    </row>
    <row r="20" spans="1:13" ht="15.75" customHeight="1">
      <c r="A20" s="46">
        <v>4</v>
      </c>
      <c r="B20" s="247" t="s">
        <v>162</v>
      </c>
      <c r="C20" s="248" t="s">
        <v>163</v>
      </c>
      <c r="D20" s="247" t="s">
        <v>35</v>
      </c>
      <c r="E20" s="249">
        <v>27.3</v>
      </c>
      <c r="F20" s="250">
        <f>SUM(E20*12/100)</f>
        <v>3.2760000000000002</v>
      </c>
      <c r="G20" s="250">
        <v>217.88</v>
      </c>
      <c r="H20" s="251">
        <f t="shared" si="0"/>
        <v>0.71377488</v>
      </c>
      <c r="I20" s="18">
        <f>F20/12*G20</f>
        <v>59.48124</v>
      </c>
      <c r="J20" s="33"/>
      <c r="K20" s="8"/>
      <c r="L20" s="8"/>
      <c r="M20" s="8"/>
    </row>
    <row r="21" spans="1:13" ht="15.75" customHeight="1">
      <c r="A21" s="46">
        <v>5</v>
      </c>
      <c r="B21" s="247" t="s">
        <v>178</v>
      </c>
      <c r="C21" s="248" t="s">
        <v>163</v>
      </c>
      <c r="D21" s="247" t="s">
        <v>35</v>
      </c>
      <c r="E21" s="249">
        <v>9.08</v>
      </c>
      <c r="F21" s="250">
        <f>SUM(E21*12/100)</f>
        <v>1.0896000000000001</v>
      </c>
      <c r="G21" s="250">
        <v>216.12</v>
      </c>
      <c r="H21" s="251">
        <f t="shared" si="0"/>
        <v>0.23548435200000004</v>
      </c>
      <c r="I21" s="18">
        <f>F21/12*G21</f>
        <v>19.623696000000002</v>
      </c>
      <c r="J21" s="33"/>
      <c r="K21" s="8"/>
      <c r="L21" s="8"/>
      <c r="M21" s="8"/>
    </row>
    <row r="22" spans="1:13" ht="15.75" hidden="1" customHeight="1">
      <c r="A22" s="46">
        <v>7</v>
      </c>
      <c r="B22" s="247" t="s">
        <v>166</v>
      </c>
      <c r="C22" s="248" t="s">
        <v>65</v>
      </c>
      <c r="D22" s="247" t="s">
        <v>189</v>
      </c>
      <c r="E22" s="252">
        <v>12.6</v>
      </c>
      <c r="F22" s="250">
        <f>SUM(E22/100)</f>
        <v>0.126</v>
      </c>
      <c r="G22" s="250">
        <v>44.29</v>
      </c>
      <c r="H22" s="251">
        <f t="shared" si="0"/>
        <v>5.5805400000000002E-3</v>
      </c>
      <c r="I22" s="18">
        <v>0</v>
      </c>
      <c r="J22" s="33"/>
      <c r="K22" s="8"/>
      <c r="L22" s="8"/>
      <c r="M22" s="8"/>
    </row>
    <row r="23" spans="1:13" ht="15.75" customHeight="1">
      <c r="A23" s="46">
        <v>6</v>
      </c>
      <c r="B23" s="247" t="s">
        <v>168</v>
      </c>
      <c r="C23" s="248" t="s">
        <v>65</v>
      </c>
      <c r="D23" s="247" t="s">
        <v>169</v>
      </c>
      <c r="E23" s="249">
        <v>20</v>
      </c>
      <c r="F23" s="250">
        <f>E23*12/100</f>
        <v>2.4</v>
      </c>
      <c r="G23" s="250">
        <v>389.72</v>
      </c>
      <c r="H23" s="251">
        <f t="shared" si="0"/>
        <v>0.93532799999999994</v>
      </c>
      <c r="I23" s="18">
        <f>F23/12*G23</f>
        <v>77.944000000000003</v>
      </c>
      <c r="J23" s="33"/>
      <c r="K23" s="8"/>
      <c r="L23" s="8"/>
      <c r="M23" s="8"/>
    </row>
    <row r="24" spans="1:13" ht="15.75" hidden="1" customHeight="1">
      <c r="A24" s="46">
        <v>9</v>
      </c>
      <c r="B24" s="247" t="s">
        <v>170</v>
      </c>
      <c r="C24" s="248" t="s">
        <v>65</v>
      </c>
      <c r="D24" s="247" t="s">
        <v>189</v>
      </c>
      <c r="E24" s="249">
        <v>17</v>
      </c>
      <c r="F24" s="250">
        <f>SUM(E24/100)</f>
        <v>0.17</v>
      </c>
      <c r="G24" s="250">
        <v>520.79999999999995</v>
      </c>
      <c r="H24" s="251">
        <f t="shared" si="0"/>
        <v>8.8536000000000004E-2</v>
      </c>
      <c r="I24" s="18">
        <v>0</v>
      </c>
      <c r="J24" s="33"/>
      <c r="K24" s="8"/>
      <c r="L24" s="8"/>
      <c r="M24" s="8"/>
    </row>
    <row r="25" spans="1:13" ht="15.75" customHeight="1">
      <c r="A25" s="46">
        <v>7</v>
      </c>
      <c r="B25" s="247" t="s">
        <v>81</v>
      </c>
      <c r="C25" s="248" t="s">
        <v>38</v>
      </c>
      <c r="D25" s="247" t="s">
        <v>232</v>
      </c>
      <c r="E25" s="249">
        <v>0.1</v>
      </c>
      <c r="F25" s="250">
        <f>SUM(E25*365)</f>
        <v>36.5</v>
      </c>
      <c r="G25" s="250">
        <v>147.03</v>
      </c>
      <c r="H25" s="251">
        <f>SUM(F25*G25/1000)</f>
        <v>5.3665950000000002</v>
      </c>
      <c r="I25" s="18">
        <f>F25/12*G25</f>
        <v>447.21625</v>
      </c>
      <c r="J25" s="33"/>
      <c r="K25" s="8"/>
      <c r="L25" s="8"/>
      <c r="M25" s="8"/>
    </row>
    <row r="26" spans="1:13" ht="15.75" customHeight="1">
      <c r="A26" s="46">
        <v>8</v>
      </c>
      <c r="B26" s="257" t="s">
        <v>26</v>
      </c>
      <c r="C26" s="248" t="s">
        <v>27</v>
      </c>
      <c r="D26" s="257" t="s">
        <v>234</v>
      </c>
      <c r="E26" s="249">
        <v>3053.4</v>
      </c>
      <c r="F26" s="250">
        <f>SUM(E26*12)</f>
        <v>36640.800000000003</v>
      </c>
      <c r="G26" s="250">
        <v>4.55</v>
      </c>
      <c r="H26" s="251">
        <f>SUM(F26*G26/1000)</f>
        <v>166.71564000000001</v>
      </c>
      <c r="I26" s="18">
        <f>F26/12*G26</f>
        <v>13892.97</v>
      </c>
      <c r="J26" s="34"/>
    </row>
    <row r="27" spans="1:13" ht="15.75" customHeight="1">
      <c r="A27" s="278" t="s">
        <v>120</v>
      </c>
      <c r="B27" s="279"/>
      <c r="C27" s="279"/>
      <c r="D27" s="279"/>
      <c r="E27" s="279"/>
      <c r="F27" s="279"/>
      <c r="G27" s="279"/>
      <c r="H27" s="279"/>
      <c r="I27" s="280"/>
      <c r="J27" s="33"/>
      <c r="K27" s="8"/>
      <c r="L27" s="8"/>
      <c r="M27" s="8"/>
    </row>
    <row r="28" spans="1:13" ht="15.75" customHeight="1">
      <c r="A28" s="46"/>
      <c r="B28" s="281" t="s">
        <v>33</v>
      </c>
      <c r="C28" s="248"/>
      <c r="D28" s="247"/>
      <c r="E28" s="249"/>
      <c r="F28" s="250"/>
      <c r="G28" s="250"/>
      <c r="H28" s="254"/>
      <c r="I28" s="255"/>
      <c r="J28" s="33"/>
      <c r="K28" s="8"/>
      <c r="L28" s="8"/>
      <c r="M28" s="8"/>
    </row>
    <row r="29" spans="1:13" ht="31.5" customHeight="1">
      <c r="A29" s="46">
        <v>9</v>
      </c>
      <c r="B29" s="247" t="s">
        <v>190</v>
      </c>
      <c r="C29" s="248" t="s">
        <v>191</v>
      </c>
      <c r="D29" s="247" t="s">
        <v>230</v>
      </c>
      <c r="E29" s="250">
        <v>561.6</v>
      </c>
      <c r="F29" s="250">
        <f>SUM(E29*52/1000)</f>
        <v>29.203200000000002</v>
      </c>
      <c r="G29" s="250">
        <v>155.88999999999999</v>
      </c>
      <c r="H29" s="251">
        <f t="shared" ref="H29:H34" si="1">SUM(F29*G29/1000)</f>
        <v>4.5524868479999991</v>
      </c>
      <c r="I29" s="18">
        <f t="shared" ref="I29:I32" si="2">F29/6*G29</f>
        <v>758.74780799999996</v>
      </c>
      <c r="J29" s="33"/>
      <c r="K29" s="8"/>
      <c r="L29" s="8"/>
      <c r="M29" s="8"/>
    </row>
    <row r="30" spans="1:13" ht="31.5" customHeight="1">
      <c r="A30" s="46">
        <v>10</v>
      </c>
      <c r="B30" s="247" t="s">
        <v>254</v>
      </c>
      <c r="C30" s="248" t="s">
        <v>191</v>
      </c>
      <c r="D30" s="247" t="s">
        <v>231</v>
      </c>
      <c r="E30" s="250">
        <v>205.7</v>
      </c>
      <c r="F30" s="250">
        <f>SUM(E30*78/1000)</f>
        <v>16.044599999999999</v>
      </c>
      <c r="G30" s="250">
        <v>258.63</v>
      </c>
      <c r="H30" s="251">
        <f t="shared" si="1"/>
        <v>4.1496148979999994</v>
      </c>
      <c r="I30" s="18">
        <f t="shared" si="2"/>
        <v>691.60248299999989</v>
      </c>
      <c r="J30" s="33"/>
      <c r="K30" s="8"/>
      <c r="L30" s="8"/>
      <c r="M30" s="8"/>
    </row>
    <row r="31" spans="1:13" ht="15.75" hidden="1" customHeight="1">
      <c r="A31" s="46">
        <v>11</v>
      </c>
      <c r="B31" s="247" t="s">
        <v>32</v>
      </c>
      <c r="C31" s="248" t="s">
        <v>191</v>
      </c>
      <c r="D31" s="247" t="s">
        <v>66</v>
      </c>
      <c r="E31" s="250">
        <v>561.6</v>
      </c>
      <c r="F31" s="250">
        <f>SUM(E31/1000)</f>
        <v>0.56159999999999999</v>
      </c>
      <c r="G31" s="250">
        <v>3020.33</v>
      </c>
      <c r="H31" s="251">
        <f t="shared" si="1"/>
        <v>1.6962173279999999</v>
      </c>
      <c r="I31" s="18">
        <f>F31*G31</f>
        <v>1696.217328</v>
      </c>
      <c r="J31" s="33"/>
      <c r="K31" s="8"/>
      <c r="L31" s="8"/>
      <c r="M31" s="8"/>
    </row>
    <row r="32" spans="1:13" ht="15.75" customHeight="1">
      <c r="A32" s="46">
        <v>11</v>
      </c>
      <c r="B32" s="247" t="s">
        <v>193</v>
      </c>
      <c r="C32" s="248" t="s">
        <v>36</v>
      </c>
      <c r="D32" s="247" t="s">
        <v>80</v>
      </c>
      <c r="E32" s="256">
        <v>0.33333333333333331</v>
      </c>
      <c r="F32" s="250">
        <f>155/3</f>
        <v>51.666666666666664</v>
      </c>
      <c r="G32" s="250">
        <v>56.69</v>
      </c>
      <c r="H32" s="251">
        <f>SUM(G32*155/3/1000)</f>
        <v>2.9289833333333331</v>
      </c>
      <c r="I32" s="18">
        <f t="shared" si="2"/>
        <v>488.16388888888883</v>
      </c>
      <c r="J32" s="33"/>
      <c r="K32" s="8"/>
      <c r="L32" s="8"/>
      <c r="M32" s="8"/>
    </row>
    <row r="33" spans="1:14" ht="15.75" hidden="1" customHeight="1">
      <c r="A33" s="46"/>
      <c r="B33" s="247" t="s">
        <v>82</v>
      </c>
      <c r="C33" s="248" t="s">
        <v>38</v>
      </c>
      <c r="D33" s="247" t="s">
        <v>84</v>
      </c>
      <c r="E33" s="249"/>
      <c r="F33" s="250">
        <v>2</v>
      </c>
      <c r="G33" s="250">
        <v>191.32</v>
      </c>
      <c r="H33" s="251">
        <f t="shared" si="1"/>
        <v>0.38263999999999998</v>
      </c>
      <c r="I33" s="18">
        <v>0</v>
      </c>
      <c r="J33" s="33"/>
      <c r="K33" s="8"/>
      <c r="L33" s="8"/>
      <c r="M33" s="8"/>
    </row>
    <row r="34" spans="1:14" ht="15.75" hidden="1" customHeight="1">
      <c r="A34" s="46"/>
      <c r="B34" s="247" t="s">
        <v>83</v>
      </c>
      <c r="C34" s="248" t="s">
        <v>37</v>
      </c>
      <c r="D34" s="247" t="s">
        <v>84</v>
      </c>
      <c r="E34" s="249"/>
      <c r="F34" s="250">
        <v>1</v>
      </c>
      <c r="G34" s="250">
        <v>1136.33</v>
      </c>
      <c r="H34" s="251">
        <f t="shared" si="1"/>
        <v>1.1363299999999998</v>
      </c>
      <c r="I34" s="18">
        <v>0</v>
      </c>
      <c r="J34" s="33"/>
      <c r="K34" s="8"/>
    </row>
    <row r="35" spans="1:14" ht="15.75" hidden="1" customHeight="1">
      <c r="A35" s="46"/>
      <c r="B35" s="281" t="s">
        <v>5</v>
      </c>
      <c r="C35" s="248"/>
      <c r="D35" s="247"/>
      <c r="E35" s="249"/>
      <c r="F35" s="250"/>
      <c r="G35" s="250"/>
      <c r="H35" s="254" t="s">
        <v>234</v>
      </c>
      <c r="I35" s="255"/>
      <c r="J35" s="34"/>
    </row>
    <row r="36" spans="1:14" ht="15.75" hidden="1" customHeight="1">
      <c r="A36" s="46">
        <v>9</v>
      </c>
      <c r="B36" s="247" t="s">
        <v>31</v>
      </c>
      <c r="C36" s="248" t="s">
        <v>37</v>
      </c>
      <c r="D36" s="247"/>
      <c r="E36" s="249"/>
      <c r="F36" s="250">
        <v>3</v>
      </c>
      <c r="G36" s="250">
        <v>1527.22</v>
      </c>
      <c r="H36" s="251">
        <f t="shared" ref="H36:H38" si="3">SUM(F36*G36/1000)</f>
        <v>4.5816600000000003</v>
      </c>
      <c r="I36" s="18">
        <f t="shared" ref="I36:I41" si="4">F36/6*G36</f>
        <v>763.61</v>
      </c>
      <c r="J36" s="34"/>
    </row>
    <row r="37" spans="1:14" ht="15.75" hidden="1" customHeight="1">
      <c r="A37" s="46">
        <v>10</v>
      </c>
      <c r="B37" s="247" t="s">
        <v>85</v>
      </c>
      <c r="C37" s="248" t="s">
        <v>34</v>
      </c>
      <c r="D37" s="247" t="s">
        <v>217</v>
      </c>
      <c r="E37" s="250">
        <v>205.7</v>
      </c>
      <c r="F37" s="250">
        <f>SUM(E37*20/1000)</f>
        <v>4.1139999999999999</v>
      </c>
      <c r="G37" s="250">
        <v>2102.71</v>
      </c>
      <c r="H37" s="251">
        <f t="shared" si="3"/>
        <v>8.6505489400000002</v>
      </c>
      <c r="I37" s="18">
        <f t="shared" si="4"/>
        <v>1441.7581566666665</v>
      </c>
      <c r="J37" s="34"/>
    </row>
    <row r="38" spans="1:14" ht="15.75" hidden="1" customHeight="1">
      <c r="A38" s="46">
        <v>11</v>
      </c>
      <c r="B38" s="247" t="s">
        <v>86</v>
      </c>
      <c r="C38" s="248" t="s">
        <v>34</v>
      </c>
      <c r="D38" s="247" t="s">
        <v>218</v>
      </c>
      <c r="E38" s="249">
        <v>89.1</v>
      </c>
      <c r="F38" s="250">
        <f>SUM(E38*155/1000)</f>
        <v>13.810499999999999</v>
      </c>
      <c r="G38" s="250">
        <v>350.75</v>
      </c>
      <c r="H38" s="251">
        <f t="shared" si="3"/>
        <v>4.8440328749999999</v>
      </c>
      <c r="I38" s="18">
        <f t="shared" si="4"/>
        <v>807.3388124999999</v>
      </c>
      <c r="J38" s="34"/>
    </row>
    <row r="39" spans="1:14" ht="47.25" hidden="1" customHeight="1">
      <c r="A39" s="46">
        <v>12</v>
      </c>
      <c r="B39" s="247" t="s">
        <v>112</v>
      </c>
      <c r="C39" s="248" t="s">
        <v>191</v>
      </c>
      <c r="D39" s="247" t="s">
        <v>219</v>
      </c>
      <c r="E39" s="250">
        <v>48</v>
      </c>
      <c r="F39" s="250">
        <f>SUM(E39*50/1000)</f>
        <v>2.4</v>
      </c>
      <c r="G39" s="250">
        <v>5803.28</v>
      </c>
      <c r="H39" s="251">
        <f>SUM(F39*G39/1000)</f>
        <v>13.927871999999999</v>
      </c>
      <c r="I39" s="18">
        <f t="shared" si="4"/>
        <v>2321.3119999999999</v>
      </c>
      <c r="J39" s="34"/>
    </row>
    <row r="40" spans="1:14" ht="15.75" hidden="1" customHeight="1">
      <c r="A40" s="46">
        <v>13</v>
      </c>
      <c r="B40" s="247" t="s">
        <v>195</v>
      </c>
      <c r="C40" s="248" t="s">
        <v>191</v>
      </c>
      <c r="D40" s="247" t="s">
        <v>87</v>
      </c>
      <c r="E40" s="250">
        <v>89</v>
      </c>
      <c r="F40" s="250">
        <f>SUM(E40*45/1000)</f>
        <v>4.0049999999999999</v>
      </c>
      <c r="G40" s="250">
        <v>428.7</v>
      </c>
      <c r="H40" s="251">
        <f t="shared" ref="H40:H41" si="5">SUM(F40*G40/1000)</f>
        <v>1.7169435</v>
      </c>
      <c r="I40" s="18">
        <f t="shared" si="4"/>
        <v>286.15724999999998</v>
      </c>
      <c r="J40" s="34"/>
      <c r="L40" s="27"/>
      <c r="M40" s="28"/>
      <c r="N40" s="29"/>
    </row>
    <row r="41" spans="1:14" ht="15.75" hidden="1" customHeight="1">
      <c r="A41" s="285">
        <v>14</v>
      </c>
      <c r="B41" s="261" t="s">
        <v>88</v>
      </c>
      <c r="C41" s="262" t="s">
        <v>38</v>
      </c>
      <c r="D41" s="261"/>
      <c r="E41" s="258"/>
      <c r="F41" s="263">
        <v>0.9</v>
      </c>
      <c r="G41" s="263">
        <v>798</v>
      </c>
      <c r="H41" s="264">
        <f t="shared" si="5"/>
        <v>0.71820000000000006</v>
      </c>
      <c r="I41" s="286">
        <f t="shared" si="4"/>
        <v>119.69999999999999</v>
      </c>
      <c r="J41" s="34"/>
      <c r="L41" s="27"/>
      <c r="M41" s="28"/>
      <c r="N41" s="29"/>
    </row>
    <row r="42" spans="1:14" ht="15.75" customHeight="1">
      <c r="A42" s="282" t="s">
        <v>255</v>
      </c>
      <c r="B42" s="283"/>
      <c r="C42" s="283"/>
      <c r="D42" s="283"/>
      <c r="E42" s="283"/>
      <c r="F42" s="283"/>
      <c r="G42" s="283"/>
      <c r="H42" s="283"/>
      <c r="I42" s="284"/>
      <c r="J42" s="34"/>
      <c r="L42" s="27"/>
      <c r="M42" s="28"/>
      <c r="N42" s="29"/>
    </row>
    <row r="43" spans="1:14" ht="15.75" hidden="1" customHeight="1">
      <c r="A43" s="287"/>
      <c r="B43" s="288" t="s">
        <v>196</v>
      </c>
      <c r="C43" s="289" t="s">
        <v>191</v>
      </c>
      <c r="D43" s="288" t="s">
        <v>53</v>
      </c>
      <c r="E43" s="290">
        <v>1632.75</v>
      </c>
      <c r="F43" s="291">
        <f>SUM(E43*2/1000)</f>
        <v>3.2654999999999998</v>
      </c>
      <c r="G43" s="292">
        <v>809.74</v>
      </c>
      <c r="H43" s="293">
        <f t="shared" ref="H43:H52" si="6">SUM(F43*G43/1000)</f>
        <v>2.6442059699999998</v>
      </c>
      <c r="I43" s="292">
        <v>0</v>
      </c>
      <c r="J43" s="34"/>
      <c r="L43" s="27"/>
      <c r="M43" s="28"/>
      <c r="N43" s="29"/>
    </row>
    <row r="44" spans="1:14" ht="15.75" hidden="1" customHeight="1">
      <c r="A44" s="46"/>
      <c r="B44" s="247" t="s">
        <v>42</v>
      </c>
      <c r="C44" s="248" t="s">
        <v>191</v>
      </c>
      <c r="D44" s="247" t="s">
        <v>53</v>
      </c>
      <c r="E44" s="249">
        <v>53.75</v>
      </c>
      <c r="F44" s="250">
        <f>SUM(E44*2/1000)</f>
        <v>0.1075</v>
      </c>
      <c r="G44" s="18">
        <v>579.48</v>
      </c>
      <c r="H44" s="251">
        <f t="shared" si="6"/>
        <v>6.2294099999999998E-2</v>
      </c>
      <c r="I44" s="18">
        <v>0</v>
      </c>
      <c r="J44" s="34"/>
      <c r="L44" s="27"/>
      <c r="M44" s="28"/>
      <c r="N44" s="29"/>
    </row>
    <row r="45" spans="1:14" ht="15.75" hidden="1" customHeight="1">
      <c r="A45" s="46"/>
      <c r="B45" s="247" t="s">
        <v>43</v>
      </c>
      <c r="C45" s="248" t="s">
        <v>191</v>
      </c>
      <c r="D45" s="247" t="s">
        <v>53</v>
      </c>
      <c r="E45" s="249">
        <v>2285.6</v>
      </c>
      <c r="F45" s="250">
        <f>SUM(E45*2/1000)</f>
        <v>4.5712000000000002</v>
      </c>
      <c r="G45" s="18">
        <v>579.48</v>
      </c>
      <c r="H45" s="251">
        <f t="shared" si="6"/>
        <v>2.6489189760000005</v>
      </c>
      <c r="I45" s="18">
        <v>0</v>
      </c>
      <c r="J45" s="34"/>
      <c r="L45" s="27"/>
      <c r="M45" s="28"/>
      <c r="N45" s="29"/>
    </row>
    <row r="46" spans="1:14" ht="15.75" hidden="1" customHeight="1">
      <c r="A46" s="46"/>
      <c r="B46" s="247" t="s">
        <v>44</v>
      </c>
      <c r="C46" s="248" t="s">
        <v>191</v>
      </c>
      <c r="D46" s="247" t="s">
        <v>53</v>
      </c>
      <c r="E46" s="249">
        <v>1860</v>
      </c>
      <c r="F46" s="250">
        <f>SUM(E46*2/1000)</f>
        <v>3.72</v>
      </c>
      <c r="G46" s="18">
        <v>606.77</v>
      </c>
      <c r="H46" s="251">
        <f t="shared" si="6"/>
        <v>2.2571844000000003</v>
      </c>
      <c r="I46" s="18">
        <v>0</v>
      </c>
      <c r="J46" s="34"/>
      <c r="L46" s="27"/>
      <c r="M46" s="28"/>
      <c r="N46" s="29"/>
    </row>
    <row r="47" spans="1:14" ht="15.75" hidden="1" customHeight="1">
      <c r="A47" s="46"/>
      <c r="B47" s="247" t="s">
        <v>40</v>
      </c>
      <c r="C47" s="248" t="s">
        <v>41</v>
      </c>
      <c r="D47" s="247" t="s">
        <v>53</v>
      </c>
      <c r="E47" s="249">
        <v>120.49</v>
      </c>
      <c r="F47" s="250">
        <f>SUM(E47*2/100)</f>
        <v>2.4097999999999997</v>
      </c>
      <c r="G47" s="18">
        <v>72.81</v>
      </c>
      <c r="H47" s="251">
        <f t="shared" si="6"/>
        <v>0.17545753799999997</v>
      </c>
      <c r="I47" s="18">
        <v>0</v>
      </c>
      <c r="J47" s="34"/>
      <c r="L47" s="27"/>
      <c r="M47" s="28"/>
      <c r="N47" s="29"/>
    </row>
    <row r="48" spans="1:14" ht="15.75" hidden="1" customHeight="1">
      <c r="A48" s="46">
        <v>15</v>
      </c>
      <c r="B48" s="247" t="s">
        <v>70</v>
      </c>
      <c r="C48" s="248" t="s">
        <v>191</v>
      </c>
      <c r="D48" s="247" t="s">
        <v>258</v>
      </c>
      <c r="E48" s="249">
        <v>1728</v>
      </c>
      <c r="F48" s="250">
        <f>SUM(E48*5/1000)</f>
        <v>8.64</v>
      </c>
      <c r="G48" s="18">
        <v>1213.55</v>
      </c>
      <c r="H48" s="251">
        <f t="shared" si="6"/>
        <v>10.485072000000001</v>
      </c>
      <c r="I48" s="18">
        <f>F48/5*G48</f>
        <v>2097.0144</v>
      </c>
      <c r="J48" s="34"/>
      <c r="L48" s="27"/>
      <c r="M48" s="28"/>
      <c r="N48" s="29"/>
    </row>
    <row r="49" spans="1:22" ht="31.5" hidden="1" customHeight="1">
      <c r="A49" s="46"/>
      <c r="B49" s="247" t="s">
        <v>198</v>
      </c>
      <c r="C49" s="248" t="s">
        <v>191</v>
      </c>
      <c r="D49" s="247" t="s">
        <v>53</v>
      </c>
      <c r="E49" s="249">
        <v>1728</v>
      </c>
      <c r="F49" s="250">
        <f>SUM(E49*2/1000)</f>
        <v>3.456</v>
      </c>
      <c r="G49" s="18">
        <v>1213.55</v>
      </c>
      <c r="H49" s="251">
        <f t="shared" si="6"/>
        <v>4.1940287999999999</v>
      </c>
      <c r="I49" s="18">
        <v>0</v>
      </c>
      <c r="J49" s="34"/>
      <c r="L49" s="27"/>
      <c r="M49" s="28"/>
      <c r="N49" s="29"/>
    </row>
    <row r="50" spans="1:22" ht="31.5" hidden="1" customHeight="1">
      <c r="A50" s="46"/>
      <c r="B50" s="247" t="s">
        <v>235</v>
      </c>
      <c r="C50" s="248" t="s">
        <v>47</v>
      </c>
      <c r="D50" s="247" t="s">
        <v>53</v>
      </c>
      <c r="E50" s="249">
        <v>20</v>
      </c>
      <c r="F50" s="250">
        <f>SUM(E50*2/100)</f>
        <v>0.4</v>
      </c>
      <c r="G50" s="18">
        <v>2730.49</v>
      </c>
      <c r="H50" s="251">
        <f t="shared" si="6"/>
        <v>1.0921959999999999</v>
      </c>
      <c r="I50" s="18">
        <v>0</v>
      </c>
      <c r="J50" s="34"/>
      <c r="L50" s="27"/>
      <c r="M50" s="28"/>
      <c r="N50" s="29"/>
    </row>
    <row r="51" spans="1:22" ht="15.75" hidden="1" customHeight="1">
      <c r="A51" s="46"/>
      <c r="B51" s="247" t="s">
        <v>48</v>
      </c>
      <c r="C51" s="248" t="s">
        <v>49</v>
      </c>
      <c r="D51" s="247" t="s">
        <v>53</v>
      </c>
      <c r="E51" s="249">
        <v>1</v>
      </c>
      <c r="F51" s="250">
        <v>0.02</v>
      </c>
      <c r="G51" s="18">
        <v>5652.13</v>
      </c>
      <c r="H51" s="251">
        <f t="shared" si="6"/>
        <v>0.11304260000000001</v>
      </c>
      <c r="I51" s="18">
        <v>0</v>
      </c>
      <c r="J51" s="34"/>
      <c r="L51" s="27"/>
      <c r="M51" s="28"/>
      <c r="N51" s="29"/>
    </row>
    <row r="52" spans="1:22" ht="15.75" customHeight="1">
      <c r="A52" s="46">
        <v>12</v>
      </c>
      <c r="B52" s="247" t="s">
        <v>52</v>
      </c>
      <c r="C52" s="248" t="s">
        <v>142</v>
      </c>
      <c r="D52" s="247" t="s">
        <v>89</v>
      </c>
      <c r="E52" s="249">
        <v>128</v>
      </c>
      <c r="F52" s="250">
        <f>SUM(E52)*3</f>
        <v>384</v>
      </c>
      <c r="G52" s="18">
        <v>65.67</v>
      </c>
      <c r="H52" s="251">
        <f t="shared" si="6"/>
        <v>25.217279999999999</v>
      </c>
      <c r="I52" s="18">
        <f>E52*G52</f>
        <v>8405.76</v>
      </c>
      <c r="J52" s="34"/>
      <c r="L52" s="27"/>
      <c r="M52" s="28"/>
      <c r="N52" s="29"/>
    </row>
    <row r="53" spans="1:22" ht="15.75" customHeight="1">
      <c r="A53" s="278" t="s">
        <v>256</v>
      </c>
      <c r="B53" s="279"/>
      <c r="C53" s="279"/>
      <c r="D53" s="279"/>
      <c r="E53" s="279"/>
      <c r="F53" s="279"/>
      <c r="G53" s="279"/>
      <c r="H53" s="279"/>
      <c r="I53" s="280"/>
      <c r="J53" s="34"/>
      <c r="L53" s="27"/>
      <c r="M53" s="28"/>
      <c r="N53" s="29"/>
    </row>
    <row r="54" spans="1:22" ht="15.75" hidden="1" customHeight="1">
      <c r="A54" s="46"/>
      <c r="B54" s="281" t="s">
        <v>54</v>
      </c>
      <c r="C54" s="248"/>
      <c r="D54" s="247"/>
      <c r="E54" s="249"/>
      <c r="F54" s="250"/>
      <c r="G54" s="250"/>
      <c r="H54" s="254"/>
      <c r="I54" s="255"/>
      <c r="J54" s="34"/>
      <c r="L54" s="27"/>
      <c r="M54" s="28"/>
      <c r="N54" s="29"/>
    </row>
    <row r="55" spans="1:22" ht="31.5" hidden="1" customHeight="1">
      <c r="A55" s="46">
        <v>17</v>
      </c>
      <c r="B55" s="247" t="s">
        <v>200</v>
      </c>
      <c r="C55" s="248" t="s">
        <v>163</v>
      </c>
      <c r="D55" s="247" t="s">
        <v>201</v>
      </c>
      <c r="E55" s="249">
        <v>163.30000000000001</v>
      </c>
      <c r="F55" s="250">
        <f>SUM(E55*6/100)</f>
        <v>9.798</v>
      </c>
      <c r="G55" s="18">
        <v>1547.28</v>
      </c>
      <c r="H55" s="251">
        <f>SUM(F55*G55/1000)</f>
        <v>15.160249439999999</v>
      </c>
      <c r="I55" s="18">
        <f>F55/6*G55</f>
        <v>2526.7082399999999</v>
      </c>
      <c r="J55" s="34"/>
      <c r="L55" s="27"/>
      <c r="M55" s="28"/>
      <c r="N55" s="29"/>
    </row>
    <row r="56" spans="1:22" ht="15.75" customHeight="1">
      <c r="A56" s="46"/>
      <c r="B56" s="281" t="s">
        <v>55</v>
      </c>
      <c r="C56" s="248"/>
      <c r="D56" s="247"/>
      <c r="E56" s="249"/>
      <c r="F56" s="250"/>
      <c r="G56" s="250"/>
      <c r="H56" s="251" t="s">
        <v>234</v>
      </c>
      <c r="I56" s="255"/>
      <c r="J56" s="34"/>
      <c r="L56" s="27"/>
      <c r="M56" s="28"/>
      <c r="N56" s="29"/>
    </row>
    <row r="57" spans="1:22" ht="15.75" hidden="1" customHeight="1">
      <c r="A57" s="46"/>
      <c r="B57" s="247" t="s">
        <v>56</v>
      </c>
      <c r="C57" s="248" t="s">
        <v>163</v>
      </c>
      <c r="D57" s="247" t="s">
        <v>66</v>
      </c>
      <c r="E57" s="258">
        <v>1155.2</v>
      </c>
      <c r="F57" s="259">
        <v>11.6</v>
      </c>
      <c r="G57" s="18">
        <v>793.61</v>
      </c>
      <c r="H57" s="260">
        <v>9.1679999999999993</v>
      </c>
      <c r="I57" s="18">
        <v>0</v>
      </c>
      <c r="J57" s="34"/>
      <c r="L57" s="27"/>
      <c r="M57" s="28"/>
      <c r="N57" s="29"/>
    </row>
    <row r="58" spans="1:22" ht="15.75" customHeight="1">
      <c r="A58" s="46">
        <v>13</v>
      </c>
      <c r="B58" s="261" t="s">
        <v>144</v>
      </c>
      <c r="C58" s="262" t="s">
        <v>29</v>
      </c>
      <c r="D58" s="261" t="s">
        <v>35</v>
      </c>
      <c r="E58" s="258">
        <v>255.2</v>
      </c>
      <c r="F58" s="263">
        <v>3062.4</v>
      </c>
      <c r="G58" s="243">
        <v>2.6</v>
      </c>
      <c r="H58" s="264">
        <f>G58*F58/1000</f>
        <v>7.9622400000000004</v>
      </c>
      <c r="I58" s="18">
        <f>F58/12*G58</f>
        <v>663.5200000000001</v>
      </c>
      <c r="J58" s="34"/>
      <c r="L58" s="27"/>
      <c r="M58" s="28"/>
      <c r="N58" s="29"/>
    </row>
    <row r="59" spans="1:22" ht="15.75" hidden="1" customHeight="1">
      <c r="A59" s="46"/>
      <c r="B59" s="294" t="s">
        <v>57</v>
      </c>
      <c r="C59" s="262"/>
      <c r="D59" s="261"/>
      <c r="E59" s="258"/>
      <c r="F59" s="263"/>
      <c r="G59" s="263"/>
      <c r="H59" s="264" t="s">
        <v>234</v>
      </c>
      <c r="I59" s="255"/>
      <c r="J59" s="34"/>
      <c r="L59" s="27"/>
      <c r="M59" s="28"/>
      <c r="N59" s="29"/>
    </row>
    <row r="60" spans="1:22" ht="15.75" hidden="1" customHeight="1">
      <c r="A60" s="46"/>
      <c r="B60" s="20" t="s">
        <v>58</v>
      </c>
      <c r="C60" s="22" t="s">
        <v>142</v>
      </c>
      <c r="D60" s="20" t="s">
        <v>233</v>
      </c>
      <c r="E60" s="25">
        <v>5</v>
      </c>
      <c r="F60" s="250">
        <v>5</v>
      </c>
      <c r="G60" s="18">
        <v>222.4</v>
      </c>
      <c r="H60" s="265">
        <f t="shared" ref="H60:H67" si="7">SUM(F60*G60/1000)</f>
        <v>1.1120000000000001</v>
      </c>
      <c r="I60" s="18">
        <v>0</v>
      </c>
      <c r="J60" s="34"/>
      <c r="L60" s="27"/>
    </row>
    <row r="61" spans="1:22" ht="15.75" hidden="1" customHeight="1">
      <c r="A61" s="46"/>
      <c r="B61" s="20" t="s">
        <v>59</v>
      </c>
      <c r="C61" s="22" t="s">
        <v>142</v>
      </c>
      <c r="D61" s="20" t="s">
        <v>233</v>
      </c>
      <c r="E61" s="25">
        <v>4</v>
      </c>
      <c r="F61" s="250">
        <v>4</v>
      </c>
      <c r="G61" s="18">
        <v>76.25</v>
      </c>
      <c r="H61" s="265">
        <f t="shared" si="7"/>
        <v>0.30499999999999999</v>
      </c>
      <c r="I61" s="18">
        <v>0</v>
      </c>
      <c r="J61" s="34"/>
      <c r="L61" s="27"/>
    </row>
    <row r="62" spans="1:22" ht="15.75" hidden="1" customHeight="1">
      <c r="A62" s="46"/>
      <c r="B62" s="20" t="s">
        <v>60</v>
      </c>
      <c r="C62" s="22" t="s">
        <v>202</v>
      </c>
      <c r="D62" s="20" t="s">
        <v>66</v>
      </c>
      <c r="E62" s="249">
        <v>15552</v>
      </c>
      <c r="F62" s="18">
        <f>SUM(E62/100)</f>
        <v>155.52000000000001</v>
      </c>
      <c r="G62" s="18">
        <v>212.15</v>
      </c>
      <c r="H62" s="265">
        <f t="shared" si="7"/>
        <v>32.993568000000003</v>
      </c>
      <c r="I62" s="18">
        <v>0</v>
      </c>
    </row>
    <row r="63" spans="1:22" ht="15.75" hidden="1" customHeight="1">
      <c r="A63" s="46"/>
      <c r="B63" s="20" t="s">
        <v>61</v>
      </c>
      <c r="C63" s="22" t="s">
        <v>203</v>
      </c>
      <c r="D63" s="20"/>
      <c r="E63" s="249">
        <v>15552</v>
      </c>
      <c r="F63" s="18">
        <f>SUM(E63/1000)</f>
        <v>15.552</v>
      </c>
      <c r="G63" s="18">
        <v>165.21</v>
      </c>
      <c r="H63" s="265">
        <f t="shared" si="7"/>
        <v>2.5693459200000004</v>
      </c>
      <c r="I63" s="18">
        <v>0</v>
      </c>
    </row>
    <row r="64" spans="1:22" ht="15.75" hidden="1" customHeight="1">
      <c r="A64" s="46"/>
      <c r="B64" s="20" t="s">
        <v>62</v>
      </c>
      <c r="C64" s="22" t="s">
        <v>96</v>
      </c>
      <c r="D64" s="20" t="s">
        <v>66</v>
      </c>
      <c r="E64" s="249">
        <v>2432</v>
      </c>
      <c r="F64" s="18">
        <f>SUM(E64/100)</f>
        <v>24.32</v>
      </c>
      <c r="G64" s="18">
        <v>2074.63</v>
      </c>
      <c r="H64" s="265">
        <f t="shared" si="7"/>
        <v>50.455001600000003</v>
      </c>
      <c r="I64" s="18"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46"/>
      <c r="B65" s="266" t="s">
        <v>90</v>
      </c>
      <c r="C65" s="22" t="s">
        <v>38</v>
      </c>
      <c r="D65" s="20"/>
      <c r="E65" s="249">
        <v>34.5</v>
      </c>
      <c r="F65" s="18">
        <f>SUM(E65)</f>
        <v>34.5</v>
      </c>
      <c r="G65" s="18">
        <v>45.32</v>
      </c>
      <c r="H65" s="265">
        <f t="shared" si="7"/>
        <v>1.5635399999999999</v>
      </c>
      <c r="I65" s="18">
        <v>0</v>
      </c>
      <c r="J65" s="38"/>
      <c r="K65" s="38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31.5" hidden="1" customHeight="1">
      <c r="A66" s="46"/>
      <c r="B66" s="266" t="s">
        <v>91</v>
      </c>
      <c r="C66" s="22" t="s">
        <v>38</v>
      </c>
      <c r="D66" s="20"/>
      <c r="E66" s="249">
        <f>E65</f>
        <v>34.5</v>
      </c>
      <c r="F66" s="18">
        <f>SUM(E66)</f>
        <v>34.5</v>
      </c>
      <c r="G66" s="18">
        <v>42.28</v>
      </c>
      <c r="H66" s="265">
        <f t="shared" si="7"/>
        <v>1.4586600000000001</v>
      </c>
      <c r="I66" s="18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46"/>
      <c r="B67" s="20" t="s">
        <v>71</v>
      </c>
      <c r="C67" s="22" t="s">
        <v>72</v>
      </c>
      <c r="D67" s="20" t="s">
        <v>66</v>
      </c>
      <c r="E67" s="25">
        <v>4</v>
      </c>
      <c r="F67" s="250">
        <f>SUM(E67)</f>
        <v>4</v>
      </c>
      <c r="G67" s="18">
        <v>49.88</v>
      </c>
      <c r="H67" s="265">
        <f t="shared" si="7"/>
        <v>0.19952</v>
      </c>
      <c r="I67" s="18">
        <v>0</v>
      </c>
      <c r="J67" s="5"/>
      <c r="K67" s="5"/>
      <c r="L67" s="5"/>
      <c r="M67" s="5"/>
      <c r="N67" s="5"/>
      <c r="O67" s="5"/>
      <c r="P67" s="5"/>
      <c r="Q67" s="5"/>
      <c r="R67" s="216"/>
      <c r="S67" s="216"/>
      <c r="T67" s="216"/>
      <c r="U67" s="216"/>
    </row>
    <row r="68" spans="1:21" ht="15.75" hidden="1" customHeight="1">
      <c r="A68" s="46"/>
      <c r="B68" s="210" t="s">
        <v>92</v>
      </c>
      <c r="C68" s="22"/>
      <c r="D68" s="20"/>
      <c r="E68" s="25"/>
      <c r="F68" s="18"/>
      <c r="G68" s="18"/>
      <c r="H68" s="265" t="s">
        <v>234</v>
      </c>
      <c r="I68" s="255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ht="15.75" hidden="1" customHeight="1">
      <c r="A69" s="46">
        <v>19</v>
      </c>
      <c r="B69" s="20" t="s">
        <v>93</v>
      </c>
      <c r="C69" s="22" t="s">
        <v>94</v>
      </c>
      <c r="D69" s="20"/>
      <c r="E69" s="25">
        <v>4</v>
      </c>
      <c r="F69" s="18">
        <v>0.4</v>
      </c>
      <c r="G69" s="18">
        <v>501.62</v>
      </c>
      <c r="H69" s="265">
        <f>SUM(F69*G69/1000)</f>
        <v>0.20064800000000002</v>
      </c>
      <c r="I69" s="18">
        <f>G69*0.2</f>
        <v>100.32400000000001</v>
      </c>
    </row>
    <row r="70" spans="1:21" ht="15.75" hidden="1" customHeight="1">
      <c r="A70" s="46"/>
      <c r="B70" s="20" t="s">
        <v>220</v>
      </c>
      <c r="C70" s="22" t="s">
        <v>142</v>
      </c>
      <c r="D70" s="20"/>
      <c r="E70" s="25">
        <v>1</v>
      </c>
      <c r="F70" s="18">
        <f>E70</f>
        <v>1</v>
      </c>
      <c r="G70" s="18">
        <v>852.99</v>
      </c>
      <c r="H70" s="265">
        <f>SUM(F70*G70/1000)</f>
        <v>0.85299000000000003</v>
      </c>
      <c r="I70" s="18">
        <v>0</v>
      </c>
    </row>
    <row r="71" spans="1:21" ht="15.75" hidden="1" customHeight="1">
      <c r="A71" s="46"/>
      <c r="B71" s="269" t="s">
        <v>95</v>
      </c>
      <c r="C71" s="22"/>
      <c r="D71" s="20"/>
      <c r="E71" s="25"/>
      <c r="F71" s="25"/>
      <c r="G71" s="25"/>
      <c r="H71" s="25"/>
      <c r="I71" s="255"/>
    </row>
    <row r="72" spans="1:21" ht="15.75" hidden="1" customHeight="1">
      <c r="A72" s="46"/>
      <c r="B72" s="81" t="s">
        <v>208</v>
      </c>
      <c r="C72" s="22" t="s">
        <v>96</v>
      </c>
      <c r="D72" s="20"/>
      <c r="E72" s="25"/>
      <c r="F72" s="18">
        <v>0.1</v>
      </c>
      <c r="G72" s="18">
        <v>2759.44</v>
      </c>
      <c r="H72" s="268">
        <f t="shared" ref="H72" si="8">SUM(F72*G72/1000)</f>
        <v>0.27594400000000002</v>
      </c>
      <c r="I72" s="18">
        <v>0</v>
      </c>
    </row>
    <row r="73" spans="1:21" ht="15.75" hidden="1" customHeight="1">
      <c r="A73" s="46"/>
      <c r="B73" s="210" t="s">
        <v>206</v>
      </c>
      <c r="C73" s="269"/>
      <c r="D73" s="51"/>
      <c r="E73" s="53"/>
      <c r="F73" s="270"/>
      <c r="G73" s="270"/>
      <c r="H73" s="271">
        <f>SUM(H55:H72)</f>
        <v>124.27670696000001</v>
      </c>
      <c r="I73" s="253"/>
    </row>
    <row r="74" spans="1:21" ht="15.75" hidden="1" customHeight="1">
      <c r="A74" s="285"/>
      <c r="B74" s="261" t="s">
        <v>207</v>
      </c>
      <c r="C74" s="295"/>
      <c r="D74" s="296"/>
      <c r="E74" s="272"/>
      <c r="F74" s="286">
        <f>232/10</f>
        <v>23.2</v>
      </c>
      <c r="G74" s="286">
        <v>11370</v>
      </c>
      <c r="H74" s="297">
        <f>G74*F74/1000</f>
        <v>263.78399999999999</v>
      </c>
      <c r="I74" s="286">
        <v>0</v>
      </c>
    </row>
    <row r="75" spans="1:21" ht="15.75" customHeight="1">
      <c r="A75" s="282" t="s">
        <v>257</v>
      </c>
      <c r="B75" s="283"/>
      <c r="C75" s="283"/>
      <c r="D75" s="283"/>
      <c r="E75" s="283"/>
      <c r="F75" s="283"/>
      <c r="G75" s="283"/>
      <c r="H75" s="283"/>
      <c r="I75" s="284"/>
    </row>
    <row r="76" spans="1:21" ht="15.75" customHeight="1">
      <c r="A76" s="287">
        <v>14</v>
      </c>
      <c r="B76" s="288" t="s">
        <v>209</v>
      </c>
      <c r="C76" s="298" t="s">
        <v>67</v>
      </c>
      <c r="D76" s="299" t="s">
        <v>68</v>
      </c>
      <c r="E76" s="292">
        <v>3053.4</v>
      </c>
      <c r="F76" s="292">
        <f>SUM(E76*12)</f>
        <v>36640.800000000003</v>
      </c>
      <c r="G76" s="292">
        <v>2.1</v>
      </c>
      <c r="H76" s="300">
        <f>SUM(F76*G76/1000)</f>
        <v>76.94568000000001</v>
      </c>
      <c r="I76" s="292">
        <f>F76/12*G76</f>
        <v>6412.14</v>
      </c>
    </row>
    <row r="77" spans="1:21" ht="31.5" customHeight="1">
      <c r="A77" s="46">
        <v>15</v>
      </c>
      <c r="B77" s="20" t="s">
        <v>97</v>
      </c>
      <c r="C77" s="22"/>
      <c r="D77" s="299" t="s">
        <v>68</v>
      </c>
      <c r="E77" s="249">
        <f>E76</f>
        <v>3053.4</v>
      </c>
      <c r="F77" s="18">
        <f>E77*12</f>
        <v>36640.800000000003</v>
      </c>
      <c r="G77" s="18">
        <v>1.63</v>
      </c>
      <c r="H77" s="268">
        <f>F77*G77/1000</f>
        <v>59.724504000000003</v>
      </c>
      <c r="I77" s="18">
        <f>F77/12*G77</f>
        <v>4977.0419999999995</v>
      </c>
    </row>
    <row r="78" spans="1:21" ht="15.75" customHeight="1">
      <c r="A78" s="46"/>
      <c r="B78" s="68" t="s">
        <v>102</v>
      </c>
      <c r="C78" s="269"/>
      <c r="D78" s="267"/>
      <c r="E78" s="270"/>
      <c r="F78" s="270"/>
      <c r="G78" s="270"/>
      <c r="H78" s="271">
        <f>SUM(H77)</f>
        <v>59.724504000000003</v>
      </c>
      <c r="I78" s="270">
        <f>I16+I17+I18+I20+I21+I23+I25+I26+I29+I30+I32+I52+I58+I76+I77</f>
        <v>45316.458845888883</v>
      </c>
    </row>
    <row r="79" spans="1:21" ht="15.75" customHeight="1">
      <c r="A79" s="46"/>
      <c r="B79" s="198" t="s">
        <v>74</v>
      </c>
      <c r="C79" s="22"/>
      <c r="D79" s="81"/>
      <c r="E79" s="18"/>
      <c r="F79" s="18"/>
      <c r="G79" s="18"/>
      <c r="H79" s="23"/>
      <c r="I79" s="255"/>
    </row>
    <row r="80" spans="1:21" ht="15.75" customHeight="1">
      <c r="A80" s="46">
        <v>16</v>
      </c>
      <c r="B80" s="199" t="s">
        <v>173</v>
      </c>
      <c r="C80" s="200" t="s">
        <v>142</v>
      </c>
      <c r="D80" s="81"/>
      <c r="E80" s="18"/>
      <c r="F80" s="18">
        <v>780</v>
      </c>
      <c r="G80" s="18">
        <v>50.68</v>
      </c>
      <c r="H80" s="268">
        <f>G80*F80/1000</f>
        <v>39.5304</v>
      </c>
      <c r="I80" s="18">
        <f>G80*65</f>
        <v>3294.2</v>
      </c>
    </row>
    <row r="81" spans="1:9" ht="15.75" customHeight="1">
      <c r="A81" s="46">
        <v>17</v>
      </c>
      <c r="B81" s="274" t="s">
        <v>145</v>
      </c>
      <c r="C81" s="275" t="s">
        <v>146</v>
      </c>
      <c r="D81" s="81"/>
      <c r="E81" s="18"/>
      <c r="F81" s="18">
        <f>15/3</f>
        <v>5</v>
      </c>
      <c r="G81" s="18">
        <v>1063.47</v>
      </c>
      <c r="H81" s="268">
        <f t="shared" ref="H81:H82" si="9">F81*G81/1000</f>
        <v>5.3173500000000002</v>
      </c>
      <c r="I81" s="18">
        <f>G81</f>
        <v>1063.47</v>
      </c>
    </row>
    <row r="82" spans="1:9" ht="15.75" customHeight="1">
      <c r="A82" s="46">
        <v>18</v>
      </c>
      <c r="B82" s="199" t="s">
        <v>249</v>
      </c>
      <c r="C82" s="200" t="s">
        <v>250</v>
      </c>
      <c r="D82" s="81"/>
      <c r="E82" s="18"/>
      <c r="F82" s="18">
        <v>1</v>
      </c>
      <c r="G82" s="18">
        <v>24407.200000000001</v>
      </c>
      <c r="H82" s="268">
        <f t="shared" si="9"/>
        <v>24.4072</v>
      </c>
      <c r="I82" s="18">
        <f>G82</f>
        <v>24407.200000000001</v>
      </c>
    </row>
    <row r="83" spans="1:9" ht="15.75" customHeight="1">
      <c r="A83" s="46"/>
      <c r="B83" s="75" t="s">
        <v>63</v>
      </c>
      <c r="C83" s="71"/>
      <c r="D83" s="123"/>
      <c r="E83" s="71">
        <v>1</v>
      </c>
      <c r="F83" s="71"/>
      <c r="G83" s="71"/>
      <c r="H83" s="71"/>
      <c r="I83" s="53">
        <f>SUM(I80:I82)</f>
        <v>28764.870000000003</v>
      </c>
    </row>
    <row r="84" spans="1:9" ht="15.75" customHeight="1">
      <c r="A84" s="46"/>
      <c r="B84" s="81" t="s">
        <v>98</v>
      </c>
      <c r="C84" s="21"/>
      <c r="D84" s="21"/>
      <c r="E84" s="72"/>
      <c r="F84" s="72"/>
      <c r="G84" s="73"/>
      <c r="H84" s="73"/>
      <c r="I84" s="24">
        <v>0</v>
      </c>
    </row>
    <row r="85" spans="1:9" ht="15.75" customHeight="1">
      <c r="A85" s="124"/>
      <c r="B85" s="76" t="s">
        <v>64</v>
      </c>
      <c r="C85" s="59"/>
      <c r="D85" s="59"/>
      <c r="E85" s="59"/>
      <c r="F85" s="59"/>
      <c r="G85" s="59"/>
      <c r="H85" s="59"/>
      <c r="I85" s="74">
        <f>I78+I83</f>
        <v>74081.328845888886</v>
      </c>
    </row>
    <row r="86" spans="1:9" ht="15.75">
      <c r="A86" s="240" t="s">
        <v>282</v>
      </c>
      <c r="B86" s="240"/>
      <c r="C86" s="240"/>
      <c r="D86" s="240"/>
      <c r="E86" s="240"/>
      <c r="F86" s="240"/>
      <c r="G86" s="240"/>
      <c r="H86" s="240"/>
      <c r="I86" s="240"/>
    </row>
    <row r="87" spans="1:9" ht="15.75">
      <c r="A87" s="205"/>
      <c r="B87" s="241" t="s">
        <v>283</v>
      </c>
      <c r="C87" s="241"/>
      <c r="D87" s="241"/>
      <c r="E87" s="241"/>
      <c r="F87" s="241"/>
      <c r="G87" s="241"/>
      <c r="H87" s="246"/>
      <c r="I87" s="3"/>
    </row>
    <row r="88" spans="1:9">
      <c r="A88" s="208"/>
      <c r="B88" s="222" t="s">
        <v>7</v>
      </c>
      <c r="C88" s="222"/>
      <c r="D88" s="222"/>
      <c r="E88" s="222"/>
      <c r="F88" s="222"/>
      <c r="G88" s="222"/>
      <c r="H88" s="37"/>
      <c r="I88" s="5"/>
    </row>
    <row r="89" spans="1:9" ht="15.75" customHeight="1">
      <c r="A89" s="11"/>
      <c r="B89" s="11"/>
      <c r="C89" s="11"/>
      <c r="D89" s="11"/>
      <c r="E89" s="11"/>
      <c r="F89" s="11"/>
      <c r="G89" s="11"/>
      <c r="H89" s="11"/>
      <c r="I89" s="11"/>
    </row>
    <row r="90" spans="1:9" ht="15.75" customHeight="1">
      <c r="A90" s="217" t="s">
        <v>8</v>
      </c>
      <c r="B90" s="217"/>
      <c r="C90" s="217"/>
      <c r="D90" s="217"/>
      <c r="E90" s="217"/>
      <c r="F90" s="217"/>
      <c r="G90" s="217"/>
      <c r="H90" s="217"/>
      <c r="I90" s="217"/>
    </row>
    <row r="91" spans="1:9" ht="15.75" customHeight="1">
      <c r="A91" s="217" t="s">
        <v>9</v>
      </c>
      <c r="B91" s="217"/>
      <c r="C91" s="217"/>
      <c r="D91" s="217"/>
      <c r="E91" s="217"/>
      <c r="F91" s="217"/>
      <c r="G91" s="217"/>
      <c r="H91" s="217"/>
      <c r="I91" s="217"/>
    </row>
    <row r="92" spans="1:9" ht="15.75" customHeight="1">
      <c r="A92" s="219" t="s">
        <v>76</v>
      </c>
      <c r="B92" s="219"/>
      <c r="C92" s="219"/>
      <c r="D92" s="219"/>
      <c r="E92" s="219"/>
      <c r="F92" s="219"/>
      <c r="G92" s="219"/>
      <c r="H92" s="219"/>
      <c r="I92" s="219"/>
    </row>
    <row r="93" spans="1:9" ht="15.75" customHeight="1">
      <c r="A93" s="12"/>
    </row>
    <row r="94" spans="1:9" ht="15.75" customHeight="1">
      <c r="A94" s="220" t="s">
        <v>11</v>
      </c>
      <c r="B94" s="220"/>
      <c r="C94" s="220"/>
      <c r="D94" s="220"/>
      <c r="E94" s="220"/>
      <c r="F94" s="220"/>
      <c r="G94" s="220"/>
      <c r="H94" s="220"/>
      <c r="I94" s="220"/>
    </row>
    <row r="95" spans="1:9" ht="15.75" customHeight="1">
      <c r="A95" s="4"/>
    </row>
    <row r="96" spans="1:9" ht="15.75" customHeight="1">
      <c r="B96" s="204" t="s">
        <v>12</v>
      </c>
      <c r="C96" s="224" t="s">
        <v>136</v>
      </c>
      <c r="D96" s="224"/>
      <c r="E96" s="224"/>
      <c r="F96" s="244"/>
      <c r="I96" s="207"/>
    </row>
    <row r="97" spans="1:9" ht="15.75" customHeight="1">
      <c r="A97" s="208"/>
      <c r="C97" s="222" t="s">
        <v>13</v>
      </c>
      <c r="D97" s="222"/>
      <c r="E97" s="222"/>
      <c r="F97" s="37"/>
      <c r="I97" s="206" t="s">
        <v>14</v>
      </c>
    </row>
    <row r="98" spans="1:9" ht="15.75" customHeight="1">
      <c r="A98" s="38"/>
      <c r="C98" s="13"/>
      <c r="D98" s="13"/>
      <c r="G98" s="13"/>
      <c r="H98" s="13"/>
    </row>
    <row r="99" spans="1:9" ht="15.75" customHeight="1">
      <c r="B99" s="204" t="s">
        <v>15</v>
      </c>
      <c r="C99" s="223"/>
      <c r="D99" s="223"/>
      <c r="E99" s="223"/>
      <c r="F99" s="245"/>
      <c r="I99" s="207"/>
    </row>
    <row r="100" spans="1:9" ht="15.75" customHeight="1">
      <c r="A100" s="208"/>
      <c r="C100" s="216" t="s">
        <v>13</v>
      </c>
      <c r="D100" s="216"/>
      <c r="E100" s="216"/>
      <c r="F100" s="208"/>
      <c r="I100" s="206" t="s">
        <v>14</v>
      </c>
    </row>
    <row r="101" spans="1:9" ht="15.75" customHeight="1">
      <c r="A101" s="4" t="s">
        <v>16</v>
      </c>
    </row>
    <row r="102" spans="1:9">
      <c r="A102" s="234" t="s">
        <v>17</v>
      </c>
      <c r="B102" s="234"/>
      <c r="C102" s="234"/>
      <c r="D102" s="234"/>
      <c r="E102" s="234"/>
      <c r="F102" s="234"/>
      <c r="G102" s="234"/>
      <c r="H102" s="234"/>
      <c r="I102" s="234"/>
    </row>
    <row r="103" spans="1:9" ht="47.25" customHeight="1">
      <c r="A103" s="235" t="s">
        <v>18</v>
      </c>
      <c r="B103" s="235"/>
      <c r="C103" s="235"/>
      <c r="D103" s="235"/>
      <c r="E103" s="235"/>
      <c r="F103" s="235"/>
      <c r="G103" s="235"/>
      <c r="H103" s="235"/>
      <c r="I103" s="235"/>
    </row>
    <row r="104" spans="1:9" ht="31.5" customHeight="1">
      <c r="A104" s="235" t="s">
        <v>19</v>
      </c>
      <c r="B104" s="235"/>
      <c r="C104" s="235"/>
      <c r="D104" s="235"/>
      <c r="E104" s="235"/>
      <c r="F104" s="235"/>
      <c r="G104" s="235"/>
      <c r="H104" s="235"/>
      <c r="I104" s="235"/>
    </row>
    <row r="105" spans="1:9" ht="31.5" customHeight="1">
      <c r="A105" s="235" t="s">
        <v>24</v>
      </c>
      <c r="B105" s="235"/>
      <c r="C105" s="235"/>
      <c r="D105" s="235"/>
      <c r="E105" s="235"/>
      <c r="F105" s="235"/>
      <c r="G105" s="235"/>
      <c r="H105" s="235"/>
      <c r="I105" s="235"/>
    </row>
    <row r="106" spans="1:9" ht="15.75">
      <c r="A106" s="235" t="s">
        <v>23</v>
      </c>
      <c r="B106" s="235"/>
      <c r="C106" s="235"/>
      <c r="D106" s="235"/>
      <c r="E106" s="235"/>
      <c r="F106" s="235"/>
      <c r="G106" s="235"/>
      <c r="H106" s="235"/>
      <c r="I106" s="235"/>
    </row>
  </sheetData>
  <autoFilter ref="I12:I62"/>
  <mergeCells count="28">
    <mergeCell ref="A103:I103"/>
    <mergeCell ref="A104:I104"/>
    <mergeCell ref="A105:I105"/>
    <mergeCell ref="A106:I106"/>
    <mergeCell ref="A94:I94"/>
    <mergeCell ref="C96:E96"/>
    <mergeCell ref="C97:E97"/>
    <mergeCell ref="C99:E99"/>
    <mergeCell ref="C100:E100"/>
    <mergeCell ref="A102:I102"/>
    <mergeCell ref="A86:I86"/>
    <mergeCell ref="B87:G87"/>
    <mergeCell ref="B88:G88"/>
    <mergeCell ref="A90:I90"/>
    <mergeCell ref="A91:I91"/>
    <mergeCell ref="A92:I92"/>
    <mergeCell ref="A15:I15"/>
    <mergeCell ref="A27:I27"/>
    <mergeCell ref="A42:I42"/>
    <mergeCell ref="A53:I53"/>
    <mergeCell ref="R67:U67"/>
    <mergeCell ref="A75:I7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0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123</v>
      </c>
      <c r="I1" s="40"/>
      <c r="J1" s="1"/>
      <c r="K1" s="1"/>
      <c r="L1" s="1"/>
      <c r="M1" s="1"/>
    </row>
    <row r="2" spans="1:13" ht="15.75" customHeight="1">
      <c r="A2" s="42" t="s">
        <v>79</v>
      </c>
      <c r="J2" s="2"/>
      <c r="K2" s="2"/>
      <c r="L2" s="2"/>
      <c r="M2" s="2"/>
    </row>
    <row r="3" spans="1:13" ht="15.75" customHeight="1">
      <c r="A3" s="236" t="s">
        <v>284</v>
      </c>
      <c r="B3" s="236"/>
      <c r="C3" s="236"/>
      <c r="D3" s="236"/>
      <c r="E3" s="236"/>
      <c r="F3" s="236"/>
      <c r="G3" s="236"/>
      <c r="H3" s="236"/>
      <c r="I3" s="236"/>
      <c r="J3" s="3"/>
      <c r="K3" s="3"/>
      <c r="L3" s="3"/>
    </row>
    <row r="4" spans="1:13" ht="31.5" customHeight="1">
      <c r="A4" s="237" t="s">
        <v>211</v>
      </c>
      <c r="B4" s="237"/>
      <c r="C4" s="237"/>
      <c r="D4" s="237"/>
      <c r="E4" s="237"/>
      <c r="F4" s="237"/>
      <c r="G4" s="237"/>
      <c r="H4" s="237"/>
      <c r="I4" s="237"/>
    </row>
    <row r="5" spans="1:13" ht="15.75" customHeight="1">
      <c r="A5" s="236" t="s">
        <v>110</v>
      </c>
      <c r="B5" s="238"/>
      <c r="C5" s="238"/>
      <c r="D5" s="238"/>
      <c r="E5" s="238"/>
      <c r="F5" s="238"/>
      <c r="G5" s="238"/>
      <c r="H5" s="238"/>
      <c r="I5" s="238"/>
      <c r="J5" s="2"/>
      <c r="K5" s="2"/>
      <c r="L5" s="2"/>
      <c r="M5" s="2"/>
    </row>
    <row r="6" spans="1:13" ht="15.75" customHeight="1">
      <c r="A6" s="2"/>
      <c r="B6" s="209"/>
      <c r="C6" s="209"/>
      <c r="D6" s="209"/>
      <c r="E6" s="209"/>
      <c r="F6" s="209"/>
      <c r="G6" s="209"/>
      <c r="H6" s="209"/>
      <c r="I6" s="50">
        <v>42643</v>
      </c>
      <c r="J6" s="2"/>
      <c r="K6" s="2"/>
      <c r="L6" s="2"/>
      <c r="M6" s="2"/>
    </row>
    <row r="7" spans="1:13" ht="15.75" customHeight="1">
      <c r="B7" s="204"/>
      <c r="C7" s="204"/>
      <c r="D7" s="20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4" t="s">
        <v>226</v>
      </c>
      <c r="B8" s="214"/>
      <c r="C8" s="214"/>
      <c r="D8" s="214"/>
      <c r="E8" s="214"/>
      <c r="F8" s="214"/>
      <c r="G8" s="214"/>
      <c r="H8" s="214"/>
      <c r="I8" s="21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5" t="s">
        <v>212</v>
      </c>
      <c r="B10" s="215"/>
      <c r="C10" s="215"/>
      <c r="D10" s="215"/>
      <c r="E10" s="215"/>
      <c r="F10" s="215"/>
      <c r="G10" s="215"/>
      <c r="H10" s="215"/>
      <c r="I10" s="21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9" t="s">
        <v>73</v>
      </c>
      <c r="B14" s="239"/>
      <c r="C14" s="239"/>
      <c r="D14" s="239"/>
      <c r="E14" s="239"/>
      <c r="F14" s="239"/>
      <c r="G14" s="239"/>
      <c r="H14" s="239"/>
      <c r="I14" s="239"/>
      <c r="J14" s="8"/>
      <c r="K14" s="8"/>
      <c r="L14" s="8"/>
      <c r="M14" s="8"/>
    </row>
    <row r="15" spans="1:13" ht="15.75" customHeight="1">
      <c r="A15" s="277" t="s">
        <v>4</v>
      </c>
      <c r="B15" s="277"/>
      <c r="C15" s="277"/>
      <c r="D15" s="277"/>
      <c r="E15" s="277"/>
      <c r="F15" s="277"/>
      <c r="G15" s="277"/>
      <c r="H15" s="277"/>
      <c r="I15" s="277"/>
      <c r="J15" s="8"/>
      <c r="K15" s="8"/>
      <c r="L15" s="8"/>
      <c r="M15" s="8"/>
    </row>
    <row r="16" spans="1:13" ht="31.5" customHeight="1">
      <c r="A16" s="46">
        <v>1</v>
      </c>
      <c r="B16" s="247" t="s">
        <v>125</v>
      </c>
      <c r="C16" s="248" t="s">
        <v>163</v>
      </c>
      <c r="D16" s="247" t="s">
        <v>228</v>
      </c>
      <c r="E16" s="249">
        <v>92.5</v>
      </c>
      <c r="F16" s="250">
        <f>SUM(E16*156/100)</f>
        <v>144.30000000000001</v>
      </c>
      <c r="G16" s="250">
        <v>175.38</v>
      </c>
      <c r="H16" s="251">
        <f t="shared" ref="H16:H24" si="0">SUM(F16*G16/1000)</f>
        <v>25.307334000000001</v>
      </c>
      <c r="I16" s="18">
        <f>F16/12*G16</f>
        <v>2108.9445000000001</v>
      </c>
      <c r="J16" s="8"/>
      <c r="K16" s="8"/>
      <c r="L16" s="8"/>
      <c r="M16" s="8"/>
    </row>
    <row r="17" spans="1:13" ht="31.5" customHeight="1">
      <c r="A17" s="46">
        <v>2</v>
      </c>
      <c r="B17" s="247" t="s">
        <v>185</v>
      </c>
      <c r="C17" s="248" t="s">
        <v>163</v>
      </c>
      <c r="D17" s="247" t="s">
        <v>229</v>
      </c>
      <c r="E17" s="249">
        <v>288.8</v>
      </c>
      <c r="F17" s="250">
        <f>SUM(E17*104/100)</f>
        <v>300.35200000000003</v>
      </c>
      <c r="G17" s="250">
        <v>175.38</v>
      </c>
      <c r="H17" s="251">
        <f t="shared" si="0"/>
        <v>52.67573376</v>
      </c>
      <c r="I17" s="18">
        <f>F17/12*G17</f>
        <v>4389.6444800000008</v>
      </c>
      <c r="J17" s="33"/>
      <c r="K17" s="8"/>
      <c r="L17" s="8"/>
      <c r="M17" s="8"/>
    </row>
    <row r="18" spans="1:13" ht="31.5" customHeight="1">
      <c r="A18" s="46">
        <v>3</v>
      </c>
      <c r="B18" s="247" t="s">
        <v>252</v>
      </c>
      <c r="C18" s="248" t="s">
        <v>163</v>
      </c>
      <c r="D18" s="247" t="s">
        <v>253</v>
      </c>
      <c r="E18" s="249">
        <f>SUM(E16+E17)</f>
        <v>381.3</v>
      </c>
      <c r="F18" s="250">
        <f>SUM(E18*12/100)</f>
        <v>45.756</v>
      </c>
      <c r="G18" s="250">
        <v>504.5</v>
      </c>
      <c r="H18" s="251">
        <f t="shared" si="0"/>
        <v>23.083902000000002</v>
      </c>
      <c r="I18" s="18">
        <f>F18/12*G18</f>
        <v>1923.6585</v>
      </c>
      <c r="J18" s="33"/>
      <c r="K18" s="8"/>
      <c r="L18" s="8"/>
      <c r="M18" s="8"/>
    </row>
    <row r="19" spans="1:13" ht="15.75" hidden="1" customHeight="1">
      <c r="A19" s="46">
        <v>4</v>
      </c>
      <c r="B19" s="247" t="s">
        <v>187</v>
      </c>
      <c r="C19" s="248" t="s">
        <v>188</v>
      </c>
      <c r="D19" s="247" t="s">
        <v>189</v>
      </c>
      <c r="E19" s="249">
        <v>19.2</v>
      </c>
      <c r="F19" s="250">
        <f>SUM(E19/10)</f>
        <v>1.92</v>
      </c>
      <c r="G19" s="250">
        <v>170.16</v>
      </c>
      <c r="H19" s="251">
        <f t="shared" si="0"/>
        <v>0.32670719999999998</v>
      </c>
      <c r="I19" s="18">
        <v>0</v>
      </c>
      <c r="J19" s="33"/>
      <c r="K19" s="8"/>
      <c r="L19" s="8"/>
      <c r="M19" s="8"/>
    </row>
    <row r="20" spans="1:13" ht="15.75" customHeight="1">
      <c r="A20" s="46">
        <v>4</v>
      </c>
      <c r="B20" s="247" t="s">
        <v>162</v>
      </c>
      <c r="C20" s="248" t="s">
        <v>163</v>
      </c>
      <c r="D20" s="247" t="s">
        <v>35</v>
      </c>
      <c r="E20" s="249">
        <v>27.3</v>
      </c>
      <c r="F20" s="250">
        <f>SUM(E20*12/100)</f>
        <v>3.2760000000000002</v>
      </c>
      <c r="G20" s="250">
        <v>217.88</v>
      </c>
      <c r="H20" s="251">
        <f t="shared" si="0"/>
        <v>0.71377488</v>
      </c>
      <c r="I20" s="18">
        <f>F20/12*G20</f>
        <v>59.48124</v>
      </c>
      <c r="J20" s="33"/>
      <c r="K20" s="8"/>
      <c r="L20" s="8"/>
      <c r="M20" s="8"/>
    </row>
    <row r="21" spans="1:13" ht="15.75" customHeight="1">
      <c r="A21" s="46">
        <v>5</v>
      </c>
      <c r="B21" s="247" t="s">
        <v>178</v>
      </c>
      <c r="C21" s="248" t="s">
        <v>163</v>
      </c>
      <c r="D21" s="247" t="s">
        <v>35</v>
      </c>
      <c r="E21" s="249">
        <v>9.08</v>
      </c>
      <c r="F21" s="250">
        <f>SUM(E21*12/100)</f>
        <v>1.0896000000000001</v>
      </c>
      <c r="G21" s="250">
        <v>216.12</v>
      </c>
      <c r="H21" s="251">
        <f t="shared" si="0"/>
        <v>0.23548435200000004</v>
      </c>
      <c r="I21" s="18">
        <f>F21/12*G21</f>
        <v>19.623696000000002</v>
      </c>
      <c r="J21" s="33"/>
      <c r="K21" s="8"/>
      <c r="L21" s="8"/>
      <c r="M21" s="8"/>
    </row>
    <row r="22" spans="1:13" ht="15.75" hidden="1" customHeight="1">
      <c r="A22" s="46">
        <v>7</v>
      </c>
      <c r="B22" s="247" t="s">
        <v>166</v>
      </c>
      <c r="C22" s="248" t="s">
        <v>65</v>
      </c>
      <c r="D22" s="247" t="s">
        <v>189</v>
      </c>
      <c r="E22" s="252">
        <v>12.6</v>
      </c>
      <c r="F22" s="250">
        <f>SUM(E22/100)</f>
        <v>0.126</v>
      </c>
      <c r="G22" s="250">
        <v>44.29</v>
      </c>
      <c r="H22" s="251">
        <f t="shared" si="0"/>
        <v>5.5805400000000002E-3</v>
      </c>
      <c r="I22" s="18">
        <v>0</v>
      </c>
      <c r="J22" s="33"/>
      <c r="K22" s="8"/>
      <c r="L22" s="8"/>
      <c r="M22" s="8"/>
    </row>
    <row r="23" spans="1:13" ht="15.75" customHeight="1">
      <c r="A23" s="46">
        <v>6</v>
      </c>
      <c r="B23" s="247" t="s">
        <v>168</v>
      </c>
      <c r="C23" s="248" t="s">
        <v>65</v>
      </c>
      <c r="D23" s="247" t="s">
        <v>169</v>
      </c>
      <c r="E23" s="249">
        <v>20</v>
      </c>
      <c r="F23" s="250">
        <f>E23*12/100</f>
        <v>2.4</v>
      </c>
      <c r="G23" s="250">
        <v>389.72</v>
      </c>
      <c r="H23" s="251">
        <f t="shared" si="0"/>
        <v>0.93532799999999994</v>
      </c>
      <c r="I23" s="18">
        <f>F23/12*G23</f>
        <v>77.944000000000003</v>
      </c>
      <c r="J23" s="33"/>
      <c r="K23" s="8"/>
      <c r="L23" s="8"/>
      <c r="M23" s="8"/>
    </row>
    <row r="24" spans="1:13" ht="15.75" hidden="1" customHeight="1">
      <c r="A24" s="46">
        <v>9</v>
      </c>
      <c r="B24" s="247" t="s">
        <v>170</v>
      </c>
      <c r="C24" s="248" t="s">
        <v>65</v>
      </c>
      <c r="D24" s="247" t="s">
        <v>189</v>
      </c>
      <c r="E24" s="249">
        <v>17</v>
      </c>
      <c r="F24" s="250">
        <f>SUM(E24/100)</f>
        <v>0.17</v>
      </c>
      <c r="G24" s="250">
        <v>520.79999999999995</v>
      </c>
      <c r="H24" s="251">
        <f t="shared" si="0"/>
        <v>8.8536000000000004E-2</v>
      </c>
      <c r="I24" s="18">
        <v>0</v>
      </c>
      <c r="J24" s="33"/>
      <c r="K24" s="8"/>
      <c r="L24" s="8"/>
      <c r="M24" s="8"/>
    </row>
    <row r="25" spans="1:13" ht="15.75" customHeight="1">
      <c r="A25" s="46">
        <v>7</v>
      </c>
      <c r="B25" s="247" t="s">
        <v>81</v>
      </c>
      <c r="C25" s="248" t="s">
        <v>38</v>
      </c>
      <c r="D25" s="247" t="s">
        <v>232</v>
      </c>
      <c r="E25" s="249">
        <v>0.1</v>
      </c>
      <c r="F25" s="250">
        <f>SUM(E25*365)</f>
        <v>36.5</v>
      </c>
      <c r="G25" s="250">
        <v>147.03</v>
      </c>
      <c r="H25" s="251">
        <f>SUM(F25*G25/1000)</f>
        <v>5.3665950000000002</v>
      </c>
      <c r="I25" s="18">
        <f>F25/12*G25</f>
        <v>447.21625</v>
      </c>
      <c r="J25" s="33"/>
      <c r="K25" s="8"/>
      <c r="L25" s="8"/>
      <c r="M25" s="8"/>
    </row>
    <row r="26" spans="1:13" ht="15.75" customHeight="1">
      <c r="A26" s="46">
        <v>8</v>
      </c>
      <c r="B26" s="257" t="s">
        <v>26</v>
      </c>
      <c r="C26" s="248" t="s">
        <v>27</v>
      </c>
      <c r="D26" s="257" t="s">
        <v>234</v>
      </c>
      <c r="E26" s="249">
        <v>3053.4</v>
      </c>
      <c r="F26" s="250">
        <f>SUM(E26*12)</f>
        <v>36640.800000000003</v>
      </c>
      <c r="G26" s="250">
        <v>4.55</v>
      </c>
      <c r="H26" s="251">
        <f>SUM(F26*G26/1000)</f>
        <v>166.71564000000001</v>
      </c>
      <c r="I26" s="18">
        <f>F26/12*G26</f>
        <v>13892.97</v>
      </c>
      <c r="J26" s="34"/>
    </row>
    <row r="27" spans="1:13" ht="15.75" customHeight="1">
      <c r="A27" s="278" t="s">
        <v>120</v>
      </c>
      <c r="B27" s="279"/>
      <c r="C27" s="279"/>
      <c r="D27" s="279"/>
      <c r="E27" s="279"/>
      <c r="F27" s="279"/>
      <c r="G27" s="279"/>
      <c r="H27" s="279"/>
      <c r="I27" s="280"/>
      <c r="J27" s="33"/>
      <c r="K27" s="8"/>
      <c r="L27" s="8"/>
      <c r="M27" s="8"/>
    </row>
    <row r="28" spans="1:13" ht="15.75" customHeight="1">
      <c r="A28" s="46"/>
      <c r="B28" s="281" t="s">
        <v>33</v>
      </c>
      <c r="C28" s="248"/>
      <c r="D28" s="247"/>
      <c r="E28" s="249"/>
      <c r="F28" s="250"/>
      <c r="G28" s="250"/>
      <c r="H28" s="254"/>
      <c r="I28" s="255"/>
      <c r="J28" s="33"/>
      <c r="K28" s="8"/>
      <c r="L28" s="8"/>
      <c r="M28" s="8"/>
    </row>
    <row r="29" spans="1:13" ht="31.5" customHeight="1">
      <c r="A29" s="46">
        <v>9</v>
      </c>
      <c r="B29" s="247" t="s">
        <v>190</v>
      </c>
      <c r="C29" s="248" t="s">
        <v>191</v>
      </c>
      <c r="D29" s="247" t="s">
        <v>230</v>
      </c>
      <c r="E29" s="250">
        <v>561.6</v>
      </c>
      <c r="F29" s="250">
        <f>SUM(E29*52/1000)</f>
        <v>29.203200000000002</v>
      </c>
      <c r="G29" s="250">
        <v>155.88999999999999</v>
      </c>
      <c r="H29" s="251">
        <f t="shared" ref="H29:H34" si="1">SUM(F29*G29/1000)</f>
        <v>4.5524868479999991</v>
      </c>
      <c r="I29" s="18">
        <f t="shared" ref="I29:I32" si="2">F29/6*G29</f>
        <v>758.74780799999996</v>
      </c>
      <c r="J29" s="33"/>
      <c r="K29" s="8"/>
      <c r="L29" s="8"/>
      <c r="M29" s="8"/>
    </row>
    <row r="30" spans="1:13" ht="31.5" customHeight="1">
      <c r="A30" s="46">
        <v>10</v>
      </c>
      <c r="B30" s="247" t="s">
        <v>254</v>
      </c>
      <c r="C30" s="248" t="s">
        <v>191</v>
      </c>
      <c r="D30" s="247" t="s">
        <v>231</v>
      </c>
      <c r="E30" s="250">
        <v>205.7</v>
      </c>
      <c r="F30" s="250">
        <f>SUM(E30*78/1000)</f>
        <v>16.044599999999999</v>
      </c>
      <c r="G30" s="250">
        <v>258.63</v>
      </c>
      <c r="H30" s="251">
        <f t="shared" si="1"/>
        <v>4.1496148979999994</v>
      </c>
      <c r="I30" s="18">
        <f t="shared" si="2"/>
        <v>691.60248299999989</v>
      </c>
      <c r="J30" s="33"/>
      <c r="K30" s="8"/>
      <c r="L30" s="8"/>
      <c r="M30" s="8"/>
    </row>
    <row r="31" spans="1:13" ht="15.75" hidden="1" customHeight="1">
      <c r="A31" s="46">
        <v>11</v>
      </c>
      <c r="B31" s="247" t="s">
        <v>32</v>
      </c>
      <c r="C31" s="248" t="s">
        <v>191</v>
      </c>
      <c r="D31" s="247" t="s">
        <v>66</v>
      </c>
      <c r="E31" s="250">
        <v>561.6</v>
      </c>
      <c r="F31" s="250">
        <f>SUM(E31/1000)</f>
        <v>0.56159999999999999</v>
      </c>
      <c r="G31" s="250">
        <v>3020.33</v>
      </c>
      <c r="H31" s="251">
        <f t="shared" si="1"/>
        <v>1.6962173279999999</v>
      </c>
      <c r="I31" s="18">
        <f>F31*G31</f>
        <v>1696.217328</v>
      </c>
      <c r="J31" s="33"/>
      <c r="K31" s="8"/>
      <c r="L31" s="8"/>
      <c r="M31" s="8"/>
    </row>
    <row r="32" spans="1:13" ht="15.75" customHeight="1">
      <c r="A32" s="46">
        <v>11</v>
      </c>
      <c r="B32" s="247" t="s">
        <v>193</v>
      </c>
      <c r="C32" s="248" t="s">
        <v>36</v>
      </c>
      <c r="D32" s="247" t="s">
        <v>80</v>
      </c>
      <c r="E32" s="256">
        <v>0.33333333333333331</v>
      </c>
      <c r="F32" s="250">
        <f>155/3</f>
        <v>51.666666666666664</v>
      </c>
      <c r="G32" s="250">
        <v>56.69</v>
      </c>
      <c r="H32" s="251">
        <f>SUM(G32*155/3/1000)</f>
        <v>2.9289833333333331</v>
      </c>
      <c r="I32" s="18">
        <f t="shared" si="2"/>
        <v>488.16388888888883</v>
      </c>
      <c r="J32" s="33"/>
      <c r="K32" s="8"/>
      <c r="L32" s="8"/>
      <c r="M32" s="8"/>
    </row>
    <row r="33" spans="1:14" ht="15.75" hidden="1" customHeight="1">
      <c r="A33" s="46"/>
      <c r="B33" s="247" t="s">
        <v>82</v>
      </c>
      <c r="C33" s="248" t="s">
        <v>38</v>
      </c>
      <c r="D33" s="247" t="s">
        <v>84</v>
      </c>
      <c r="E33" s="249"/>
      <c r="F33" s="250">
        <v>2</v>
      </c>
      <c r="G33" s="250">
        <v>191.32</v>
      </c>
      <c r="H33" s="251">
        <f t="shared" si="1"/>
        <v>0.38263999999999998</v>
      </c>
      <c r="I33" s="18">
        <v>0</v>
      </c>
      <c r="J33" s="33"/>
      <c r="K33" s="8"/>
      <c r="L33" s="8"/>
      <c r="M33" s="8"/>
    </row>
    <row r="34" spans="1:14" ht="15.75" hidden="1" customHeight="1">
      <c r="A34" s="46"/>
      <c r="B34" s="247" t="s">
        <v>83</v>
      </c>
      <c r="C34" s="248" t="s">
        <v>37</v>
      </c>
      <c r="D34" s="247" t="s">
        <v>84</v>
      </c>
      <c r="E34" s="249"/>
      <c r="F34" s="250">
        <v>1</v>
      </c>
      <c r="G34" s="250">
        <v>1136.33</v>
      </c>
      <c r="H34" s="251">
        <f t="shared" si="1"/>
        <v>1.1363299999999998</v>
      </c>
      <c r="I34" s="18">
        <v>0</v>
      </c>
      <c r="J34" s="33"/>
      <c r="K34" s="8"/>
    </row>
    <row r="35" spans="1:14" ht="15.75" hidden="1" customHeight="1">
      <c r="A35" s="46"/>
      <c r="B35" s="281" t="s">
        <v>5</v>
      </c>
      <c r="C35" s="248"/>
      <c r="D35" s="247"/>
      <c r="E35" s="249"/>
      <c r="F35" s="250"/>
      <c r="G35" s="250"/>
      <c r="H35" s="254" t="s">
        <v>234</v>
      </c>
      <c r="I35" s="255"/>
      <c r="J35" s="34"/>
    </row>
    <row r="36" spans="1:14" ht="15.75" hidden="1" customHeight="1">
      <c r="A36" s="46">
        <v>9</v>
      </c>
      <c r="B36" s="247" t="s">
        <v>31</v>
      </c>
      <c r="C36" s="248" t="s">
        <v>37</v>
      </c>
      <c r="D36" s="247"/>
      <c r="E36" s="249"/>
      <c r="F36" s="250">
        <v>3</v>
      </c>
      <c r="G36" s="250">
        <v>1527.22</v>
      </c>
      <c r="H36" s="251">
        <f t="shared" ref="H36:H38" si="3">SUM(F36*G36/1000)</f>
        <v>4.5816600000000003</v>
      </c>
      <c r="I36" s="18">
        <f t="shared" ref="I36:I41" si="4">F36/6*G36</f>
        <v>763.61</v>
      </c>
      <c r="J36" s="34"/>
    </row>
    <row r="37" spans="1:14" ht="15.75" hidden="1" customHeight="1">
      <c r="A37" s="46">
        <v>10</v>
      </c>
      <c r="B37" s="247" t="s">
        <v>85</v>
      </c>
      <c r="C37" s="248" t="s">
        <v>34</v>
      </c>
      <c r="D37" s="247" t="s">
        <v>217</v>
      </c>
      <c r="E37" s="250">
        <v>205.7</v>
      </c>
      <c r="F37" s="250">
        <f>SUM(E37*20/1000)</f>
        <v>4.1139999999999999</v>
      </c>
      <c r="G37" s="250">
        <v>2102.71</v>
      </c>
      <c r="H37" s="251">
        <f t="shared" si="3"/>
        <v>8.6505489400000002</v>
      </c>
      <c r="I37" s="18">
        <f t="shared" si="4"/>
        <v>1441.7581566666665</v>
      </c>
      <c r="J37" s="34"/>
    </row>
    <row r="38" spans="1:14" ht="15.75" hidden="1" customHeight="1">
      <c r="A38" s="46">
        <v>11</v>
      </c>
      <c r="B38" s="247" t="s">
        <v>86</v>
      </c>
      <c r="C38" s="248" t="s">
        <v>34</v>
      </c>
      <c r="D38" s="247" t="s">
        <v>218</v>
      </c>
      <c r="E38" s="249">
        <v>89.1</v>
      </c>
      <c r="F38" s="250">
        <f>SUM(E38*155/1000)</f>
        <v>13.810499999999999</v>
      </c>
      <c r="G38" s="250">
        <v>350.75</v>
      </c>
      <c r="H38" s="251">
        <f t="shared" si="3"/>
        <v>4.8440328749999999</v>
      </c>
      <c r="I38" s="18">
        <f t="shared" si="4"/>
        <v>807.3388124999999</v>
      </c>
      <c r="J38" s="34"/>
    </row>
    <row r="39" spans="1:14" ht="47.25" hidden="1" customHeight="1">
      <c r="A39" s="46">
        <v>12</v>
      </c>
      <c r="B39" s="247" t="s">
        <v>112</v>
      </c>
      <c r="C39" s="248" t="s">
        <v>191</v>
      </c>
      <c r="D39" s="247" t="s">
        <v>219</v>
      </c>
      <c r="E39" s="250">
        <v>48</v>
      </c>
      <c r="F39" s="250">
        <f>SUM(E39*50/1000)</f>
        <v>2.4</v>
      </c>
      <c r="G39" s="250">
        <v>5803.28</v>
      </c>
      <c r="H39" s="251">
        <f>SUM(F39*G39/1000)</f>
        <v>13.927871999999999</v>
      </c>
      <c r="I39" s="18">
        <f t="shared" si="4"/>
        <v>2321.3119999999999</v>
      </c>
      <c r="J39" s="34"/>
    </row>
    <row r="40" spans="1:14" ht="15.75" hidden="1" customHeight="1">
      <c r="A40" s="46">
        <v>13</v>
      </c>
      <c r="B40" s="247" t="s">
        <v>195</v>
      </c>
      <c r="C40" s="248" t="s">
        <v>191</v>
      </c>
      <c r="D40" s="247" t="s">
        <v>87</v>
      </c>
      <c r="E40" s="250">
        <v>89</v>
      </c>
      <c r="F40" s="250">
        <f>SUM(E40*45/1000)</f>
        <v>4.0049999999999999</v>
      </c>
      <c r="G40" s="250">
        <v>428.7</v>
      </c>
      <c r="H40" s="251">
        <f t="shared" ref="H40:H41" si="5">SUM(F40*G40/1000)</f>
        <v>1.7169435</v>
      </c>
      <c r="I40" s="18">
        <f t="shared" si="4"/>
        <v>286.15724999999998</v>
      </c>
      <c r="J40" s="34"/>
      <c r="L40" s="27"/>
      <c r="M40" s="28"/>
      <c r="N40" s="29"/>
    </row>
    <row r="41" spans="1:14" ht="15.75" hidden="1" customHeight="1">
      <c r="A41" s="285">
        <v>14</v>
      </c>
      <c r="B41" s="261" t="s">
        <v>88</v>
      </c>
      <c r="C41" s="262" t="s">
        <v>38</v>
      </c>
      <c r="D41" s="261"/>
      <c r="E41" s="258"/>
      <c r="F41" s="263">
        <v>0.9</v>
      </c>
      <c r="G41" s="263">
        <v>798</v>
      </c>
      <c r="H41" s="264">
        <f t="shared" si="5"/>
        <v>0.71820000000000006</v>
      </c>
      <c r="I41" s="286">
        <f t="shared" si="4"/>
        <v>119.69999999999999</v>
      </c>
      <c r="J41" s="34"/>
      <c r="L41" s="27"/>
      <c r="M41" s="28"/>
      <c r="N41" s="29"/>
    </row>
    <row r="42" spans="1:14" ht="15.75" customHeight="1">
      <c r="A42" s="282" t="s">
        <v>255</v>
      </c>
      <c r="B42" s="283"/>
      <c r="C42" s="283"/>
      <c r="D42" s="283"/>
      <c r="E42" s="283"/>
      <c r="F42" s="283"/>
      <c r="G42" s="283"/>
      <c r="H42" s="283"/>
      <c r="I42" s="284"/>
      <c r="J42" s="34"/>
      <c r="L42" s="27"/>
      <c r="M42" s="28"/>
      <c r="N42" s="29"/>
    </row>
    <row r="43" spans="1:14" ht="15.75" customHeight="1">
      <c r="A43" s="287">
        <v>12</v>
      </c>
      <c r="B43" s="288" t="s">
        <v>196</v>
      </c>
      <c r="C43" s="289" t="s">
        <v>191</v>
      </c>
      <c r="D43" s="288" t="s">
        <v>53</v>
      </c>
      <c r="E43" s="290">
        <v>1632.75</v>
      </c>
      <c r="F43" s="291">
        <f>SUM(E43*2/1000)</f>
        <v>3.2654999999999998</v>
      </c>
      <c r="G43" s="292">
        <v>809.74</v>
      </c>
      <c r="H43" s="293">
        <f t="shared" ref="H43:H52" si="6">SUM(F43*G43/1000)</f>
        <v>2.6442059699999998</v>
      </c>
      <c r="I43" s="18">
        <f t="shared" ref="I43:I46" si="7">F43/2*G43</f>
        <v>1322.102985</v>
      </c>
      <c r="J43" s="34"/>
      <c r="L43" s="27"/>
      <c r="M43" s="28"/>
      <c r="N43" s="29"/>
    </row>
    <row r="44" spans="1:14" ht="15.75" customHeight="1">
      <c r="A44" s="46">
        <v>13</v>
      </c>
      <c r="B44" s="247" t="s">
        <v>42</v>
      </c>
      <c r="C44" s="248" t="s">
        <v>191</v>
      </c>
      <c r="D44" s="247" t="s">
        <v>53</v>
      </c>
      <c r="E44" s="249">
        <v>53.75</v>
      </c>
      <c r="F44" s="250">
        <f>SUM(E44*2/1000)</f>
        <v>0.1075</v>
      </c>
      <c r="G44" s="18">
        <v>579.48</v>
      </c>
      <c r="H44" s="251">
        <f t="shared" si="6"/>
        <v>6.2294099999999998E-2</v>
      </c>
      <c r="I44" s="18">
        <f t="shared" si="7"/>
        <v>31.14705</v>
      </c>
      <c r="J44" s="34"/>
      <c r="L44" s="27"/>
      <c r="M44" s="28"/>
      <c r="N44" s="29"/>
    </row>
    <row r="45" spans="1:14" ht="15.75" customHeight="1">
      <c r="A45" s="46">
        <v>14</v>
      </c>
      <c r="B45" s="247" t="s">
        <v>43</v>
      </c>
      <c r="C45" s="248" t="s">
        <v>191</v>
      </c>
      <c r="D45" s="247" t="s">
        <v>53</v>
      </c>
      <c r="E45" s="249">
        <v>2285.6</v>
      </c>
      <c r="F45" s="250">
        <f>SUM(E45*2/1000)</f>
        <v>4.5712000000000002</v>
      </c>
      <c r="G45" s="18">
        <v>579.48</v>
      </c>
      <c r="H45" s="251">
        <f t="shared" si="6"/>
        <v>2.6489189760000005</v>
      </c>
      <c r="I45" s="18">
        <f t="shared" si="7"/>
        <v>1324.4594880000002</v>
      </c>
      <c r="J45" s="34"/>
      <c r="L45" s="27"/>
      <c r="M45" s="28"/>
      <c r="N45" s="29"/>
    </row>
    <row r="46" spans="1:14" ht="15.75" customHeight="1">
      <c r="A46" s="46">
        <v>15</v>
      </c>
      <c r="B46" s="247" t="s">
        <v>44</v>
      </c>
      <c r="C46" s="248" t="s">
        <v>191</v>
      </c>
      <c r="D46" s="247" t="s">
        <v>53</v>
      </c>
      <c r="E46" s="249">
        <v>1860</v>
      </c>
      <c r="F46" s="250">
        <f>SUM(E46*2/1000)</f>
        <v>3.72</v>
      </c>
      <c r="G46" s="18">
        <v>606.77</v>
      </c>
      <c r="H46" s="251">
        <f t="shared" si="6"/>
        <v>2.2571844000000003</v>
      </c>
      <c r="I46" s="18">
        <f t="shared" si="7"/>
        <v>1128.5922</v>
      </c>
      <c r="J46" s="34"/>
      <c r="L46" s="27"/>
      <c r="M46" s="28"/>
      <c r="N46" s="29"/>
    </row>
    <row r="47" spans="1:14" ht="15.75" customHeight="1">
      <c r="A47" s="46">
        <v>16</v>
      </c>
      <c r="B47" s="247" t="s">
        <v>40</v>
      </c>
      <c r="C47" s="248" t="s">
        <v>41</v>
      </c>
      <c r="D47" s="247" t="s">
        <v>53</v>
      </c>
      <c r="E47" s="249">
        <v>120.49</v>
      </c>
      <c r="F47" s="250">
        <f>SUM(E47*2/100)</f>
        <v>2.4097999999999997</v>
      </c>
      <c r="G47" s="18">
        <v>72.81</v>
      </c>
      <c r="H47" s="251">
        <f t="shared" si="6"/>
        <v>0.17545753799999997</v>
      </c>
      <c r="I47" s="18">
        <f>F47/2*G47</f>
        <v>87.728768999999986</v>
      </c>
      <c r="J47" s="34"/>
      <c r="L47" s="27"/>
      <c r="M47" s="28"/>
      <c r="N47" s="29"/>
    </row>
    <row r="48" spans="1:14" ht="15.75" customHeight="1">
      <c r="A48" s="46">
        <v>17</v>
      </c>
      <c r="B48" s="247" t="s">
        <v>70</v>
      </c>
      <c r="C48" s="248" t="s">
        <v>191</v>
      </c>
      <c r="D48" s="247" t="s">
        <v>258</v>
      </c>
      <c r="E48" s="249">
        <v>1728</v>
      </c>
      <c r="F48" s="250">
        <f>SUM(E48*5/1000)</f>
        <v>8.64</v>
      </c>
      <c r="G48" s="18">
        <v>1213.55</v>
      </c>
      <c r="H48" s="251">
        <f t="shared" si="6"/>
        <v>10.485072000000001</v>
      </c>
      <c r="I48" s="18">
        <f>F48/5*G48</f>
        <v>2097.0144</v>
      </c>
      <c r="J48" s="34"/>
      <c r="L48" s="27"/>
      <c r="M48" s="28"/>
      <c r="N48" s="29"/>
    </row>
    <row r="49" spans="1:22" ht="31.5" hidden="1" customHeight="1">
      <c r="A49" s="46"/>
      <c r="B49" s="247" t="s">
        <v>198</v>
      </c>
      <c r="C49" s="248" t="s">
        <v>191</v>
      </c>
      <c r="D49" s="247" t="s">
        <v>53</v>
      </c>
      <c r="E49" s="249">
        <v>1728</v>
      </c>
      <c r="F49" s="250">
        <f>SUM(E49*2/1000)</f>
        <v>3.456</v>
      </c>
      <c r="G49" s="18">
        <v>1213.55</v>
      </c>
      <c r="H49" s="251">
        <f t="shared" si="6"/>
        <v>4.1940287999999999</v>
      </c>
      <c r="I49" s="18">
        <v>0</v>
      </c>
      <c r="J49" s="34"/>
      <c r="L49" s="27"/>
      <c r="M49" s="28"/>
      <c r="N49" s="29"/>
    </row>
    <row r="50" spans="1:22" ht="31.5" hidden="1" customHeight="1">
      <c r="A50" s="46"/>
      <c r="B50" s="247" t="s">
        <v>235</v>
      </c>
      <c r="C50" s="248" t="s">
        <v>47</v>
      </c>
      <c r="D50" s="247" t="s">
        <v>53</v>
      </c>
      <c r="E50" s="249">
        <v>20</v>
      </c>
      <c r="F50" s="250">
        <f>SUM(E50*2/100)</f>
        <v>0.4</v>
      </c>
      <c r="G50" s="18">
        <v>2730.49</v>
      </c>
      <c r="H50" s="251">
        <f t="shared" si="6"/>
        <v>1.0921959999999999</v>
      </c>
      <c r="I50" s="18">
        <v>0</v>
      </c>
      <c r="J50" s="34"/>
      <c r="L50" s="27"/>
      <c r="M50" s="28"/>
      <c r="N50" s="29"/>
    </row>
    <row r="51" spans="1:22" ht="15.75" hidden="1" customHeight="1">
      <c r="A51" s="46"/>
      <c r="B51" s="247" t="s">
        <v>48</v>
      </c>
      <c r="C51" s="248" t="s">
        <v>49</v>
      </c>
      <c r="D51" s="247" t="s">
        <v>53</v>
      </c>
      <c r="E51" s="249">
        <v>1</v>
      </c>
      <c r="F51" s="250">
        <v>0.02</v>
      </c>
      <c r="G51" s="18">
        <v>5652.13</v>
      </c>
      <c r="H51" s="251">
        <f t="shared" si="6"/>
        <v>0.11304260000000001</v>
      </c>
      <c r="I51" s="18">
        <v>0</v>
      </c>
      <c r="J51" s="34"/>
      <c r="L51" s="27"/>
      <c r="M51" s="28"/>
      <c r="N51" s="29"/>
    </row>
    <row r="52" spans="1:22" ht="15.75" hidden="1" customHeight="1">
      <c r="A52" s="46">
        <v>16</v>
      </c>
      <c r="B52" s="247" t="s">
        <v>52</v>
      </c>
      <c r="C52" s="248" t="s">
        <v>142</v>
      </c>
      <c r="D52" s="247" t="s">
        <v>89</v>
      </c>
      <c r="E52" s="249">
        <v>128</v>
      </c>
      <c r="F52" s="250">
        <f>SUM(E52)*3</f>
        <v>384</v>
      </c>
      <c r="G52" s="18">
        <v>65.67</v>
      </c>
      <c r="H52" s="251">
        <f t="shared" si="6"/>
        <v>25.217279999999999</v>
      </c>
      <c r="I52" s="18">
        <f>E52*G52</f>
        <v>8405.76</v>
      </c>
      <c r="J52" s="34"/>
      <c r="L52" s="27"/>
      <c r="M52" s="28"/>
      <c r="N52" s="29"/>
    </row>
    <row r="53" spans="1:22" ht="15.75" customHeight="1">
      <c r="A53" s="278" t="s">
        <v>256</v>
      </c>
      <c r="B53" s="279"/>
      <c r="C53" s="279"/>
      <c r="D53" s="279"/>
      <c r="E53" s="279"/>
      <c r="F53" s="279"/>
      <c r="G53" s="279"/>
      <c r="H53" s="279"/>
      <c r="I53" s="280"/>
      <c r="J53" s="34"/>
      <c r="L53" s="27"/>
      <c r="M53" s="28"/>
      <c r="N53" s="29"/>
    </row>
    <row r="54" spans="1:22" ht="15.75" hidden="1" customHeight="1">
      <c r="A54" s="46"/>
      <c r="B54" s="281" t="s">
        <v>54</v>
      </c>
      <c r="C54" s="248"/>
      <c r="D54" s="247"/>
      <c r="E54" s="249"/>
      <c r="F54" s="250"/>
      <c r="G54" s="250"/>
      <c r="H54" s="254"/>
      <c r="I54" s="255"/>
      <c r="J54" s="34"/>
      <c r="L54" s="27"/>
      <c r="M54" s="28"/>
      <c r="N54" s="29"/>
    </row>
    <row r="55" spans="1:22" ht="31.5" hidden="1" customHeight="1">
      <c r="A55" s="46">
        <v>17</v>
      </c>
      <c r="B55" s="247" t="s">
        <v>200</v>
      </c>
      <c r="C55" s="248" t="s">
        <v>163</v>
      </c>
      <c r="D55" s="247" t="s">
        <v>201</v>
      </c>
      <c r="E55" s="249">
        <v>163.30000000000001</v>
      </c>
      <c r="F55" s="250">
        <f>SUM(E55*6/100)</f>
        <v>9.798</v>
      </c>
      <c r="G55" s="18">
        <v>1547.28</v>
      </c>
      <c r="H55" s="251">
        <f>SUM(F55*G55/1000)</f>
        <v>15.160249439999999</v>
      </c>
      <c r="I55" s="18">
        <f>F55/6*G55</f>
        <v>2526.7082399999999</v>
      </c>
      <c r="J55" s="34"/>
      <c r="L55" s="27"/>
      <c r="M55" s="28"/>
      <c r="N55" s="29"/>
    </row>
    <row r="56" spans="1:22" ht="15.75" customHeight="1">
      <c r="A56" s="46"/>
      <c r="B56" s="281" t="s">
        <v>55</v>
      </c>
      <c r="C56" s="248"/>
      <c r="D56" s="247"/>
      <c r="E56" s="249"/>
      <c r="F56" s="250"/>
      <c r="G56" s="250"/>
      <c r="H56" s="251" t="s">
        <v>234</v>
      </c>
      <c r="I56" s="255"/>
      <c r="J56" s="34"/>
      <c r="L56" s="27"/>
      <c r="M56" s="28"/>
      <c r="N56" s="29"/>
    </row>
    <row r="57" spans="1:22" ht="15.75" hidden="1" customHeight="1">
      <c r="A57" s="46"/>
      <c r="B57" s="247" t="s">
        <v>56</v>
      </c>
      <c r="C57" s="248" t="s">
        <v>163</v>
      </c>
      <c r="D57" s="247" t="s">
        <v>66</v>
      </c>
      <c r="E57" s="258">
        <v>1155.2</v>
      </c>
      <c r="F57" s="259">
        <v>11.6</v>
      </c>
      <c r="G57" s="18">
        <v>793.61</v>
      </c>
      <c r="H57" s="260">
        <v>9.1679999999999993</v>
      </c>
      <c r="I57" s="18">
        <v>0</v>
      </c>
      <c r="J57" s="34"/>
      <c r="L57" s="27"/>
      <c r="M57" s="28"/>
      <c r="N57" s="29"/>
    </row>
    <row r="58" spans="1:22" ht="15.75" customHeight="1">
      <c r="A58" s="46">
        <v>18</v>
      </c>
      <c r="B58" s="261" t="s">
        <v>144</v>
      </c>
      <c r="C58" s="262" t="s">
        <v>29</v>
      </c>
      <c r="D58" s="261" t="s">
        <v>35</v>
      </c>
      <c r="E58" s="258">
        <v>255.2</v>
      </c>
      <c r="F58" s="263">
        <v>3062.4</v>
      </c>
      <c r="G58" s="243">
        <v>2.6</v>
      </c>
      <c r="H58" s="264">
        <f>G58*F58/1000</f>
        <v>7.9622400000000004</v>
      </c>
      <c r="I58" s="18">
        <f>F58/12*G58</f>
        <v>663.5200000000001</v>
      </c>
      <c r="J58" s="34"/>
      <c r="L58" s="27"/>
      <c r="M58" s="28"/>
      <c r="N58" s="29"/>
    </row>
    <row r="59" spans="1:22" ht="15.75" customHeight="1">
      <c r="A59" s="46"/>
      <c r="B59" s="294" t="s">
        <v>57</v>
      </c>
      <c r="C59" s="262"/>
      <c r="D59" s="261"/>
      <c r="E59" s="258"/>
      <c r="F59" s="263"/>
      <c r="G59" s="263"/>
      <c r="H59" s="264" t="s">
        <v>234</v>
      </c>
      <c r="I59" s="255"/>
      <c r="J59" s="34"/>
      <c r="L59" s="27"/>
      <c r="M59" s="28"/>
      <c r="N59" s="29"/>
    </row>
    <row r="60" spans="1:22" ht="15.75" customHeight="1">
      <c r="A60" s="46">
        <v>19</v>
      </c>
      <c r="B60" s="20" t="s">
        <v>58</v>
      </c>
      <c r="C60" s="22" t="s">
        <v>142</v>
      </c>
      <c r="D60" s="20" t="s">
        <v>84</v>
      </c>
      <c r="E60" s="25">
        <v>5</v>
      </c>
      <c r="F60" s="250">
        <v>5</v>
      </c>
      <c r="G60" s="18">
        <v>222.4</v>
      </c>
      <c r="H60" s="265">
        <f t="shared" ref="H60:H67" si="8">SUM(F60*G60/1000)</f>
        <v>1.1120000000000001</v>
      </c>
      <c r="I60" s="18">
        <f>G60*8</f>
        <v>1779.2</v>
      </c>
      <c r="J60" s="34"/>
      <c r="L60" s="27"/>
    </row>
    <row r="61" spans="1:22" ht="15.75" hidden="1" customHeight="1">
      <c r="A61" s="46"/>
      <c r="B61" s="20" t="s">
        <v>59</v>
      </c>
      <c r="C61" s="22" t="s">
        <v>142</v>
      </c>
      <c r="D61" s="20" t="s">
        <v>233</v>
      </c>
      <c r="E61" s="25">
        <v>4</v>
      </c>
      <c r="F61" s="250">
        <v>4</v>
      </c>
      <c r="G61" s="18">
        <v>76.25</v>
      </c>
      <c r="H61" s="265">
        <f t="shared" si="8"/>
        <v>0.30499999999999999</v>
      </c>
      <c r="I61" s="18">
        <v>0</v>
      </c>
      <c r="J61" s="34"/>
      <c r="L61" s="27"/>
    </row>
    <row r="62" spans="1:22" ht="15.75" hidden="1" customHeight="1">
      <c r="A62" s="46"/>
      <c r="B62" s="20" t="s">
        <v>60</v>
      </c>
      <c r="C62" s="22" t="s">
        <v>202</v>
      </c>
      <c r="D62" s="20" t="s">
        <v>66</v>
      </c>
      <c r="E62" s="249">
        <v>15552</v>
      </c>
      <c r="F62" s="18">
        <f>SUM(E62/100)</f>
        <v>155.52000000000001</v>
      </c>
      <c r="G62" s="18">
        <v>212.15</v>
      </c>
      <c r="H62" s="265">
        <f t="shared" si="8"/>
        <v>32.993568000000003</v>
      </c>
      <c r="I62" s="18">
        <v>0</v>
      </c>
    </row>
    <row r="63" spans="1:22" ht="15.75" hidden="1" customHeight="1">
      <c r="A63" s="46"/>
      <c r="B63" s="20" t="s">
        <v>61</v>
      </c>
      <c r="C63" s="22" t="s">
        <v>203</v>
      </c>
      <c r="D63" s="20"/>
      <c r="E63" s="249">
        <v>15552</v>
      </c>
      <c r="F63" s="18">
        <f>SUM(E63/1000)</f>
        <v>15.552</v>
      </c>
      <c r="G63" s="18">
        <v>165.21</v>
      </c>
      <c r="H63" s="265">
        <f t="shared" si="8"/>
        <v>2.5693459200000004</v>
      </c>
      <c r="I63" s="18">
        <v>0</v>
      </c>
    </row>
    <row r="64" spans="1:22" ht="15.75" hidden="1" customHeight="1">
      <c r="A64" s="46"/>
      <c r="B64" s="20" t="s">
        <v>62</v>
      </c>
      <c r="C64" s="22" t="s">
        <v>96</v>
      </c>
      <c r="D64" s="20" t="s">
        <v>66</v>
      </c>
      <c r="E64" s="249">
        <v>2432</v>
      </c>
      <c r="F64" s="18">
        <f>SUM(E64/100)</f>
        <v>24.32</v>
      </c>
      <c r="G64" s="18">
        <v>2074.63</v>
      </c>
      <c r="H64" s="265">
        <f t="shared" si="8"/>
        <v>50.455001600000003</v>
      </c>
      <c r="I64" s="18"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46"/>
      <c r="B65" s="266" t="s">
        <v>90</v>
      </c>
      <c r="C65" s="22" t="s">
        <v>38</v>
      </c>
      <c r="D65" s="20"/>
      <c r="E65" s="249">
        <v>34.5</v>
      </c>
      <c r="F65" s="18">
        <f>SUM(E65)</f>
        <v>34.5</v>
      </c>
      <c r="G65" s="18">
        <v>45.32</v>
      </c>
      <c r="H65" s="265">
        <f t="shared" si="8"/>
        <v>1.5635399999999999</v>
      </c>
      <c r="I65" s="18">
        <v>0</v>
      </c>
      <c r="J65" s="38"/>
      <c r="K65" s="38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31.5" hidden="1" customHeight="1">
      <c r="A66" s="46"/>
      <c r="B66" s="266" t="s">
        <v>91</v>
      </c>
      <c r="C66" s="22" t="s">
        <v>38</v>
      </c>
      <c r="D66" s="20"/>
      <c r="E66" s="249">
        <f>E65</f>
        <v>34.5</v>
      </c>
      <c r="F66" s="18">
        <f>SUM(E66)</f>
        <v>34.5</v>
      </c>
      <c r="G66" s="18">
        <v>42.28</v>
      </c>
      <c r="H66" s="265">
        <f t="shared" si="8"/>
        <v>1.4586600000000001</v>
      </c>
      <c r="I66" s="18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customHeight="1">
      <c r="A67" s="46">
        <v>20</v>
      </c>
      <c r="B67" s="20" t="s">
        <v>71</v>
      </c>
      <c r="C67" s="22" t="s">
        <v>72</v>
      </c>
      <c r="D67" s="20" t="s">
        <v>66</v>
      </c>
      <c r="E67" s="25">
        <v>4</v>
      </c>
      <c r="F67" s="250">
        <f>SUM(E67)</f>
        <v>4</v>
      </c>
      <c r="G67" s="18">
        <v>49.88</v>
      </c>
      <c r="H67" s="265">
        <f t="shared" si="8"/>
        <v>0.19952</v>
      </c>
      <c r="I67" s="18">
        <f>F67*G67</f>
        <v>199.52</v>
      </c>
      <c r="J67" s="5"/>
      <c r="K67" s="5"/>
      <c r="L67" s="5"/>
      <c r="M67" s="5"/>
      <c r="N67" s="5"/>
      <c r="O67" s="5"/>
      <c r="P67" s="5"/>
      <c r="Q67" s="5"/>
      <c r="R67" s="216"/>
      <c r="S67" s="216"/>
      <c r="T67" s="216"/>
      <c r="U67" s="216"/>
    </row>
    <row r="68" spans="1:21" ht="15.75" hidden="1" customHeight="1">
      <c r="A68" s="46"/>
      <c r="B68" s="210" t="s">
        <v>92</v>
      </c>
      <c r="C68" s="22"/>
      <c r="D68" s="20"/>
      <c r="E68" s="25"/>
      <c r="F68" s="18"/>
      <c r="G68" s="18"/>
      <c r="H68" s="265" t="s">
        <v>234</v>
      </c>
      <c r="I68" s="255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ht="15.75" hidden="1" customHeight="1">
      <c r="A69" s="46">
        <v>19</v>
      </c>
      <c r="B69" s="20" t="s">
        <v>93</v>
      </c>
      <c r="C69" s="22" t="s">
        <v>94</v>
      </c>
      <c r="D69" s="20"/>
      <c r="E69" s="25">
        <v>4</v>
      </c>
      <c r="F69" s="18">
        <v>0.4</v>
      </c>
      <c r="G69" s="18">
        <v>501.62</v>
      </c>
      <c r="H69" s="265">
        <f>SUM(F69*G69/1000)</f>
        <v>0.20064800000000002</v>
      </c>
      <c r="I69" s="18">
        <f>G69*0.2</f>
        <v>100.32400000000001</v>
      </c>
    </row>
    <row r="70" spans="1:21" ht="15.75" hidden="1" customHeight="1">
      <c r="A70" s="46"/>
      <c r="B70" s="20" t="s">
        <v>220</v>
      </c>
      <c r="C70" s="22" t="s">
        <v>142</v>
      </c>
      <c r="D70" s="20"/>
      <c r="E70" s="25">
        <v>1</v>
      </c>
      <c r="F70" s="18">
        <f>E70</f>
        <v>1</v>
      </c>
      <c r="G70" s="18">
        <v>852.99</v>
      </c>
      <c r="H70" s="265">
        <f>SUM(F70*G70/1000)</f>
        <v>0.85299000000000003</v>
      </c>
      <c r="I70" s="18">
        <v>0</v>
      </c>
    </row>
    <row r="71" spans="1:21" ht="15.75" hidden="1" customHeight="1">
      <c r="A71" s="46"/>
      <c r="B71" s="269" t="s">
        <v>95</v>
      </c>
      <c r="C71" s="22"/>
      <c r="D71" s="20"/>
      <c r="E71" s="25"/>
      <c r="F71" s="25"/>
      <c r="G71" s="25"/>
      <c r="H71" s="25"/>
      <c r="I71" s="255"/>
    </row>
    <row r="72" spans="1:21" ht="15.75" hidden="1" customHeight="1">
      <c r="A72" s="46"/>
      <c r="B72" s="81" t="s">
        <v>208</v>
      </c>
      <c r="C72" s="22" t="s">
        <v>96</v>
      </c>
      <c r="D72" s="20"/>
      <c r="E72" s="25"/>
      <c r="F72" s="18">
        <v>0.1</v>
      </c>
      <c r="G72" s="18">
        <v>2759.44</v>
      </c>
      <c r="H72" s="268">
        <f t="shared" ref="H72" si="9">SUM(F72*G72/1000)</f>
        <v>0.27594400000000002</v>
      </c>
      <c r="I72" s="18">
        <v>0</v>
      </c>
    </row>
    <row r="73" spans="1:21" ht="15.75" hidden="1" customHeight="1">
      <c r="A73" s="46"/>
      <c r="B73" s="210" t="s">
        <v>206</v>
      </c>
      <c r="C73" s="269"/>
      <c r="D73" s="51"/>
      <c r="E73" s="53"/>
      <c r="F73" s="270"/>
      <c r="G73" s="270"/>
      <c r="H73" s="271">
        <f>SUM(H55:H72)</f>
        <v>124.27670696000001</v>
      </c>
      <c r="I73" s="253"/>
    </row>
    <row r="74" spans="1:21" ht="15.75" hidden="1" customHeight="1">
      <c r="A74" s="285"/>
      <c r="B74" s="261" t="s">
        <v>207</v>
      </c>
      <c r="C74" s="295"/>
      <c r="D74" s="296"/>
      <c r="E74" s="272"/>
      <c r="F74" s="286">
        <f>232/10</f>
        <v>23.2</v>
      </c>
      <c r="G74" s="286">
        <v>11370</v>
      </c>
      <c r="H74" s="297">
        <f>G74*F74/1000</f>
        <v>263.78399999999999</v>
      </c>
      <c r="I74" s="286">
        <v>0</v>
      </c>
    </row>
    <row r="75" spans="1:21" ht="15.75" customHeight="1">
      <c r="A75" s="282" t="s">
        <v>257</v>
      </c>
      <c r="B75" s="283"/>
      <c r="C75" s="283"/>
      <c r="D75" s="283"/>
      <c r="E75" s="283"/>
      <c r="F75" s="283"/>
      <c r="G75" s="283"/>
      <c r="H75" s="283"/>
      <c r="I75" s="284"/>
    </row>
    <row r="76" spans="1:21" ht="15.75" customHeight="1">
      <c r="A76" s="287">
        <v>21</v>
      </c>
      <c r="B76" s="288" t="s">
        <v>209</v>
      </c>
      <c r="C76" s="298" t="s">
        <v>67</v>
      </c>
      <c r="D76" s="299" t="s">
        <v>68</v>
      </c>
      <c r="E76" s="292">
        <v>3053.4</v>
      </c>
      <c r="F76" s="292">
        <f>SUM(E76*12)</f>
        <v>36640.800000000003</v>
      </c>
      <c r="G76" s="292">
        <v>2.1</v>
      </c>
      <c r="H76" s="300">
        <f>SUM(F76*G76/1000)</f>
        <v>76.94568000000001</v>
      </c>
      <c r="I76" s="292">
        <f>F76/12*G76</f>
        <v>6412.14</v>
      </c>
    </row>
    <row r="77" spans="1:21" ht="31.5" customHeight="1">
      <c r="A77" s="46">
        <v>22</v>
      </c>
      <c r="B77" s="20" t="s">
        <v>97</v>
      </c>
      <c r="C77" s="22"/>
      <c r="D77" s="299" t="s">
        <v>68</v>
      </c>
      <c r="E77" s="249">
        <f>E76</f>
        <v>3053.4</v>
      </c>
      <c r="F77" s="18">
        <f>E77*12</f>
        <v>36640.800000000003</v>
      </c>
      <c r="G77" s="18">
        <v>1.63</v>
      </c>
      <c r="H77" s="268">
        <f>F77*G77/1000</f>
        <v>59.724504000000003</v>
      </c>
      <c r="I77" s="18">
        <f>F77/12*G77</f>
        <v>4977.0419999999995</v>
      </c>
    </row>
    <row r="78" spans="1:21" ht="15.75" customHeight="1">
      <c r="A78" s="46"/>
      <c r="B78" s="68" t="s">
        <v>102</v>
      </c>
      <c r="C78" s="269"/>
      <c r="D78" s="267"/>
      <c r="E78" s="270"/>
      <c r="F78" s="270"/>
      <c r="G78" s="270"/>
      <c r="H78" s="271">
        <f>SUM(H77)</f>
        <v>59.724504000000003</v>
      </c>
      <c r="I78" s="270">
        <f>I16+I17+I18+I20+I21+I23+I25+I26+I29+I30+I32+I43+I44+I45+I46+I47+I48+I58+I60+I67+I76+I77</f>
        <v>44880.46373788888</v>
      </c>
    </row>
    <row r="79" spans="1:21" ht="15.75" customHeight="1">
      <c r="A79" s="46"/>
      <c r="B79" s="198" t="s">
        <v>74</v>
      </c>
      <c r="C79" s="22"/>
      <c r="D79" s="81"/>
      <c r="E79" s="18"/>
      <c r="F79" s="18"/>
      <c r="G79" s="18"/>
      <c r="H79" s="23"/>
      <c r="I79" s="255"/>
    </row>
    <row r="80" spans="1:21" ht="15.75" customHeight="1">
      <c r="A80" s="46">
        <v>23</v>
      </c>
      <c r="B80" s="199" t="s">
        <v>173</v>
      </c>
      <c r="C80" s="200" t="s">
        <v>142</v>
      </c>
      <c r="D80" s="81"/>
      <c r="E80" s="18"/>
      <c r="F80" s="18">
        <v>780</v>
      </c>
      <c r="G80" s="18">
        <v>50.68</v>
      </c>
      <c r="H80" s="268">
        <f>G80*F80/1000</f>
        <v>39.5304</v>
      </c>
      <c r="I80" s="18">
        <f>G80*65</f>
        <v>3294.2</v>
      </c>
    </row>
    <row r="81" spans="1:9" ht="31.5" customHeight="1">
      <c r="A81" s="46">
        <v>24</v>
      </c>
      <c r="B81" s="199" t="s">
        <v>134</v>
      </c>
      <c r="C81" s="200" t="s">
        <v>175</v>
      </c>
      <c r="D81" s="81"/>
      <c r="E81" s="18"/>
      <c r="F81" s="18">
        <v>6</v>
      </c>
      <c r="G81" s="18">
        <v>559.62</v>
      </c>
      <c r="H81" s="268">
        <f t="shared" ref="H81:H83" si="10">F81*G81/1000</f>
        <v>3.35772</v>
      </c>
      <c r="I81" s="18">
        <f>G81*4</f>
        <v>2238.48</v>
      </c>
    </row>
    <row r="82" spans="1:9" ht="31.5" customHeight="1">
      <c r="A82" s="46">
        <v>25</v>
      </c>
      <c r="B82" s="199" t="s">
        <v>101</v>
      </c>
      <c r="C82" s="200" t="s">
        <v>142</v>
      </c>
      <c r="D82" s="81"/>
      <c r="E82" s="18"/>
      <c r="F82" s="18">
        <v>3</v>
      </c>
      <c r="G82" s="18">
        <v>79.09</v>
      </c>
      <c r="H82" s="268">
        <f t="shared" si="10"/>
        <v>0.23727000000000001</v>
      </c>
      <c r="I82" s="18">
        <f>G82</f>
        <v>79.09</v>
      </c>
    </row>
    <row r="83" spans="1:9" ht="31.5" customHeight="1">
      <c r="A83" s="46">
        <v>26</v>
      </c>
      <c r="B83" s="199" t="s">
        <v>251</v>
      </c>
      <c r="C83" s="200" t="s">
        <v>175</v>
      </c>
      <c r="D83" s="81"/>
      <c r="E83" s="18"/>
      <c r="F83" s="18">
        <v>1</v>
      </c>
      <c r="G83" s="18">
        <v>476.76</v>
      </c>
      <c r="H83" s="268">
        <f t="shared" si="10"/>
        <v>0.47676000000000002</v>
      </c>
      <c r="I83" s="18">
        <f>G83</f>
        <v>476.76</v>
      </c>
    </row>
    <row r="84" spans="1:9" ht="15.75" customHeight="1">
      <c r="A84" s="46"/>
      <c r="B84" s="75" t="s">
        <v>63</v>
      </c>
      <c r="C84" s="71"/>
      <c r="D84" s="123"/>
      <c r="E84" s="71">
        <v>1</v>
      </c>
      <c r="F84" s="71"/>
      <c r="G84" s="71"/>
      <c r="H84" s="71"/>
      <c r="I84" s="53">
        <f>SUM(I80:I83)</f>
        <v>6088.5300000000007</v>
      </c>
    </row>
    <row r="85" spans="1:9" ht="15.75" customHeight="1">
      <c r="A85" s="46"/>
      <c r="B85" s="81" t="s">
        <v>98</v>
      </c>
      <c r="C85" s="21"/>
      <c r="D85" s="21"/>
      <c r="E85" s="72"/>
      <c r="F85" s="72"/>
      <c r="G85" s="73"/>
      <c r="H85" s="73"/>
      <c r="I85" s="24">
        <v>0</v>
      </c>
    </row>
    <row r="86" spans="1:9" ht="15.75" customHeight="1">
      <c r="A86" s="124"/>
      <c r="B86" s="76" t="s">
        <v>64</v>
      </c>
      <c r="C86" s="59"/>
      <c r="D86" s="59"/>
      <c r="E86" s="59"/>
      <c r="F86" s="59"/>
      <c r="G86" s="59"/>
      <c r="H86" s="59"/>
      <c r="I86" s="74">
        <f>I78+I84</f>
        <v>50968.993737888879</v>
      </c>
    </row>
    <row r="87" spans="1:9" ht="15.75">
      <c r="A87" s="240" t="s">
        <v>285</v>
      </c>
      <c r="B87" s="240"/>
      <c r="C87" s="240"/>
      <c r="D87" s="240"/>
      <c r="E87" s="240"/>
      <c r="F87" s="240"/>
      <c r="G87" s="240"/>
      <c r="H87" s="240"/>
      <c r="I87" s="240"/>
    </row>
    <row r="88" spans="1:9" ht="15.75">
      <c r="A88" s="205"/>
      <c r="B88" s="241" t="s">
        <v>286</v>
      </c>
      <c r="C88" s="241"/>
      <c r="D88" s="241"/>
      <c r="E88" s="241"/>
      <c r="F88" s="241"/>
      <c r="G88" s="241"/>
      <c r="H88" s="246"/>
      <c r="I88" s="3"/>
    </row>
    <row r="89" spans="1:9">
      <c r="A89" s="208"/>
      <c r="B89" s="222" t="s">
        <v>7</v>
      </c>
      <c r="C89" s="222"/>
      <c r="D89" s="222"/>
      <c r="E89" s="222"/>
      <c r="F89" s="222"/>
      <c r="G89" s="222"/>
      <c r="H89" s="37"/>
      <c r="I89" s="5"/>
    </row>
    <row r="90" spans="1:9" ht="15.75" customHeight="1">
      <c r="A90" s="11"/>
      <c r="B90" s="11"/>
      <c r="C90" s="11"/>
      <c r="D90" s="11"/>
      <c r="E90" s="11"/>
      <c r="F90" s="11"/>
      <c r="G90" s="11"/>
      <c r="H90" s="11"/>
      <c r="I90" s="11"/>
    </row>
    <row r="91" spans="1:9" ht="15.75" customHeight="1">
      <c r="A91" s="217" t="s">
        <v>8</v>
      </c>
      <c r="B91" s="217"/>
      <c r="C91" s="217"/>
      <c r="D91" s="217"/>
      <c r="E91" s="217"/>
      <c r="F91" s="217"/>
      <c r="G91" s="217"/>
      <c r="H91" s="217"/>
      <c r="I91" s="217"/>
    </row>
    <row r="92" spans="1:9" ht="15.75" customHeight="1">
      <c r="A92" s="217" t="s">
        <v>9</v>
      </c>
      <c r="B92" s="217"/>
      <c r="C92" s="217"/>
      <c r="D92" s="217"/>
      <c r="E92" s="217"/>
      <c r="F92" s="217"/>
      <c r="G92" s="217"/>
      <c r="H92" s="217"/>
      <c r="I92" s="217"/>
    </row>
    <row r="93" spans="1:9" ht="15.75" customHeight="1">
      <c r="A93" s="219" t="s">
        <v>76</v>
      </c>
      <c r="B93" s="219"/>
      <c r="C93" s="219"/>
      <c r="D93" s="219"/>
      <c r="E93" s="219"/>
      <c r="F93" s="219"/>
      <c r="G93" s="219"/>
      <c r="H93" s="219"/>
      <c r="I93" s="219"/>
    </row>
    <row r="94" spans="1:9" ht="15.75" customHeight="1">
      <c r="A94" s="12"/>
    </row>
    <row r="95" spans="1:9" ht="15.75" customHeight="1">
      <c r="A95" s="220" t="s">
        <v>11</v>
      </c>
      <c r="B95" s="220"/>
      <c r="C95" s="220"/>
      <c r="D95" s="220"/>
      <c r="E95" s="220"/>
      <c r="F95" s="220"/>
      <c r="G95" s="220"/>
      <c r="H95" s="220"/>
      <c r="I95" s="220"/>
    </row>
    <row r="96" spans="1:9" ht="15.75" customHeight="1">
      <c r="A96" s="4"/>
    </row>
    <row r="97" spans="1:9" ht="15.75" customHeight="1">
      <c r="B97" s="204" t="s">
        <v>12</v>
      </c>
      <c r="C97" s="224" t="s">
        <v>136</v>
      </c>
      <c r="D97" s="224"/>
      <c r="E97" s="224"/>
      <c r="F97" s="244"/>
      <c r="I97" s="207"/>
    </row>
    <row r="98" spans="1:9" ht="15.75" customHeight="1">
      <c r="A98" s="208"/>
      <c r="C98" s="222" t="s">
        <v>13</v>
      </c>
      <c r="D98" s="222"/>
      <c r="E98" s="222"/>
      <c r="F98" s="37"/>
      <c r="I98" s="206" t="s">
        <v>14</v>
      </c>
    </row>
    <row r="99" spans="1:9" ht="15.75" customHeight="1">
      <c r="A99" s="38"/>
      <c r="C99" s="13"/>
      <c r="D99" s="13"/>
      <c r="G99" s="13"/>
      <c r="H99" s="13"/>
    </row>
    <row r="100" spans="1:9" ht="15.75" customHeight="1">
      <c r="B100" s="204" t="s">
        <v>15</v>
      </c>
      <c r="C100" s="223"/>
      <c r="D100" s="223"/>
      <c r="E100" s="223"/>
      <c r="F100" s="245"/>
      <c r="I100" s="207"/>
    </row>
    <row r="101" spans="1:9" ht="15.75" customHeight="1">
      <c r="A101" s="208"/>
      <c r="C101" s="216" t="s">
        <v>13</v>
      </c>
      <c r="D101" s="216"/>
      <c r="E101" s="216"/>
      <c r="F101" s="208"/>
      <c r="I101" s="206" t="s">
        <v>14</v>
      </c>
    </row>
    <row r="102" spans="1:9" ht="15.75" customHeight="1">
      <c r="A102" s="4" t="s">
        <v>16</v>
      </c>
    </row>
    <row r="103" spans="1:9">
      <c r="A103" s="234" t="s">
        <v>17</v>
      </c>
      <c r="B103" s="234"/>
      <c r="C103" s="234"/>
      <c r="D103" s="234"/>
      <c r="E103" s="234"/>
      <c r="F103" s="234"/>
      <c r="G103" s="234"/>
      <c r="H103" s="234"/>
      <c r="I103" s="234"/>
    </row>
    <row r="104" spans="1:9" ht="47.25" customHeight="1">
      <c r="A104" s="235" t="s">
        <v>18</v>
      </c>
      <c r="B104" s="235"/>
      <c r="C104" s="235"/>
      <c r="D104" s="235"/>
      <c r="E104" s="235"/>
      <c r="F104" s="235"/>
      <c r="G104" s="235"/>
      <c r="H104" s="235"/>
      <c r="I104" s="235"/>
    </row>
    <row r="105" spans="1:9" ht="31.5" customHeight="1">
      <c r="A105" s="235" t="s">
        <v>19</v>
      </c>
      <c r="B105" s="235"/>
      <c r="C105" s="235"/>
      <c r="D105" s="235"/>
      <c r="E105" s="235"/>
      <c r="F105" s="235"/>
      <c r="G105" s="235"/>
      <c r="H105" s="235"/>
      <c r="I105" s="235"/>
    </row>
    <row r="106" spans="1:9" ht="31.5" customHeight="1">
      <c r="A106" s="235" t="s">
        <v>24</v>
      </c>
      <c r="B106" s="235"/>
      <c r="C106" s="235"/>
      <c r="D106" s="235"/>
      <c r="E106" s="235"/>
      <c r="F106" s="235"/>
      <c r="G106" s="235"/>
      <c r="H106" s="235"/>
      <c r="I106" s="235"/>
    </row>
    <row r="107" spans="1:9" ht="15.75">
      <c r="A107" s="235" t="s">
        <v>23</v>
      </c>
      <c r="B107" s="235"/>
      <c r="C107" s="235"/>
      <c r="D107" s="235"/>
      <c r="E107" s="235"/>
      <c r="F107" s="235"/>
      <c r="G107" s="235"/>
      <c r="H107" s="235"/>
      <c r="I107" s="235"/>
    </row>
  </sheetData>
  <autoFilter ref="I12:I62"/>
  <mergeCells count="28">
    <mergeCell ref="A104:I104"/>
    <mergeCell ref="A105:I105"/>
    <mergeCell ref="A106:I106"/>
    <mergeCell ref="A107:I107"/>
    <mergeCell ref="A95:I95"/>
    <mergeCell ref="C97:E97"/>
    <mergeCell ref="C98:E98"/>
    <mergeCell ref="C100:E100"/>
    <mergeCell ref="C101:E101"/>
    <mergeCell ref="A103:I103"/>
    <mergeCell ref="A87:I87"/>
    <mergeCell ref="B88:G88"/>
    <mergeCell ref="B89:G89"/>
    <mergeCell ref="A91:I91"/>
    <mergeCell ref="A92:I92"/>
    <mergeCell ref="A93:I93"/>
    <mergeCell ref="A15:I15"/>
    <mergeCell ref="A27:I27"/>
    <mergeCell ref="A42:I42"/>
    <mergeCell ref="A53:I53"/>
    <mergeCell ref="R67:U67"/>
    <mergeCell ref="A75:I7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14</vt:i4>
      </vt:variant>
    </vt:vector>
  </HeadingPairs>
  <TitlesOfParts>
    <vt:vector size="27" baseType="lpstr">
      <vt:lpstr>01.16</vt:lpstr>
      <vt:lpstr>02.16</vt:lpstr>
      <vt:lpstr>03.16</vt:lpstr>
      <vt:lpstr>04.16</vt:lpstr>
      <vt:lpstr>05.16</vt:lpstr>
      <vt:lpstr>06.16</vt:lpstr>
      <vt:lpstr>07.16</vt:lpstr>
      <vt:lpstr>08.16</vt:lpstr>
      <vt:lpstr>09.16</vt:lpstr>
      <vt:lpstr>10.16</vt:lpstr>
      <vt:lpstr>11.16</vt:lpstr>
      <vt:lpstr>12.16</vt:lpstr>
      <vt:lpstr>Лист1</vt:lpstr>
      <vt:lpstr>'05.16'!Заголовки_для_печати</vt:lpstr>
      <vt:lpstr>'11.16'!Заголовки_для_печати</vt:lpstr>
      <vt:lpstr>'01.16'!Область_печати</vt:lpstr>
      <vt:lpstr>'02.16'!Область_печати</vt:lpstr>
      <vt:lpstr>'03.16'!Область_печати</vt:lpstr>
      <vt:lpstr>'04.16'!Область_печати</vt:lpstr>
      <vt:lpstr>'05.16'!Область_печати</vt:lpstr>
      <vt:lpstr>'06.16'!Область_печати</vt:lpstr>
      <vt:lpstr>'07.16'!Область_печати</vt:lpstr>
      <vt:lpstr>'08.16'!Область_печати</vt:lpstr>
      <vt:lpstr>'09.16'!Область_печати</vt:lpstr>
      <vt:lpstr>'10.16'!Область_печати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2017-04-13T12:51:49Z</cp:lastPrinted>
  <dcterms:created xsi:type="dcterms:W3CDTF">2016-03-25T08:33:47Z</dcterms:created>
  <dcterms:modified xsi:type="dcterms:W3CDTF">2017-04-13T12:52:08Z</dcterms:modified>
</cp:coreProperties>
</file>