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50" windowWidth="15480" windowHeight="810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4" r:id="rId11"/>
    <sheet name="12.16" sheetId="8" r:id="rId12"/>
    <sheet name="Лист1" sheetId="16" r:id="rId13"/>
  </sheets>
  <definedNames>
    <definedName name="_xlnm._FilterDatabase" localSheetId="0" hidden="1">'01.16'!$I$12:$I$67</definedName>
    <definedName name="_xlnm._FilterDatabase" localSheetId="1" hidden="1">'02.16'!$I$12:$I$67</definedName>
    <definedName name="_xlnm._FilterDatabase" localSheetId="2" hidden="1">'03.16'!$I$12:$I$67</definedName>
    <definedName name="_xlnm._FilterDatabase" localSheetId="3" hidden="1">'04.16'!$I$12:$I$67</definedName>
    <definedName name="_xlnm._FilterDatabase" localSheetId="4" hidden="1">'05.16'!$I$12:$I$67</definedName>
    <definedName name="_xlnm._FilterDatabase" localSheetId="5" hidden="1">'06.16'!$I$12:$I$67</definedName>
    <definedName name="_xlnm._FilterDatabase" localSheetId="6" hidden="1">'07.16'!$I$12:$I$67</definedName>
    <definedName name="_xlnm._FilterDatabase" localSheetId="7" hidden="1">'08.16'!$I$12:$I$67</definedName>
    <definedName name="_xlnm._FilterDatabase" localSheetId="8" hidden="1">'09.16'!$I$12:$I$67</definedName>
    <definedName name="_xlnm._FilterDatabase" localSheetId="9" hidden="1">'10.16'!$I$12:$I$67</definedName>
    <definedName name="_xlnm._FilterDatabase" localSheetId="10" hidden="1">'11.16'!$G$13:$G$67</definedName>
    <definedName name="_xlnm._FilterDatabase" localSheetId="11" hidden="1">'12.16'!$G$12:$G$72</definedName>
    <definedName name="_xlnm.Print_Titles" localSheetId="10">'11.16'!$13:$14</definedName>
    <definedName name="_xlnm.Print_Area" localSheetId="0">'01.16'!$A$1:$I$133</definedName>
    <definedName name="_xlnm.Print_Area" localSheetId="1">'02.16'!$A$1:$I$116</definedName>
    <definedName name="_xlnm.Print_Area" localSheetId="2">'03.16'!$A$1:$I$114</definedName>
    <definedName name="_xlnm.Print_Area" localSheetId="3">'04.16'!$A$1:$I$112</definedName>
    <definedName name="_xlnm.Print_Area" localSheetId="4">'05.16'!$A$1:$I$114</definedName>
    <definedName name="_xlnm.Print_Area" localSheetId="5">'06.16'!$A$1:$I$112</definedName>
    <definedName name="_xlnm.Print_Area" localSheetId="6">'07.16'!$A$1:$I$114</definedName>
    <definedName name="_xlnm.Print_Area" localSheetId="7">'08.16'!$A$1:$I$116</definedName>
    <definedName name="_xlnm.Print_Area" localSheetId="8">'09.16'!$A$1:$I$111</definedName>
    <definedName name="_xlnm.Print_Area" localSheetId="9">'10.16'!$A$1:$I$112</definedName>
    <definedName name="_xlnm.Print_Area" localSheetId="10">'11.16'!$A$1:$G$90</definedName>
    <definedName name="_xlnm.Print_Area" localSheetId="11">'12.16'!$A$1:$G$117</definedName>
  </definedNames>
  <calcPr calcId="124519"/>
</workbook>
</file>

<file path=xl/calcChain.xml><?xml version="1.0" encoding="utf-8"?>
<calcChain xmlns="http://schemas.openxmlformats.org/spreadsheetml/2006/main">
  <c r="I85" i="25"/>
  <c r="I21"/>
  <c r="I22"/>
  <c r="I23"/>
  <c r="I24"/>
  <c r="I20"/>
  <c r="I19"/>
  <c r="I85" i="26"/>
  <c r="I90" i="19"/>
  <c r="I89" i="26" l="1"/>
  <c r="I88"/>
  <c r="I87"/>
  <c r="I77"/>
  <c r="I66"/>
  <c r="H88"/>
  <c r="H87"/>
  <c r="E84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8" i="25"/>
  <c r="I87"/>
  <c r="I73"/>
  <c r="I66"/>
  <c r="I53"/>
  <c r="F87"/>
  <c r="H87" s="1"/>
  <c r="E84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1" i="24"/>
  <c r="I92"/>
  <c r="I90"/>
  <c r="I89"/>
  <c r="I88"/>
  <c r="I87"/>
  <c r="H92"/>
  <c r="H91"/>
  <c r="H90"/>
  <c r="H89"/>
  <c r="H88"/>
  <c r="H87"/>
  <c r="E84"/>
  <c r="F84" s="1"/>
  <c r="I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5" i="23"/>
  <c r="I91"/>
  <c r="I90"/>
  <c r="I89"/>
  <c r="I88"/>
  <c r="H90"/>
  <c r="H89"/>
  <c r="H88"/>
  <c r="I87"/>
  <c r="H87"/>
  <c r="E84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9" i="22"/>
  <c r="I88"/>
  <c r="I87"/>
  <c r="H88"/>
  <c r="H87"/>
  <c r="E84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1" i="21"/>
  <c r="I90"/>
  <c r="I89"/>
  <c r="I88"/>
  <c r="I87"/>
  <c r="H90"/>
  <c r="H89"/>
  <c r="H88"/>
  <c r="H87"/>
  <c r="E84"/>
  <c r="F84" s="1"/>
  <c r="F83"/>
  <c r="I83" s="1"/>
  <c r="I81"/>
  <c r="H81"/>
  <c r="I79"/>
  <c r="H79"/>
  <c r="H77"/>
  <c r="H76"/>
  <c r="I75"/>
  <c r="H75"/>
  <c r="H73"/>
  <c r="F72"/>
  <c r="H72" s="1"/>
  <c r="F71"/>
  <c r="I71" s="1"/>
  <c r="F70"/>
  <c r="I70" s="1"/>
  <c r="F69"/>
  <c r="I69" s="1"/>
  <c r="F68"/>
  <c r="I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9" i="20"/>
  <c r="I88"/>
  <c r="I87"/>
  <c r="I77"/>
  <c r="H88"/>
  <c r="H87"/>
  <c r="E84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9" i="19"/>
  <c r="I88"/>
  <c r="I87"/>
  <c r="I85" i="18"/>
  <c r="I77" i="19"/>
  <c r="I76"/>
  <c r="I53"/>
  <c r="H90"/>
  <c r="H89"/>
  <c r="H88"/>
  <c r="H87"/>
  <c r="E84"/>
  <c r="F84" s="1"/>
  <c r="F83"/>
  <c r="I83" s="1"/>
  <c r="I81"/>
  <c r="H81"/>
  <c r="I79"/>
  <c r="H79"/>
  <c r="H77"/>
  <c r="H76"/>
  <c r="I75"/>
  <c r="H75"/>
  <c r="H73"/>
  <c r="H72"/>
  <c r="F72"/>
  <c r="H71"/>
  <c r="F71"/>
  <c r="H70"/>
  <c r="F70"/>
  <c r="H69"/>
  <c r="F69"/>
  <c r="H68"/>
  <c r="F68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I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H16"/>
  <c r="F16"/>
  <c r="I16" s="1"/>
  <c r="I93" i="18"/>
  <c r="I26" i="17"/>
  <c r="I84" i="26" l="1"/>
  <c r="H84"/>
  <c r="H85" s="1"/>
  <c r="I18"/>
  <c r="H18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I48" i="25"/>
  <c r="I46"/>
  <c r="I49"/>
  <c r="I47"/>
  <c r="I51"/>
  <c r="I52"/>
  <c r="I18"/>
  <c r="H18"/>
  <c r="I84"/>
  <c r="H84"/>
  <c r="H85" s="1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I93" i="24"/>
  <c r="I18"/>
  <c r="H18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H84"/>
  <c r="H85" s="1"/>
  <c r="I18" i="23"/>
  <c r="H18"/>
  <c r="I84"/>
  <c r="H84"/>
  <c r="H85" s="1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I18" i="22"/>
  <c r="H18"/>
  <c r="I84"/>
  <c r="H84"/>
  <c r="H85" s="1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H68" i="21"/>
  <c r="H69"/>
  <c r="H70"/>
  <c r="H71"/>
  <c r="I19"/>
  <c r="I20"/>
  <c r="I24"/>
  <c r="I49"/>
  <c r="I47"/>
  <c r="I21"/>
  <c r="I22"/>
  <c r="I23"/>
  <c r="I48"/>
  <c r="I46"/>
  <c r="I72"/>
  <c r="I84"/>
  <c r="H84"/>
  <c r="H85" s="1"/>
  <c r="I18"/>
  <c r="H18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I51" i="20"/>
  <c r="I52"/>
  <c r="I18"/>
  <c r="H18"/>
  <c r="I84"/>
  <c r="H84"/>
  <c r="H85" s="1"/>
  <c r="I16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I91" i="19"/>
  <c r="I18"/>
  <c r="H18"/>
  <c r="I84"/>
  <c r="H84"/>
  <c r="H85" s="1"/>
  <c r="H17"/>
  <c r="I25"/>
  <c r="H26"/>
  <c r="I29"/>
  <c r="H30"/>
  <c r="I31"/>
  <c r="I38"/>
  <c r="H39"/>
  <c r="H41"/>
  <c r="I42"/>
  <c r="H43"/>
  <c r="I50"/>
  <c r="I58"/>
  <c r="H59"/>
  <c r="H80" s="1"/>
  <c r="I61"/>
  <c r="I64"/>
  <c r="H83"/>
  <c r="I91" i="26" l="1"/>
  <c r="H86"/>
  <c r="I90" i="25"/>
  <c r="H86"/>
  <c r="I85" i="24"/>
  <c r="H86"/>
  <c r="I95"/>
  <c r="H86" i="23"/>
  <c r="I93"/>
  <c r="I85" i="22"/>
  <c r="I91" s="1"/>
  <c r="H86"/>
  <c r="I85" i="21"/>
  <c r="I93" s="1"/>
  <c r="H86"/>
  <c r="I85" i="20"/>
  <c r="H86"/>
  <c r="I91"/>
  <c r="I85" i="19"/>
  <c r="H86"/>
  <c r="I93"/>
  <c r="I26" i="18" l="1"/>
  <c r="I92" l="1"/>
  <c r="I91"/>
  <c r="I88"/>
  <c r="I89"/>
  <c r="I90"/>
  <c r="F92"/>
  <c r="H92" s="1"/>
  <c r="H91"/>
  <c r="H90"/>
  <c r="H89"/>
  <c r="H88"/>
  <c r="I87"/>
  <c r="H87"/>
  <c r="E84"/>
  <c r="F84" s="1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H35"/>
  <c r="H34"/>
  <c r="H33"/>
  <c r="F33"/>
  <c r="I33" s="1"/>
  <c r="I32"/>
  <c r="H32"/>
  <c r="F31"/>
  <c r="H31" s="1"/>
  <c r="F30"/>
  <c r="I30" s="1"/>
  <c r="F29"/>
  <c r="H29" s="1"/>
  <c r="F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32" i="17"/>
  <c r="I18" i="18" l="1"/>
  <c r="H18"/>
  <c r="I84"/>
  <c r="H84"/>
  <c r="H85" s="1"/>
  <c r="I16"/>
  <c r="H17"/>
  <c r="I25"/>
  <c r="H26"/>
  <c r="I29"/>
  <c r="H30"/>
  <c r="I31"/>
  <c r="I38"/>
  <c r="H39"/>
  <c r="H41"/>
  <c r="I42"/>
  <c r="H43"/>
  <c r="I50"/>
  <c r="I58"/>
  <c r="H59"/>
  <c r="H80" s="1"/>
  <c r="I61"/>
  <c r="I95" s="1"/>
  <c r="I64"/>
  <c r="H83"/>
  <c r="H86" l="1"/>
  <c r="H109" i="17" l="1"/>
  <c r="F109"/>
  <c r="H108"/>
  <c r="H107"/>
  <c r="H106"/>
  <c r="F105"/>
  <c r="H105" s="1"/>
  <c r="H104"/>
  <c r="H103"/>
  <c r="H102"/>
  <c r="H101"/>
  <c r="H100"/>
  <c r="H99"/>
  <c r="H98"/>
  <c r="H97"/>
  <c r="H96"/>
  <c r="H95"/>
  <c r="H94"/>
  <c r="F93"/>
  <c r="H93" s="1"/>
  <c r="H92"/>
  <c r="H91"/>
  <c r="H90"/>
  <c r="H89"/>
  <c r="I88"/>
  <c r="H88"/>
  <c r="I87"/>
  <c r="I110" s="1"/>
  <c r="H87"/>
  <c r="E84"/>
  <c r="F83"/>
  <c r="I83" s="1"/>
  <c r="I81"/>
  <c r="H81"/>
  <c r="I79"/>
  <c r="H79"/>
  <c r="H77"/>
  <c r="H76"/>
  <c r="I75"/>
  <c r="H75"/>
  <c r="H73"/>
  <c r="F72"/>
  <c r="H72" s="1"/>
  <c r="F71"/>
  <c r="H71" s="1"/>
  <c r="F70"/>
  <c r="H70" s="1"/>
  <c r="F69"/>
  <c r="H69" s="1"/>
  <c r="F68"/>
  <c r="H68" s="1"/>
  <c r="H67"/>
  <c r="H66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F38"/>
  <c r="H38" s="1"/>
  <c r="I37"/>
  <c r="H37"/>
  <c r="F26"/>
  <c r="H26" s="1"/>
  <c r="H35"/>
  <c r="H34"/>
  <c r="F25"/>
  <c r="I25" s="1"/>
  <c r="H33"/>
  <c r="F33"/>
  <c r="I33" s="1"/>
  <c r="H32"/>
  <c r="F31"/>
  <c r="F30"/>
  <c r="F29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H30" l="1"/>
  <c r="I30"/>
  <c r="H29"/>
  <c r="I29"/>
  <c r="H31"/>
  <c r="I31"/>
  <c r="H39"/>
  <c r="H16"/>
  <c r="H41"/>
  <c r="H59"/>
  <c r="H80" s="1"/>
  <c r="H83"/>
  <c r="F84"/>
  <c r="H84" s="1"/>
  <c r="H85" s="1"/>
  <c r="H25"/>
  <c r="H43"/>
  <c r="H50"/>
  <c r="I18"/>
  <c r="I38"/>
  <c r="I42"/>
  <c r="I58"/>
  <c r="I61"/>
  <c r="I64"/>
  <c r="I17"/>
  <c r="I84" l="1"/>
  <c r="I85" s="1"/>
  <c r="I112" s="1"/>
  <c r="H86"/>
  <c r="G56" i="14"/>
  <c r="G66"/>
  <c r="G85" i="8"/>
  <c r="G93"/>
  <c r="D92" l="1"/>
  <c r="G63" l="1"/>
  <c r="E30"/>
  <c r="G95" l="1"/>
  <c r="G68" i="14" l="1"/>
  <c r="E19"/>
  <c r="G41" l="1"/>
  <c r="G40"/>
  <c r="G38"/>
  <c r="G37"/>
  <c r="E37"/>
  <c r="E38"/>
  <c r="E39"/>
  <c r="G36"/>
  <c r="G35"/>
  <c r="G34"/>
  <c r="E23" l="1"/>
  <c r="E26"/>
  <c r="E32"/>
  <c r="E33"/>
  <c r="E34"/>
  <c r="E35"/>
  <c r="E36"/>
  <c r="E44"/>
  <c r="E48"/>
  <c r="E52"/>
  <c r="E54"/>
  <c r="G32" l="1"/>
  <c r="G33"/>
  <c r="E31" l="1"/>
  <c r="J54"/>
  <c r="E24" l="1"/>
  <c r="G31" l="1"/>
  <c r="G39"/>
  <c r="H54"/>
  <c r="H55" s="1"/>
  <c r="E28"/>
  <c r="E27" l="1"/>
  <c r="E29"/>
</calcChain>
</file>

<file path=xl/sharedStrings.xml><?xml version="1.0" encoding="utf-8"?>
<sst xmlns="http://schemas.openxmlformats.org/spreadsheetml/2006/main" count="2722" uniqueCount="273">
  <si>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</si>
  <si>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</si>
  <si>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</si>
  <si>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</si>
  <si>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</si>
  <si>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</si>
  <si>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</si>
  <si>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</si>
  <si>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</si>
  <si>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</si>
  <si>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</si>
  <si>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</si>
  <si>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</si>
  <si>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</si>
  <si>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</si>
  <si>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</si>
  <si>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</si>
  <si>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</si>
  <si>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</si>
  <si>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</si>
  <si>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</si>
  <si>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</si>
  <si>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</si>
  <si>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</si>
  <si>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</si>
  <si>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</si>
  <si>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</si>
  <si>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</si>
  <si>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</si>
  <si>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</si>
  <si>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</si>
  <si>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</si>
  <si>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 xml:space="preserve">Стоимость песка 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</si>
  <si>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</si>
  <si>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</si>
  <si>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</si>
  <si>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</si>
  <si>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</si>
  <si>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</si>
  <si>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</si>
  <si>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</si>
  <si>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</si>
  <si>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</si>
  <si>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</si>
  <si>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</si>
  <si>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</si>
  <si>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</si>
  <si>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</si>
  <si>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</si>
  <si>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</si>
  <si>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</si>
  <si>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</si>
  <si>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</si>
  <si>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</si>
  <si>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</si>
  <si>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</si>
  <si>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</si>
  <si>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</si>
  <si>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</si>
  <si>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</si>
  <si>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</si>
  <si>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</si>
  <si>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</si>
  <si>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</si>
  <si>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</si>
  <si>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</si>
  <si>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</si>
  <si>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</si>
  <si>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</si>
  <si>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</si>
  <si>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</si>
  <si>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</si>
  <si>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</si>
  <si>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</si>
  <si>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</si>
  <si>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</si>
  <si>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</si>
  <si>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</si>
  <si>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</si>
  <si>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</si>
  <si>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за период с 01.08.2016 г. по 31.08.2016 г.</t>
  </si>
  <si>
    <t>Проведение технических осмотров и мелкий ремонт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</si>
  <si>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</si>
  <si>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</si>
  <si>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</si>
  <si>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</si>
  <si>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</si>
  <si>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</si>
  <si>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</si>
  <si>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</si>
  <si>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</si>
  <si>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</si>
  <si>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</si>
  <si>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</si>
  <si>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</si>
  <si>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</si>
  <si>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</si>
  <si>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</si>
  <si>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</si>
  <si>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</si>
  <si>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</si>
  <si>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</si>
  <si>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</si>
  <si>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</si>
  <si>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</si>
  <si>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</si>
  <si>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</si>
  <si>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</si>
  <si>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</si>
  <si>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</si>
  <si>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</si>
  <si>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</si>
  <si>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01.07.2016 г. по 31.07.2016 г.</t>
  </si>
  <si>
    <t>за период с 01.09.2016 г. по 30.09.2016 г.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</si>
  <si>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</si>
  <si>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</si>
  <si>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</si>
  <si>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7 раз в месяц</t>
  </si>
  <si>
    <t xml:space="preserve">ежедневно </t>
  </si>
  <si>
    <t xml:space="preserve">II. Уборка земельного участка </t>
  </si>
  <si>
    <t>26 раз в месяц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</si>
  <si>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</si>
  <si>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</si>
  <si>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</si>
  <si>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</si>
  <si>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</si>
  <si>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8 - 9 раз в месяц</t>
  </si>
  <si>
    <t>III. Плановые осмотры  и мелкий ремонт</t>
  </si>
  <si>
    <t>III. Содержание общего имущества</t>
  </si>
  <si>
    <t xml:space="preserve"> IV. Прочие услуги</t>
  </si>
  <si>
    <t>Пескопосыпка территории: входн. площадки</t>
  </si>
  <si>
    <t xml:space="preserve">Очистка края кровли  от слежавшегося снега со сбрасы- ванием сосулек (10% от S кровли, козырьки над подъездами) 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</si>
  <si>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</si>
  <si>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</si>
  <si>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</si>
  <si>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Сдвигание снега в дни снегопада (проезд)</t>
  </si>
  <si>
    <t>Сдвигание снега в дни снегопада (тротуар, крыльца)</t>
  </si>
  <si>
    <t>5 раз в месяц</t>
  </si>
  <si>
    <t>Подметание снега - с тротуара, крылец, контейнерных площадок</t>
  </si>
  <si>
    <t>4 раза в месяц</t>
  </si>
  <si>
    <t xml:space="preserve">приемки оказанных услуг и выполненных работ по содержанию и текущему ремонту
общего имущества в многоквартирном доме № 6  по  ул. Космонавтов  пгт. 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</si>
  <si>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Космонавтов, д. 6</t>
    </r>
  </si>
  <si>
    <t>Очистка оголовков дымоходов и вентканалов от наледи и снега</t>
  </si>
  <si>
    <t xml:space="preserve">2 раза в месяц  </t>
  </si>
  <si>
    <t>шт</t>
  </si>
  <si>
    <t>Внеплановая проверка дымоходов</t>
  </si>
  <si>
    <t>Дератизация</t>
  </si>
  <si>
    <t>Влажное подметание лестничных клеток 2-5 этажа</t>
  </si>
  <si>
    <t>Мытье лестничных  площадок и маршей 1-5 этаж.</t>
  </si>
  <si>
    <t>АКТ №12</t>
  </si>
  <si>
    <t>за период с 01.12.2016 г. по 31.12.2016 г.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</si>
  <si>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</si>
  <si>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</si>
  <si>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</si>
  <si>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</si>
  <si>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</si>
  <si>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</si>
  <si>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</si>
  <si>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</si>
  <si>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</si>
  <si>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</si>
  <si>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</si>
  <si>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</si>
  <si>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</si>
  <si>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</si>
  <si>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Уборка контейнерной площадки (16 кв.м.)</t>
  </si>
  <si>
    <t>30 раз за сезон</t>
  </si>
  <si>
    <t>Сдвигание снега в дни снегопада (крыльца, тротуары)</t>
  </si>
  <si>
    <t>155 раз за сезон</t>
  </si>
  <si>
    <t>Вывоз снега с придомовой территории</t>
  </si>
  <si>
    <t>1м3</t>
  </si>
  <si>
    <t xml:space="preserve">Пескопосыпка территории: крыльца и тротуары 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</si>
  <si>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</si>
  <si>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</si>
  <si>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</si>
  <si>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 xml:space="preserve">6 раз за сезон </t>
  </si>
  <si>
    <t>Работа автовышки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</si>
  <si>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</si>
  <si>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</si>
  <si>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</si>
  <si>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</si>
  <si>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</si>
  <si>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</si>
  <si>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</si>
  <si>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</si>
  <si>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>Прочистка засоров ГВС, XВC</t>
  </si>
  <si>
    <t>3м</t>
  </si>
  <si>
    <t>генеральный директор 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</si>
  <si>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№6 по ул.Космонавтов пгт.Ярега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</si>
  <si>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д.6</t>
    </r>
  </si>
  <si>
    <t>3 раза в неделю 156 раз в год</t>
  </si>
  <si>
    <t>2 раза в неделю 104 раза в год</t>
  </si>
  <si>
    <t xml:space="preserve">2 раза в месяц 24 раза в год </t>
  </si>
  <si>
    <t>Очистка урн от мусора</t>
  </si>
  <si>
    <t>12 раз за сезон</t>
  </si>
  <si>
    <t>по мере необходимости</t>
  </si>
  <si>
    <t>24 раза за сезон</t>
  </si>
  <si>
    <t>Проверка дымоходов</t>
  </si>
  <si>
    <t>Осмотр рулонной кровли</t>
  </si>
  <si>
    <t>Очистка края кровли от слежавшегося снега со сбрасыванием сосулек (10% от S кровли) и козырьки</t>
  </si>
  <si>
    <t>Очистка внутреннего водостока</t>
  </si>
  <si>
    <t>водосток</t>
  </si>
  <si>
    <t>Очистка водостоков от наледи</t>
  </si>
  <si>
    <t>Замена ламп ДРЛ</t>
  </si>
  <si>
    <t>Смена светодиодных светильников</t>
  </si>
  <si>
    <t>Очистка фановой трубы от наледи</t>
  </si>
  <si>
    <t>маш/час</t>
  </si>
  <si>
    <t xml:space="preserve"> 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</si>
  <si>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</si>
  <si>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</si>
  <si>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2. Всего за период с  01.11.2016 г. по 30.11.2016 г. выполнено работ (оказано услуг) на общую сумму: 68090,47 руб.</t>
  </si>
  <si>
    <t>шестьдесят восемь тысяч девяносто рублей 47 копеек)</t>
  </si>
  <si>
    <t>2. Всего за период с 01.12.2016 по 31.12.2016 выполнено работ (оказано услуг) на общую сумму: 74872,95 руб.</t>
  </si>
  <si>
    <t>(семьдесят четыре тысячи восемьсот семьдесят два рубля 95 копеек)</t>
  </si>
  <si>
    <t>АКТ №11</t>
  </si>
  <si>
    <t>АКТ №1</t>
  </si>
  <si>
    <t>1000-м2</t>
  </si>
  <si>
    <t>2 раза в неделю 52 раза в сезон</t>
  </si>
  <si>
    <t>3 раза в неделю 78 раз за сезон</t>
  </si>
  <si>
    <t>ежедневно 365 раз</t>
  </si>
  <si>
    <t>Смена выключателей</t>
  </si>
  <si>
    <t>Устройство хомута диаметром до 50 мм</t>
  </si>
  <si>
    <t>1 шт</t>
  </si>
  <si>
    <t xml:space="preserve">Смена сгонов у трубопроводов диаметром до 20 мм </t>
  </si>
  <si>
    <t>1 сгон</t>
  </si>
  <si>
    <t>Внеплановый осмотр вводных электрических щитков</t>
  </si>
  <si>
    <t>100шт</t>
  </si>
  <si>
    <t>Смена дверных приборов - пружины</t>
  </si>
  <si>
    <t>Ремонт и регулировка доводчика (со стоимостью доводчика)</t>
  </si>
  <si>
    <t>1шт.</t>
  </si>
  <si>
    <t>Ремонт полотенцесушителя (смена прокладок) без снятия с места</t>
  </si>
  <si>
    <t>Ремонт групповых щитков на лестничной клетке со сменой автоматов (авт.выкл. ВА47-29 Iн-25А)</t>
  </si>
  <si>
    <t>Смена арматуры - вентилей и клапанов обратных муфтовых диаметром до 32 мм (без стоимости материалов)</t>
  </si>
  <si>
    <t>Смена трубопроводов на полипропиленовые трубы PN25 диаметром 20мм</t>
  </si>
  <si>
    <t>Смена радиаторов отопительных чугунных (7-секционных)</t>
  </si>
  <si>
    <t>Подметание территории с усовершенствованным покрытием асф.: крыльца, контейнерн пл., проезд, тротуар</t>
  </si>
  <si>
    <t>III. Плановые осмотры</t>
  </si>
  <si>
    <t>1 раз в месяц (5 раз в год)</t>
  </si>
  <si>
    <t>IV. Содержание общего имущества МКД</t>
  </si>
  <si>
    <t>V. Прочие услуги</t>
  </si>
  <si>
    <t>АКТ №2</t>
  </si>
  <si>
    <t>2. Всего за период с 01.01.2016 по 31.01.2016 выполнено работ (оказано услуг) на общую сумму: 125713,71 руб.</t>
  </si>
  <si>
    <t>(сто двадцать пять тысяч семьсот тринадцать рублей 71 копейка)</t>
  </si>
  <si>
    <t>2. Всего за период с 01.02.2016 по 29.02.2016 выполнено работ (оказано услуг) на общую сумму: 68473,23 руб.</t>
  </si>
  <si>
    <t>(шестьдесят восемь тысяч четыреста семьдесят три рубля 23 копейки)</t>
  </si>
  <si>
    <t>АКТ №3</t>
  </si>
  <si>
    <t>АКТ №4</t>
  </si>
  <si>
    <t>2. Всего за период с 01.04.2016 по 30.04.2016 выполнено работ (оказано услуг) на общую сумму: 96780,77 руб.</t>
  </si>
  <si>
    <t>(девяносто шесть тысяч семьсот восемьдесят рублей 77 копеек)</t>
  </si>
  <si>
    <t>АКТ №5</t>
  </si>
  <si>
    <t>2. Всего за период с 01.05.2016 по 31.05.2016 выполнено работ (оказано услуг) на общую сумму: 152225,92 руб.</t>
  </si>
  <si>
    <t>(сто пятьдесят две тысячи двести двадцать пять рублей 92 копейки)</t>
  </si>
  <si>
    <t>АКТ №6</t>
  </si>
  <si>
    <t>III. Содержание общего имущества МКД</t>
  </si>
  <si>
    <t>IV. Прочие услуги</t>
  </si>
  <si>
    <t>2. Всего за период с 01.06.2016 по 30.06.2016 выполнено работ (оказано услуг) на общую сумму: 56153,43 руб.</t>
  </si>
  <si>
    <t>(пятьдесят шесть тысяч сто пятьдесят три рубля 43 копейки)</t>
  </si>
  <si>
    <t>АКТ №7</t>
  </si>
  <si>
    <t>2. Всего за период с 01.07.2016 по 31.07.2016 выполнено работ (оказано услуг) на общую сумму: 59023,51 руб.</t>
  </si>
  <si>
    <t>(пятьдесят девять тысяч двадцать три рубля 51 копейка)</t>
  </si>
  <si>
    <t>АКТ №8</t>
  </si>
  <si>
    <t>2. Всего за период с 01.08.2016 по 31.08.2016 выполнено работ (оказано услуг) на общую сумму: 96606,20 руб.</t>
  </si>
  <si>
    <t>(девяносто шесть тысяч шестьсот шесть рублей 20 копеек)</t>
  </si>
  <si>
    <t>АКТ №9</t>
  </si>
  <si>
    <t>АКТ №10</t>
  </si>
  <si>
    <t>2. Всего за период с 01.03.2016 по 31.03.2016 выполнено работ (оказано услуг) на общую сумму: 68896,94 руб.</t>
  </si>
  <si>
    <t>(шестьдесят восемь тысяч восемьсот девяносто шесть рублей 94 копейки)</t>
  </si>
  <si>
    <t>2. Всего за период с 01.10.2016 по 31.10.2016 выполнено работ (оказано услуг) на общую сумму: 59343,56 руб.</t>
  </si>
  <si>
    <t>(пятьдесят девять тысяч триста сорок три рубля 56 копеек)</t>
  </si>
  <si>
    <t>2. Всего за период с 01.09.2016 по 30.09.2016 выполнено работ (оказано услуг) на общую сумму: 69003,84 руб.</t>
  </si>
  <si>
    <t>(шестьдесят девять тысяч три рубля 84 копейки)</t>
  </si>
  <si>
    <r>
      <t xml:space="preserve">    Собственники   помещений   в многоквартирном доме, расположенном по адресу: пгт.Ярега, ул.Космонавтов,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09.12.2013г.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</si>
  <si>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  помещений   в многоквартирном доме, расположенном по адресу: пгт. Ярега, ул. Космонавтов, д 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09.12.2013г.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</si>
</sst>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"/>
    <numFmt numFmtId="166" formatCode="0.00000"/>
    <numFmt numFmtId="167" formatCode="0.0000000"/>
  </numFmts>
  <fonts count="2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7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0" fillId="0" borderId="0" xfId="0" applyFont="1"/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2" fontId="0" fillId="0" borderId="0" xfId="0" applyNumberFormat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4" fontId="0" fillId="0" borderId="0" xfId="0" applyNumberFormat="1" applyFill="1"/>
    <xf numFmtId="166" fontId="0" fillId="0" borderId="0" xfId="0" applyNumberFormat="1" applyFill="1"/>
    <xf numFmtId="167" fontId="0" fillId="0" borderId="0" xfId="0" applyNumberFormat="1" applyFill="1"/>
    <xf numFmtId="0" fontId="12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vertical="top"/>
    </xf>
    <xf numFmtId="0" fontId="16" fillId="0" borderId="0" xfId="0" applyFont="1" applyAlignment="1"/>
    <xf numFmtId="14" fontId="1" fillId="0" borderId="0" xfId="0" applyNumberFormat="1" applyFont="1" applyAlignment="1">
      <alignment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/>
    </xf>
    <xf numFmtId="4" fontId="12" fillId="3" borderId="9" xfId="0" applyNumberFormat="1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3" xfId="0" applyFont="1" applyFill="1" applyBorder="1"/>
    <xf numFmtId="4" fontId="12" fillId="2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Border="1"/>
    <xf numFmtId="4" fontId="2" fillId="0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0" fontId="12" fillId="0" borderId="3" xfId="0" applyFont="1" applyBorder="1"/>
    <xf numFmtId="0" fontId="2" fillId="0" borderId="3" xfId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5" fillId="0" borderId="0" xfId="0" applyFont="1"/>
    <xf numFmtId="0" fontId="24" fillId="0" borderId="0" xfId="0" applyFont="1"/>
    <xf numFmtId="0" fontId="2" fillId="0" borderId="4" xfId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1" fontId="12" fillId="2" borderId="3" xfId="0" applyNumberFormat="1" applyFont="1" applyFill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wrapText="1"/>
    </xf>
    <xf numFmtId="4" fontId="12" fillId="2" borderId="0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left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4" fontId="21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center" vertical="center"/>
    </xf>
    <xf numFmtId="4" fontId="12" fillId="0" borderId="20" xfId="0" applyNumberFormat="1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 wrapText="1"/>
    </xf>
    <xf numFmtId="4" fontId="12" fillId="0" borderId="1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11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5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3"/>
  <sheetViews>
    <sheetView tabSelected="1"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4" t="s">
        <v>122</v>
      </c>
      <c r="I1" s="43"/>
      <c r="J1" s="1"/>
      <c r="K1" s="1"/>
      <c r="L1" s="1"/>
      <c r="M1" s="1"/>
    </row>
    <row r="2" spans="1:13" ht="15.75">
      <c r="A2" s="45" t="s">
        <v>83</v>
      </c>
      <c r="J2" s="2"/>
      <c r="K2" s="2"/>
      <c r="L2" s="2"/>
      <c r="M2" s="2"/>
    </row>
    <row r="3" spans="1:13" ht="15.75" customHeight="1">
      <c r="A3" s="237" t="s">
        <v>215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188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101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187"/>
      <c r="C6" s="187"/>
      <c r="D6" s="187"/>
      <c r="E6" s="187"/>
      <c r="F6" s="187"/>
      <c r="G6" s="187"/>
      <c r="H6" s="187"/>
      <c r="I6" s="53">
        <v>42400</v>
      </c>
      <c r="J6" s="2"/>
      <c r="K6" s="2"/>
      <c r="L6" s="2"/>
      <c r="M6" s="2"/>
    </row>
    <row r="7" spans="1:13" ht="15.75">
      <c r="B7" s="189"/>
      <c r="C7" s="189"/>
      <c r="D7" s="18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271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189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6" t="s">
        <v>74</v>
      </c>
      <c r="B14" s="236"/>
      <c r="C14" s="236"/>
      <c r="D14" s="236"/>
      <c r="E14" s="236"/>
      <c r="F14" s="236"/>
      <c r="G14" s="236"/>
      <c r="H14" s="236"/>
      <c r="I14" s="236"/>
      <c r="J14" s="8"/>
      <c r="K14" s="8"/>
      <c r="L14" s="8"/>
      <c r="M14" s="8"/>
    </row>
    <row r="15" spans="1:13">
      <c r="A15" s="244" t="s">
        <v>4</v>
      </c>
      <c r="B15" s="244"/>
      <c r="C15" s="244"/>
      <c r="D15" s="244"/>
      <c r="E15" s="244"/>
      <c r="F15" s="244"/>
      <c r="G15" s="244"/>
      <c r="H15" s="244"/>
      <c r="I15" s="244"/>
      <c r="J15" s="8"/>
      <c r="K15" s="8"/>
      <c r="L15" s="8"/>
      <c r="M15" s="8"/>
    </row>
    <row r="16" spans="1:13" ht="31.5" customHeight="1">
      <c r="A16" s="49">
        <v>1</v>
      </c>
      <c r="B16" s="199" t="s">
        <v>124</v>
      </c>
      <c r="C16" s="200" t="s">
        <v>151</v>
      </c>
      <c r="D16" s="199" t="s">
        <v>190</v>
      </c>
      <c r="E16" s="201">
        <v>95.04</v>
      </c>
      <c r="F16" s="202">
        <f>SUM(E16*156/100)</f>
        <v>148.26240000000001</v>
      </c>
      <c r="G16" s="202">
        <v>187.48</v>
      </c>
      <c r="H16" s="203">
        <f t="shared" ref="H16:H24" si="0">SUM(F16*G16/1000)</f>
        <v>27.796234752</v>
      </c>
      <c r="I16" s="18">
        <f>F16/12*G16</f>
        <v>2316.3528960000003</v>
      </c>
      <c r="J16" s="8"/>
      <c r="K16" s="8"/>
      <c r="L16" s="8"/>
      <c r="M16" s="8"/>
    </row>
    <row r="17" spans="1:13" ht="31.5" customHeight="1">
      <c r="A17" s="49">
        <v>2</v>
      </c>
      <c r="B17" s="199" t="s">
        <v>147</v>
      </c>
      <c r="C17" s="200" t="s">
        <v>151</v>
      </c>
      <c r="D17" s="199" t="s">
        <v>191</v>
      </c>
      <c r="E17" s="201">
        <v>380.16</v>
      </c>
      <c r="F17" s="202">
        <f>SUM(E17*104/100)</f>
        <v>395.3664</v>
      </c>
      <c r="G17" s="202">
        <v>187.48</v>
      </c>
      <c r="H17" s="203">
        <f t="shared" si="0"/>
        <v>74.123292671999991</v>
      </c>
      <c r="I17" s="18">
        <f>F17/12*G17</f>
        <v>6176.9410559999997</v>
      </c>
      <c r="J17" s="34"/>
      <c r="K17" s="8"/>
      <c r="L17" s="8"/>
      <c r="M17" s="8"/>
    </row>
    <row r="18" spans="1:13" ht="31.5" customHeight="1">
      <c r="A18" s="49">
        <v>3</v>
      </c>
      <c r="B18" s="199" t="s">
        <v>148</v>
      </c>
      <c r="C18" s="200" t="s">
        <v>151</v>
      </c>
      <c r="D18" s="199" t="s">
        <v>192</v>
      </c>
      <c r="E18" s="201">
        <f>SUM(E16+E17)</f>
        <v>475.20000000000005</v>
      </c>
      <c r="F18" s="202">
        <f>SUM(E18*24/100)</f>
        <v>114.04800000000002</v>
      </c>
      <c r="G18" s="202">
        <v>539.30999999999995</v>
      </c>
      <c r="H18" s="203">
        <f t="shared" si="0"/>
        <v>61.507226880000005</v>
      </c>
      <c r="I18" s="18">
        <f>F18/12*G18</f>
        <v>5125.6022400000002</v>
      </c>
      <c r="J18" s="34"/>
      <c r="K18" s="8"/>
      <c r="L18" s="8"/>
      <c r="M18" s="8"/>
    </row>
    <row r="19" spans="1:13" ht="15.75" hidden="1" customHeight="1">
      <c r="A19" s="49">
        <v>4</v>
      </c>
      <c r="B19" s="199" t="s">
        <v>152</v>
      </c>
      <c r="C19" s="200" t="s">
        <v>153</v>
      </c>
      <c r="D19" s="199" t="s">
        <v>154</v>
      </c>
      <c r="E19" s="201">
        <v>93.4</v>
      </c>
      <c r="F19" s="202">
        <f>SUM(E19/10)</f>
        <v>9.34</v>
      </c>
      <c r="G19" s="202">
        <v>181.9</v>
      </c>
      <c r="H19" s="203">
        <f t="shared" si="0"/>
        <v>1.6989460000000001</v>
      </c>
      <c r="I19" s="18">
        <v>0</v>
      </c>
      <c r="J19" s="34"/>
      <c r="K19" s="8"/>
      <c r="L19" s="8"/>
      <c r="M19" s="8"/>
    </row>
    <row r="20" spans="1:13" ht="15.75" hidden="1" customHeight="1">
      <c r="A20" s="49"/>
      <c r="B20" s="199" t="s">
        <v>155</v>
      </c>
      <c r="C20" s="200" t="s">
        <v>151</v>
      </c>
      <c r="D20" s="199" t="s">
        <v>54</v>
      </c>
      <c r="E20" s="201">
        <v>43.2</v>
      </c>
      <c r="F20" s="202">
        <f>SUM(E20*2/100)</f>
        <v>0.8640000000000001</v>
      </c>
      <c r="G20" s="202">
        <v>232.91</v>
      </c>
      <c r="H20" s="203">
        <f t="shared" si="0"/>
        <v>0.20123424000000004</v>
      </c>
      <c r="I20" s="18">
        <v>0</v>
      </c>
      <c r="J20" s="34"/>
      <c r="K20" s="8"/>
      <c r="L20" s="8"/>
      <c r="M20" s="8"/>
    </row>
    <row r="21" spans="1:13" ht="15.75" hidden="1" customHeight="1">
      <c r="A21" s="49"/>
      <c r="B21" s="199" t="s">
        <v>156</v>
      </c>
      <c r="C21" s="200" t="s">
        <v>151</v>
      </c>
      <c r="D21" s="199" t="s">
        <v>54</v>
      </c>
      <c r="E21" s="201">
        <v>10.08</v>
      </c>
      <c r="F21" s="202">
        <f>SUM(E21*2/100)</f>
        <v>0.2016</v>
      </c>
      <c r="G21" s="202">
        <v>231.03</v>
      </c>
      <c r="H21" s="203">
        <f t="shared" si="0"/>
        <v>4.6575648000000004E-2</v>
      </c>
      <c r="I21" s="18">
        <v>0</v>
      </c>
      <c r="J21" s="34"/>
      <c r="K21" s="8"/>
      <c r="L21" s="8"/>
      <c r="M21" s="8"/>
    </row>
    <row r="22" spans="1:13" ht="15.75" hidden="1" customHeight="1">
      <c r="A22" s="49"/>
      <c r="B22" s="199" t="s">
        <v>157</v>
      </c>
      <c r="C22" s="200" t="s">
        <v>66</v>
      </c>
      <c r="D22" s="199" t="s">
        <v>154</v>
      </c>
      <c r="E22" s="201">
        <v>642.6</v>
      </c>
      <c r="F22" s="202">
        <f>SUM(E22/100)</f>
        <v>6.4260000000000002</v>
      </c>
      <c r="G22" s="202">
        <v>287.83999999999997</v>
      </c>
      <c r="H22" s="203">
        <f t="shared" si="0"/>
        <v>1.8496598399999997</v>
      </c>
      <c r="I22" s="18">
        <v>0</v>
      </c>
      <c r="J22" s="34"/>
      <c r="K22" s="8"/>
      <c r="L22" s="8"/>
      <c r="M22" s="8"/>
    </row>
    <row r="23" spans="1:13" ht="15.75" hidden="1" customHeight="1">
      <c r="A23" s="49"/>
      <c r="B23" s="199" t="s">
        <v>158</v>
      </c>
      <c r="C23" s="200" t="s">
        <v>66</v>
      </c>
      <c r="D23" s="199" t="s">
        <v>154</v>
      </c>
      <c r="E23" s="204">
        <v>35.28</v>
      </c>
      <c r="F23" s="202">
        <f>SUM(E23/100)</f>
        <v>0.3528</v>
      </c>
      <c r="G23" s="202">
        <v>47.35</v>
      </c>
      <c r="H23" s="203">
        <f t="shared" si="0"/>
        <v>1.6705080000000004E-2</v>
      </c>
      <c r="I23" s="18">
        <v>0</v>
      </c>
      <c r="J23" s="34"/>
      <c r="K23" s="8"/>
      <c r="L23" s="8"/>
      <c r="M23" s="8"/>
    </row>
    <row r="24" spans="1:13" ht="15.75" hidden="1" customHeight="1">
      <c r="A24" s="49"/>
      <c r="B24" s="199" t="s">
        <v>159</v>
      </c>
      <c r="C24" s="200" t="s">
        <v>66</v>
      </c>
      <c r="D24" s="199" t="s">
        <v>154</v>
      </c>
      <c r="E24" s="201">
        <v>28.8</v>
      </c>
      <c r="F24" s="202">
        <f>SUM(E24/100)</f>
        <v>0.28800000000000003</v>
      </c>
      <c r="G24" s="202">
        <v>556.74</v>
      </c>
      <c r="H24" s="203">
        <f t="shared" si="0"/>
        <v>0.16034112000000003</v>
      </c>
      <c r="I24" s="18">
        <v>0</v>
      </c>
      <c r="J24" s="34"/>
      <c r="K24" s="8"/>
      <c r="L24" s="8"/>
      <c r="M24" s="8"/>
    </row>
    <row r="25" spans="1:13" ht="15.75" customHeight="1">
      <c r="A25" s="49">
        <v>4</v>
      </c>
      <c r="B25" s="199" t="s">
        <v>85</v>
      </c>
      <c r="C25" s="200" t="s">
        <v>39</v>
      </c>
      <c r="D25" s="199" t="s">
        <v>219</v>
      </c>
      <c r="E25" s="201">
        <v>0.1</v>
      </c>
      <c r="F25" s="202">
        <f>SUM(E25*365)</f>
        <v>36.5</v>
      </c>
      <c r="G25" s="202">
        <v>157.18</v>
      </c>
      <c r="H25" s="203">
        <f>SUM(F25*G25/1000)</f>
        <v>5.737070000000001</v>
      </c>
      <c r="I25" s="18">
        <f>F25/12*G25</f>
        <v>478.08916666666664</v>
      </c>
      <c r="J25" s="34"/>
      <c r="K25" s="8"/>
      <c r="L25" s="8"/>
      <c r="M25" s="8"/>
    </row>
    <row r="26" spans="1:13" ht="15.75" customHeight="1">
      <c r="A26" s="49">
        <v>5</v>
      </c>
      <c r="B26" s="207" t="s">
        <v>26</v>
      </c>
      <c r="C26" s="200" t="s">
        <v>27</v>
      </c>
      <c r="D26" s="207" t="s">
        <v>207</v>
      </c>
      <c r="E26" s="201">
        <v>3945</v>
      </c>
      <c r="F26" s="202">
        <f>SUM(E26*12)</f>
        <v>47340</v>
      </c>
      <c r="G26" s="202">
        <v>5.33</v>
      </c>
      <c r="H26" s="203">
        <f>SUM(F26*G26/1000)</f>
        <v>252.32220000000001</v>
      </c>
      <c r="I26" s="18">
        <f>F26/12*G26</f>
        <v>21026.85</v>
      </c>
      <c r="J26" s="35"/>
    </row>
    <row r="27" spans="1:13" ht="15.75" customHeight="1">
      <c r="A27" s="245" t="s">
        <v>119</v>
      </c>
      <c r="B27" s="246"/>
      <c r="C27" s="246"/>
      <c r="D27" s="246"/>
      <c r="E27" s="246"/>
      <c r="F27" s="246"/>
      <c r="G27" s="246"/>
      <c r="H27" s="246"/>
      <c r="I27" s="247"/>
      <c r="J27" s="34"/>
      <c r="K27" s="8"/>
      <c r="L27" s="8"/>
      <c r="M27" s="8"/>
    </row>
    <row r="28" spans="1:13" ht="15.75" hidden="1" customHeight="1">
      <c r="A28" s="49"/>
      <c r="B28" s="224" t="s">
        <v>34</v>
      </c>
      <c r="C28" s="200"/>
      <c r="D28" s="199"/>
      <c r="E28" s="201"/>
      <c r="F28" s="202"/>
      <c r="G28" s="202"/>
      <c r="H28" s="203"/>
      <c r="I28" s="18"/>
      <c r="J28" s="34"/>
      <c r="K28" s="8"/>
      <c r="L28" s="8"/>
      <c r="M28" s="8"/>
    </row>
    <row r="29" spans="1:13" ht="31.5" hidden="1" customHeight="1">
      <c r="A29" s="49">
        <v>6</v>
      </c>
      <c r="B29" s="199" t="s">
        <v>160</v>
      </c>
      <c r="C29" s="200" t="s">
        <v>216</v>
      </c>
      <c r="D29" s="199" t="s">
        <v>217</v>
      </c>
      <c r="E29" s="202">
        <v>1044.6500000000001</v>
      </c>
      <c r="F29" s="202">
        <f>SUM(E29*52/1000)</f>
        <v>54.321800000000003</v>
      </c>
      <c r="G29" s="202">
        <v>166.65</v>
      </c>
      <c r="H29" s="203">
        <f t="shared" ref="H29:H35" si="1">SUM(F29*G29/1000)</f>
        <v>9.0527279700000012</v>
      </c>
      <c r="I29" s="18">
        <f>F29/6*G29</f>
        <v>1508.7879950000001</v>
      </c>
      <c r="J29" s="34"/>
      <c r="K29" s="8"/>
      <c r="L29" s="8"/>
      <c r="M29" s="8"/>
    </row>
    <row r="30" spans="1:13" ht="31.5" hidden="1" customHeight="1">
      <c r="A30" s="49">
        <v>7</v>
      </c>
      <c r="B30" s="199" t="s">
        <v>235</v>
      </c>
      <c r="C30" s="200" t="s">
        <v>161</v>
      </c>
      <c r="D30" s="199" t="s">
        <v>218</v>
      </c>
      <c r="E30" s="202">
        <v>116.93</v>
      </c>
      <c r="F30" s="202">
        <f>SUM(E30*78/1000)</f>
        <v>9.1205400000000001</v>
      </c>
      <c r="G30" s="202">
        <v>276.48</v>
      </c>
      <c r="H30" s="203">
        <f t="shared" si="1"/>
        <v>2.5216468991999998</v>
      </c>
      <c r="I30" s="18">
        <f t="shared" ref="I30:I33" si="2">F30/6*G30</f>
        <v>420.27448320000002</v>
      </c>
      <c r="J30" s="34"/>
      <c r="K30" s="8"/>
      <c r="L30" s="8"/>
      <c r="M30" s="8"/>
    </row>
    <row r="31" spans="1:13" ht="15.75" hidden="1" customHeight="1">
      <c r="A31" s="49"/>
      <c r="B31" s="199" t="s">
        <v>33</v>
      </c>
      <c r="C31" s="200" t="s">
        <v>161</v>
      </c>
      <c r="D31" s="199" t="s">
        <v>67</v>
      </c>
      <c r="E31" s="202">
        <v>1044.6500000000001</v>
      </c>
      <c r="F31" s="202">
        <f>SUM(E31/1000)</f>
        <v>1.0446500000000001</v>
      </c>
      <c r="G31" s="202">
        <v>3228.73</v>
      </c>
      <c r="H31" s="203">
        <f t="shared" si="1"/>
        <v>3.3728927945000007</v>
      </c>
      <c r="I31" s="18">
        <f>F31*G31</f>
        <v>3372.8927945000005</v>
      </c>
      <c r="J31" s="34"/>
      <c r="K31" s="8"/>
      <c r="L31" s="8"/>
      <c r="M31" s="8"/>
    </row>
    <row r="32" spans="1:13" ht="15.75" hidden="1" customHeight="1">
      <c r="A32" s="49">
        <v>8</v>
      </c>
      <c r="B32" s="199" t="s">
        <v>193</v>
      </c>
      <c r="C32" s="200" t="s">
        <v>50</v>
      </c>
      <c r="D32" s="199" t="s">
        <v>84</v>
      </c>
      <c r="E32" s="202">
        <v>6</v>
      </c>
      <c r="F32" s="202">
        <v>9.3000000000000007</v>
      </c>
      <c r="G32" s="202">
        <v>1391.86</v>
      </c>
      <c r="H32" s="203">
        <f>G32*F32/1000</f>
        <v>12.944298</v>
      </c>
      <c r="I32" s="18">
        <f t="shared" si="2"/>
        <v>2157.3829999999998</v>
      </c>
      <c r="J32" s="34"/>
      <c r="K32" s="8"/>
      <c r="L32" s="8"/>
      <c r="M32" s="8"/>
    </row>
    <row r="33" spans="1:14" ht="15.75" hidden="1" customHeight="1">
      <c r="A33" s="49">
        <v>9</v>
      </c>
      <c r="B33" s="199" t="s">
        <v>165</v>
      </c>
      <c r="C33" s="200" t="s">
        <v>37</v>
      </c>
      <c r="D33" s="199" t="s">
        <v>84</v>
      </c>
      <c r="E33" s="206">
        <v>0.33333333333333331</v>
      </c>
      <c r="F33" s="202">
        <f>155/3</f>
        <v>51.666666666666664</v>
      </c>
      <c r="G33" s="202">
        <v>60.6</v>
      </c>
      <c r="H33" s="203">
        <f>SUM(G33*155/3/1000)</f>
        <v>3.1309999999999998</v>
      </c>
      <c r="I33" s="18">
        <f t="shared" si="2"/>
        <v>521.83333333333337</v>
      </c>
      <c r="J33" s="34"/>
      <c r="K33" s="8"/>
      <c r="L33" s="8"/>
      <c r="M33" s="8"/>
    </row>
    <row r="34" spans="1:14" ht="15.75" hidden="1" customHeight="1">
      <c r="A34" s="49"/>
      <c r="B34" s="199" t="s">
        <v>86</v>
      </c>
      <c r="C34" s="200" t="s">
        <v>39</v>
      </c>
      <c r="D34" s="199" t="s">
        <v>88</v>
      </c>
      <c r="E34" s="201"/>
      <c r="F34" s="202">
        <v>3</v>
      </c>
      <c r="G34" s="202">
        <v>204.52</v>
      </c>
      <c r="H34" s="203">
        <f t="shared" si="1"/>
        <v>0.61356000000000011</v>
      </c>
      <c r="I34" s="18">
        <v>0</v>
      </c>
      <c r="J34" s="34"/>
      <c r="K34" s="8"/>
    </row>
    <row r="35" spans="1:14" ht="15.75" hidden="1" customHeight="1">
      <c r="A35" s="49"/>
      <c r="B35" s="199" t="s">
        <v>87</v>
      </c>
      <c r="C35" s="200" t="s">
        <v>38</v>
      </c>
      <c r="D35" s="199" t="s">
        <v>88</v>
      </c>
      <c r="E35" s="201"/>
      <c r="F35" s="202">
        <v>2</v>
      </c>
      <c r="G35" s="202">
        <v>1136.33</v>
      </c>
      <c r="H35" s="203">
        <f t="shared" si="1"/>
        <v>2.2726599999999997</v>
      </c>
      <c r="I35" s="18">
        <v>0</v>
      </c>
      <c r="J35" s="35"/>
    </row>
    <row r="36" spans="1:14" ht="15.75" customHeight="1">
      <c r="A36" s="49"/>
      <c r="B36" s="224" t="s">
        <v>5</v>
      </c>
      <c r="C36" s="200"/>
      <c r="D36" s="199"/>
      <c r="E36" s="201"/>
      <c r="F36" s="202"/>
      <c r="G36" s="202"/>
      <c r="H36" s="203" t="s">
        <v>207</v>
      </c>
      <c r="I36" s="18"/>
      <c r="J36" s="35"/>
    </row>
    <row r="37" spans="1:14" ht="15.75" customHeight="1">
      <c r="A37" s="49">
        <v>6</v>
      </c>
      <c r="B37" s="199" t="s">
        <v>31</v>
      </c>
      <c r="C37" s="200" t="s">
        <v>38</v>
      </c>
      <c r="D37" s="199"/>
      <c r="E37" s="201"/>
      <c r="F37" s="202">
        <v>8</v>
      </c>
      <c r="G37" s="202">
        <v>1632.6</v>
      </c>
      <c r="H37" s="203">
        <f t="shared" ref="H37:H44" si="3">SUM(F37*G37/1000)</f>
        <v>13.060799999999999</v>
      </c>
      <c r="I37" s="18">
        <f>F37/6*G37</f>
        <v>2176.7999999999997</v>
      </c>
      <c r="J37" s="35"/>
    </row>
    <row r="38" spans="1:14" ht="15.75" customHeight="1">
      <c r="A38" s="49">
        <v>7</v>
      </c>
      <c r="B38" s="199" t="s">
        <v>135</v>
      </c>
      <c r="C38" s="200" t="s">
        <v>35</v>
      </c>
      <c r="D38" s="199" t="s">
        <v>194</v>
      </c>
      <c r="E38" s="201">
        <v>477.19</v>
      </c>
      <c r="F38" s="202">
        <f>E38*12/1000</f>
        <v>5.72628</v>
      </c>
      <c r="G38" s="202">
        <v>2247.8000000000002</v>
      </c>
      <c r="H38" s="203">
        <f>G38*F38/1000</f>
        <v>12.871532184000001</v>
      </c>
      <c r="I38" s="18">
        <f>F38/6*G38</f>
        <v>2145.2553640000001</v>
      </c>
      <c r="J38" s="35"/>
    </row>
    <row r="39" spans="1:14" ht="15.75" customHeight="1">
      <c r="A39" s="49">
        <v>8</v>
      </c>
      <c r="B39" s="199" t="s">
        <v>167</v>
      </c>
      <c r="C39" s="200" t="s">
        <v>35</v>
      </c>
      <c r="D39" s="199" t="s">
        <v>166</v>
      </c>
      <c r="E39" s="201">
        <v>116.93</v>
      </c>
      <c r="F39" s="202">
        <f>E39*30/1000</f>
        <v>3.5079000000000002</v>
      </c>
      <c r="G39" s="202">
        <v>2247.8000000000002</v>
      </c>
      <c r="H39" s="203">
        <f>G39*F39/1000</f>
        <v>7.8850576200000013</v>
      </c>
      <c r="I39" s="18">
        <f>F39/6*G39</f>
        <v>1314.1762700000002</v>
      </c>
      <c r="J39" s="35"/>
    </row>
    <row r="40" spans="1:14" ht="15.75" hidden="1" customHeight="1">
      <c r="A40" s="49"/>
      <c r="B40" s="199" t="s">
        <v>169</v>
      </c>
      <c r="C40" s="200" t="s">
        <v>170</v>
      </c>
      <c r="D40" s="199" t="s">
        <v>88</v>
      </c>
      <c r="E40" s="201"/>
      <c r="F40" s="202">
        <v>135</v>
      </c>
      <c r="G40" s="202">
        <v>213.2</v>
      </c>
      <c r="H40" s="203">
        <f>G40*F40/1000</f>
        <v>28.782</v>
      </c>
      <c r="I40" s="18">
        <v>0</v>
      </c>
      <c r="J40" s="35"/>
      <c r="L40" s="27"/>
      <c r="M40" s="28"/>
      <c r="N40" s="29"/>
    </row>
    <row r="41" spans="1:14" ht="15.75" customHeight="1">
      <c r="A41" s="49">
        <v>9</v>
      </c>
      <c r="B41" s="199" t="s">
        <v>89</v>
      </c>
      <c r="C41" s="200" t="s">
        <v>35</v>
      </c>
      <c r="D41" s="199" t="s">
        <v>168</v>
      </c>
      <c r="E41" s="202">
        <v>116.93</v>
      </c>
      <c r="F41" s="202">
        <f>SUM(E41*155/1000)</f>
        <v>18.12415</v>
      </c>
      <c r="G41" s="202">
        <v>374.95</v>
      </c>
      <c r="H41" s="203">
        <f t="shared" si="3"/>
        <v>6.7956500424999993</v>
      </c>
      <c r="I41" s="18">
        <f>F41/6*G41</f>
        <v>1132.6083404166666</v>
      </c>
      <c r="J41" s="35"/>
      <c r="L41" s="27"/>
      <c r="M41" s="28"/>
      <c r="N41" s="29"/>
    </row>
    <row r="42" spans="1:14" ht="47.25" customHeight="1">
      <c r="A42" s="49">
        <v>10</v>
      </c>
      <c r="B42" s="199" t="s">
        <v>115</v>
      </c>
      <c r="C42" s="200" t="s">
        <v>161</v>
      </c>
      <c r="D42" s="199" t="s">
        <v>196</v>
      </c>
      <c r="E42" s="202">
        <v>116.93</v>
      </c>
      <c r="F42" s="202">
        <f>SUM(E42*24/1000)</f>
        <v>2.8063200000000004</v>
      </c>
      <c r="G42" s="202">
        <v>6203.71</v>
      </c>
      <c r="H42" s="203">
        <f t="shared" si="3"/>
        <v>17.409595447200001</v>
      </c>
      <c r="I42" s="18">
        <f>F42/6*G42</f>
        <v>2901.5992412000005</v>
      </c>
      <c r="J42" s="35"/>
      <c r="L42" s="27"/>
      <c r="M42" s="28"/>
      <c r="N42" s="29"/>
    </row>
    <row r="43" spans="1:14" ht="15.75" customHeight="1">
      <c r="A43" s="49">
        <v>11</v>
      </c>
      <c r="B43" s="199" t="s">
        <v>171</v>
      </c>
      <c r="C43" s="200" t="s">
        <v>161</v>
      </c>
      <c r="D43" s="199" t="s">
        <v>90</v>
      </c>
      <c r="E43" s="202">
        <v>116.93</v>
      </c>
      <c r="F43" s="202">
        <f>SUM(E43*45/1000)</f>
        <v>5.2618500000000008</v>
      </c>
      <c r="G43" s="202">
        <v>458.28</v>
      </c>
      <c r="H43" s="203">
        <f t="shared" si="3"/>
        <v>2.4114006180000001</v>
      </c>
      <c r="I43" s="18">
        <f>F43/6*G43</f>
        <v>401.90010300000006</v>
      </c>
      <c r="J43" s="35"/>
      <c r="L43" s="27"/>
      <c r="M43" s="28"/>
      <c r="N43" s="29"/>
    </row>
    <row r="44" spans="1:14" ht="15.75" customHeight="1">
      <c r="A44" s="49">
        <v>12</v>
      </c>
      <c r="B44" s="199" t="s">
        <v>91</v>
      </c>
      <c r="C44" s="200" t="s">
        <v>39</v>
      </c>
      <c r="D44" s="199"/>
      <c r="E44" s="201"/>
      <c r="F44" s="202">
        <v>0.9</v>
      </c>
      <c r="G44" s="202">
        <v>798</v>
      </c>
      <c r="H44" s="203">
        <f t="shared" si="3"/>
        <v>0.71820000000000006</v>
      </c>
      <c r="I44" s="18">
        <f>F44/6*G44</f>
        <v>119.69999999999999</v>
      </c>
      <c r="J44" s="35"/>
      <c r="L44" s="27"/>
      <c r="M44" s="28"/>
      <c r="N44" s="29"/>
    </row>
    <row r="45" spans="1:14" ht="15.75" customHeight="1">
      <c r="A45" s="245" t="s">
        <v>236</v>
      </c>
      <c r="B45" s="246"/>
      <c r="C45" s="246"/>
      <c r="D45" s="246"/>
      <c r="E45" s="246"/>
      <c r="F45" s="246"/>
      <c r="G45" s="246"/>
      <c r="H45" s="246"/>
      <c r="I45" s="247"/>
      <c r="J45" s="35"/>
      <c r="L45" s="27"/>
      <c r="M45" s="28"/>
      <c r="N45" s="29"/>
    </row>
    <row r="46" spans="1:14" ht="15.75" hidden="1" customHeight="1">
      <c r="A46" s="49"/>
      <c r="B46" s="199" t="s">
        <v>198</v>
      </c>
      <c r="C46" s="200" t="s">
        <v>161</v>
      </c>
      <c r="D46" s="199" t="s">
        <v>54</v>
      </c>
      <c r="E46" s="201">
        <v>1030.4000000000001</v>
      </c>
      <c r="F46" s="202">
        <f>SUM(E46*2/1000)</f>
        <v>2.0608</v>
      </c>
      <c r="G46" s="18">
        <v>908.1</v>
      </c>
      <c r="H46" s="203">
        <f t="shared" ref="H46:H55" si="4">SUM(F46*G46/1000)</f>
        <v>1.87141248</v>
      </c>
      <c r="I46" s="18">
        <v>0</v>
      </c>
      <c r="J46" s="35"/>
      <c r="L46" s="27"/>
      <c r="M46" s="28"/>
      <c r="N46" s="29"/>
    </row>
    <row r="47" spans="1:14" ht="15.75" hidden="1" customHeight="1">
      <c r="A47" s="49"/>
      <c r="B47" s="199" t="s">
        <v>43</v>
      </c>
      <c r="C47" s="200" t="s">
        <v>161</v>
      </c>
      <c r="D47" s="199" t="s">
        <v>54</v>
      </c>
      <c r="E47" s="201">
        <v>132</v>
      </c>
      <c r="F47" s="202">
        <f>E47*2/1000</f>
        <v>0.26400000000000001</v>
      </c>
      <c r="G47" s="18">
        <v>619.46</v>
      </c>
      <c r="H47" s="203">
        <f t="shared" si="4"/>
        <v>0.16353744000000001</v>
      </c>
      <c r="I47" s="18">
        <v>0</v>
      </c>
      <c r="J47" s="35"/>
      <c r="L47" s="27"/>
      <c r="M47" s="28"/>
      <c r="N47" s="29"/>
    </row>
    <row r="48" spans="1:14" ht="15.75" hidden="1" customHeight="1">
      <c r="A48" s="49"/>
      <c r="B48" s="199" t="s">
        <v>44</v>
      </c>
      <c r="C48" s="200" t="s">
        <v>161</v>
      </c>
      <c r="D48" s="199" t="s">
        <v>54</v>
      </c>
      <c r="E48" s="201">
        <v>4248.22</v>
      </c>
      <c r="F48" s="202">
        <f>SUM(E48*2/1000)</f>
        <v>8.4964399999999998</v>
      </c>
      <c r="G48" s="18">
        <v>619.46</v>
      </c>
      <c r="H48" s="203">
        <f t="shared" si="4"/>
        <v>5.2632047223999994</v>
      </c>
      <c r="I48" s="18">
        <v>0</v>
      </c>
      <c r="J48" s="35"/>
      <c r="L48" s="27"/>
      <c r="M48" s="28"/>
      <c r="N48" s="29"/>
    </row>
    <row r="49" spans="1:14" ht="15.75" hidden="1" customHeight="1">
      <c r="A49" s="49"/>
      <c r="B49" s="199" t="s">
        <v>45</v>
      </c>
      <c r="C49" s="200" t="s">
        <v>161</v>
      </c>
      <c r="D49" s="199" t="s">
        <v>54</v>
      </c>
      <c r="E49" s="201">
        <v>2163.66</v>
      </c>
      <c r="F49" s="202">
        <f>SUM(E49*2/1000)</f>
        <v>4.3273199999999994</v>
      </c>
      <c r="G49" s="18">
        <v>648.64</v>
      </c>
      <c r="H49" s="203">
        <f t="shared" si="4"/>
        <v>2.8068728447999995</v>
      </c>
      <c r="I49" s="18">
        <v>0</v>
      </c>
      <c r="J49" s="35"/>
      <c r="L49" s="27"/>
      <c r="M49" s="28"/>
      <c r="N49" s="29"/>
    </row>
    <row r="50" spans="1:14" ht="31.5" customHeight="1">
      <c r="A50" s="49">
        <v>13</v>
      </c>
      <c r="B50" s="199" t="s">
        <v>71</v>
      </c>
      <c r="C50" s="200" t="s">
        <v>161</v>
      </c>
      <c r="D50" s="199" t="s">
        <v>237</v>
      </c>
      <c r="E50" s="201">
        <v>1015.4</v>
      </c>
      <c r="F50" s="202">
        <f>SUM(E50*5/1000)</f>
        <v>5.077</v>
      </c>
      <c r="G50" s="18">
        <v>1297.28</v>
      </c>
      <c r="H50" s="203">
        <f t="shared" si="4"/>
        <v>6.5862905599999992</v>
      </c>
      <c r="I50" s="18">
        <f>F50/5*G50</f>
        <v>1317.258112</v>
      </c>
      <c r="J50" s="35"/>
      <c r="L50" s="27"/>
      <c r="M50" s="28"/>
      <c r="N50" s="29"/>
    </row>
    <row r="51" spans="1:14" ht="31.5" hidden="1" customHeight="1">
      <c r="A51" s="49"/>
      <c r="B51" s="199" t="s">
        <v>173</v>
      </c>
      <c r="C51" s="200" t="s">
        <v>161</v>
      </c>
      <c r="D51" s="199" t="s">
        <v>54</v>
      </c>
      <c r="E51" s="201">
        <v>1015.4</v>
      </c>
      <c r="F51" s="202">
        <f>SUM(E51*2/1000)</f>
        <v>2.0308000000000002</v>
      </c>
      <c r="G51" s="18">
        <v>1297.28</v>
      </c>
      <c r="H51" s="203">
        <f t="shared" si="4"/>
        <v>2.634516224</v>
      </c>
      <c r="I51" s="18">
        <v>0</v>
      </c>
      <c r="J51" s="35"/>
      <c r="L51" s="27"/>
      <c r="M51" s="28"/>
      <c r="N51" s="29"/>
    </row>
    <row r="52" spans="1:14" ht="31.5" hidden="1" customHeight="1">
      <c r="A52" s="49"/>
      <c r="B52" s="199" t="s">
        <v>174</v>
      </c>
      <c r="C52" s="200" t="s">
        <v>48</v>
      </c>
      <c r="D52" s="199" t="s">
        <v>54</v>
      </c>
      <c r="E52" s="201">
        <v>30</v>
      </c>
      <c r="F52" s="202">
        <f>SUM(E52*2/100)</f>
        <v>0.6</v>
      </c>
      <c r="G52" s="18">
        <v>2918.89</v>
      </c>
      <c r="H52" s="203">
        <f t="shared" si="4"/>
        <v>1.7513339999999997</v>
      </c>
      <c r="I52" s="18">
        <v>0</v>
      </c>
      <c r="J52" s="35"/>
      <c r="L52" s="27"/>
      <c r="M52" s="28"/>
      <c r="N52" s="29"/>
    </row>
    <row r="53" spans="1:14" ht="15.75" hidden="1" customHeight="1">
      <c r="A53" s="49"/>
      <c r="B53" s="199" t="s">
        <v>49</v>
      </c>
      <c r="C53" s="200" t="s">
        <v>50</v>
      </c>
      <c r="D53" s="199" t="s">
        <v>54</v>
      </c>
      <c r="E53" s="201">
        <v>1</v>
      </c>
      <c r="F53" s="202">
        <v>0.02</v>
      </c>
      <c r="G53" s="18">
        <v>6042.13</v>
      </c>
      <c r="H53" s="203">
        <f t="shared" si="4"/>
        <v>0.12084260000000001</v>
      </c>
      <c r="I53" s="18">
        <v>0</v>
      </c>
      <c r="J53" s="35"/>
      <c r="L53" s="27"/>
      <c r="M53" s="28"/>
      <c r="N53" s="29"/>
    </row>
    <row r="54" spans="1:14" ht="15.75" customHeight="1">
      <c r="A54" s="49">
        <v>14</v>
      </c>
      <c r="B54" s="199" t="s">
        <v>197</v>
      </c>
      <c r="C54" s="200" t="s">
        <v>144</v>
      </c>
      <c r="D54" s="199" t="s">
        <v>92</v>
      </c>
      <c r="E54" s="201">
        <v>90</v>
      </c>
      <c r="F54" s="202">
        <f>E54*4</f>
        <v>360</v>
      </c>
      <c r="G54" s="18">
        <v>150.86000000000001</v>
      </c>
      <c r="H54" s="203">
        <f>F54*G54/1000</f>
        <v>54.309600000000003</v>
      </c>
      <c r="I54" s="18">
        <f>G54*E54</f>
        <v>13577.400000000001</v>
      </c>
      <c r="J54" s="35"/>
      <c r="L54" s="27"/>
      <c r="M54" s="28"/>
      <c r="N54" s="29"/>
    </row>
    <row r="55" spans="1:14" ht="15.75" customHeight="1">
      <c r="A55" s="49">
        <v>15</v>
      </c>
      <c r="B55" s="199" t="s">
        <v>53</v>
      </c>
      <c r="C55" s="200" t="s">
        <v>144</v>
      </c>
      <c r="D55" s="199" t="s">
        <v>92</v>
      </c>
      <c r="E55" s="201">
        <v>180</v>
      </c>
      <c r="F55" s="202">
        <f>SUM(E55)*3</f>
        <v>540</v>
      </c>
      <c r="G55" s="18">
        <v>70.2</v>
      </c>
      <c r="H55" s="203">
        <f t="shared" si="4"/>
        <v>37.908000000000001</v>
      </c>
      <c r="I55" s="18">
        <f>G55*E55</f>
        <v>12636</v>
      </c>
      <c r="J55" s="35"/>
      <c r="L55" s="27"/>
      <c r="M55" s="28"/>
      <c r="N55" s="29"/>
    </row>
    <row r="56" spans="1:14" ht="15.75" customHeight="1">
      <c r="A56" s="245" t="s">
        <v>238</v>
      </c>
      <c r="B56" s="246"/>
      <c r="C56" s="246"/>
      <c r="D56" s="246"/>
      <c r="E56" s="246"/>
      <c r="F56" s="246"/>
      <c r="G56" s="246"/>
      <c r="H56" s="246"/>
      <c r="I56" s="247"/>
      <c r="J56" s="35"/>
      <c r="L56" s="27"/>
      <c r="M56" s="28"/>
      <c r="N56" s="29"/>
    </row>
    <row r="57" spans="1:14" ht="15.75" customHeight="1">
      <c r="A57" s="49"/>
      <c r="B57" s="224" t="s">
        <v>55</v>
      </c>
      <c r="C57" s="200"/>
      <c r="D57" s="199"/>
      <c r="E57" s="201"/>
      <c r="F57" s="202"/>
      <c r="G57" s="202"/>
      <c r="H57" s="203"/>
      <c r="I57" s="18"/>
      <c r="J57" s="35"/>
      <c r="L57" s="27"/>
      <c r="M57" s="28"/>
      <c r="N57" s="29"/>
    </row>
    <row r="58" spans="1:14" ht="31.5" customHeight="1">
      <c r="A58" s="49">
        <v>16</v>
      </c>
      <c r="B58" s="199" t="s">
        <v>199</v>
      </c>
      <c r="C58" s="200" t="s">
        <v>151</v>
      </c>
      <c r="D58" s="199" t="s">
        <v>175</v>
      </c>
      <c r="E58" s="201">
        <v>148.04</v>
      </c>
      <c r="F58" s="202">
        <f>SUM(E58*6/100)</f>
        <v>8.8824000000000005</v>
      </c>
      <c r="G58" s="18">
        <v>1654.04</v>
      </c>
      <c r="H58" s="203">
        <f>SUM(F58*G58/1000)</f>
        <v>14.691844896000001</v>
      </c>
      <c r="I58" s="18">
        <f>F58/6*G58</f>
        <v>2448.6408160000001</v>
      </c>
      <c r="J58" s="35"/>
      <c r="L58" s="27"/>
      <c r="M58" s="28"/>
      <c r="N58" s="29"/>
    </row>
    <row r="59" spans="1:14" ht="31.5" customHeight="1">
      <c r="A59" s="49">
        <v>17</v>
      </c>
      <c r="B59" s="199" t="s">
        <v>142</v>
      </c>
      <c r="C59" s="200" t="s">
        <v>151</v>
      </c>
      <c r="D59" s="199" t="s">
        <v>143</v>
      </c>
      <c r="E59" s="201">
        <v>39.700000000000003</v>
      </c>
      <c r="F59" s="202">
        <f>SUM(E59*12/100)</f>
        <v>4.7640000000000002</v>
      </c>
      <c r="G59" s="18">
        <v>1654.04</v>
      </c>
      <c r="H59" s="203">
        <f>SUM(F59*G59/1000)</f>
        <v>7.8798465599999998</v>
      </c>
      <c r="I59" s="18">
        <f>F59/6*G59</f>
        <v>1313.3077600000001</v>
      </c>
      <c r="J59" s="35"/>
      <c r="L59" s="27"/>
      <c r="M59" s="28"/>
      <c r="N59" s="29"/>
    </row>
    <row r="60" spans="1:14" ht="15.75" customHeight="1">
      <c r="A60" s="49">
        <v>18</v>
      </c>
      <c r="B60" s="208" t="s">
        <v>200</v>
      </c>
      <c r="C60" s="209" t="s">
        <v>201</v>
      </c>
      <c r="D60" s="208" t="s">
        <v>54</v>
      </c>
      <c r="E60" s="210">
        <v>8</v>
      </c>
      <c r="F60" s="211">
        <v>16</v>
      </c>
      <c r="G60" s="18">
        <v>193.25</v>
      </c>
      <c r="H60" s="212">
        <f>F60*G60/1000</f>
        <v>3.0920000000000001</v>
      </c>
      <c r="I60" s="18">
        <f>F60/2*G60</f>
        <v>1546</v>
      </c>
      <c r="J60" s="35"/>
      <c r="L60" s="27"/>
      <c r="M60" s="28"/>
      <c r="N60" s="29"/>
    </row>
    <row r="61" spans="1:14" ht="15.75" customHeight="1">
      <c r="A61" s="49">
        <v>19</v>
      </c>
      <c r="B61" s="199" t="s">
        <v>202</v>
      </c>
      <c r="C61" s="200" t="s">
        <v>151</v>
      </c>
      <c r="D61" s="199" t="s">
        <v>175</v>
      </c>
      <c r="E61" s="201">
        <v>41.73</v>
      </c>
      <c r="F61" s="202">
        <f>SUM(E61*6/100)</f>
        <v>2.5038</v>
      </c>
      <c r="G61" s="18">
        <v>1654.04</v>
      </c>
      <c r="H61" s="203">
        <f>SUM(F61*G61/1000)</f>
        <v>4.1413853520000004</v>
      </c>
      <c r="I61" s="18">
        <f>F61/6*G61</f>
        <v>690.23089200000004</v>
      </c>
      <c r="J61" s="35"/>
      <c r="L61" s="27"/>
      <c r="M61" s="28"/>
      <c r="N61" s="29"/>
    </row>
    <row r="62" spans="1:14" ht="15.75" customHeight="1">
      <c r="A62" s="49"/>
      <c r="B62" s="225" t="s">
        <v>56</v>
      </c>
      <c r="C62" s="209"/>
      <c r="D62" s="208"/>
      <c r="E62" s="210"/>
      <c r="F62" s="211"/>
      <c r="G62" s="18"/>
      <c r="H62" s="212"/>
      <c r="I62" s="18"/>
      <c r="J62" s="35"/>
      <c r="L62" s="27"/>
      <c r="M62" s="28"/>
      <c r="N62" s="29"/>
    </row>
    <row r="63" spans="1:14" ht="15.75" hidden="1" customHeight="1">
      <c r="A63" s="49"/>
      <c r="B63" s="208" t="s">
        <v>57</v>
      </c>
      <c r="C63" s="209" t="s">
        <v>66</v>
      </c>
      <c r="D63" s="208" t="s">
        <v>67</v>
      </c>
      <c r="E63" s="210">
        <v>1015.4</v>
      </c>
      <c r="F63" s="211">
        <v>10.154</v>
      </c>
      <c r="G63" s="18">
        <v>848.37</v>
      </c>
      <c r="H63" s="212">
        <f>F63*G63/1000</f>
        <v>8.6143489800000008</v>
      </c>
      <c r="I63" s="18">
        <v>0</v>
      </c>
      <c r="J63" s="35"/>
      <c r="L63" s="27"/>
      <c r="M63" s="28"/>
      <c r="N63" s="29"/>
    </row>
    <row r="64" spans="1:14" ht="15.75" customHeight="1">
      <c r="A64" s="49">
        <v>20</v>
      </c>
      <c r="B64" s="208" t="s">
        <v>146</v>
      </c>
      <c r="C64" s="209" t="s">
        <v>29</v>
      </c>
      <c r="D64" s="208" t="s">
        <v>36</v>
      </c>
      <c r="E64" s="210">
        <v>203.1</v>
      </c>
      <c r="F64" s="213">
        <f>E64*12</f>
        <v>2437.1999999999998</v>
      </c>
      <c r="G64" s="194">
        <v>2.6</v>
      </c>
      <c r="H64" s="211">
        <f>F64*G64/1000</f>
        <v>6.3367199999999997</v>
      </c>
      <c r="I64" s="18">
        <f>F64/12*G64</f>
        <v>528.06000000000006</v>
      </c>
      <c r="J64" s="35"/>
      <c r="L64" s="27"/>
      <c r="M64" s="28"/>
      <c r="N64" s="29"/>
    </row>
    <row r="65" spans="1:21" ht="15.75" hidden="1" customHeight="1">
      <c r="A65" s="49"/>
      <c r="B65" s="225" t="s">
        <v>58</v>
      </c>
      <c r="C65" s="209"/>
      <c r="D65" s="208"/>
      <c r="E65" s="210"/>
      <c r="F65" s="213"/>
      <c r="G65" s="213"/>
      <c r="H65" s="211" t="s">
        <v>207</v>
      </c>
      <c r="I65" s="18"/>
      <c r="J65" s="35"/>
      <c r="L65" s="27"/>
    </row>
    <row r="66" spans="1:21" ht="15.75" hidden="1" customHeight="1">
      <c r="A66" s="49"/>
      <c r="B66" s="20" t="s">
        <v>59</v>
      </c>
      <c r="C66" s="22" t="s">
        <v>144</v>
      </c>
      <c r="D66" s="20" t="s">
        <v>88</v>
      </c>
      <c r="E66" s="25">
        <v>10</v>
      </c>
      <c r="F66" s="202">
        <v>10</v>
      </c>
      <c r="G66" s="18">
        <v>237.75</v>
      </c>
      <c r="H66" s="214">
        <f t="shared" ref="H66:H79" si="5">SUM(F66*G66/1000)</f>
        <v>2.3774999999999999</v>
      </c>
      <c r="I66" s="18">
        <v>0</v>
      </c>
      <c r="J66" s="35"/>
      <c r="L66" s="27"/>
    </row>
    <row r="67" spans="1:21" ht="15.75" hidden="1" customHeight="1">
      <c r="A67" s="49"/>
      <c r="B67" s="20" t="s">
        <v>60</v>
      </c>
      <c r="C67" s="22" t="s">
        <v>144</v>
      </c>
      <c r="D67" s="20" t="s">
        <v>88</v>
      </c>
      <c r="E67" s="25">
        <v>5</v>
      </c>
      <c r="F67" s="202">
        <v>5</v>
      </c>
      <c r="G67" s="18">
        <v>81.510000000000005</v>
      </c>
      <c r="H67" s="214">
        <f t="shared" si="5"/>
        <v>0.40755000000000002</v>
      </c>
      <c r="I67" s="18">
        <v>0</v>
      </c>
      <c r="J67" s="35"/>
      <c r="L67" s="27"/>
    </row>
    <row r="68" spans="1:21" ht="15.75" hidden="1" customHeight="1">
      <c r="A68" s="49"/>
      <c r="B68" s="20" t="s">
        <v>61</v>
      </c>
      <c r="C68" s="22" t="s">
        <v>177</v>
      </c>
      <c r="D68" s="20" t="s">
        <v>67</v>
      </c>
      <c r="E68" s="201">
        <v>14205</v>
      </c>
      <c r="F68" s="18">
        <f>SUM(E68/100)</f>
        <v>142.05000000000001</v>
      </c>
      <c r="G68" s="18">
        <v>226.79</v>
      </c>
      <c r="H68" s="214">
        <f t="shared" si="5"/>
        <v>32.215519499999999</v>
      </c>
      <c r="I68" s="18">
        <v>0</v>
      </c>
    </row>
    <row r="69" spans="1:21" ht="15.75" hidden="1" customHeight="1">
      <c r="A69" s="49"/>
      <c r="B69" s="20" t="s">
        <v>62</v>
      </c>
      <c r="C69" s="22" t="s">
        <v>178</v>
      </c>
      <c r="D69" s="20" t="s">
        <v>67</v>
      </c>
      <c r="E69" s="201">
        <v>14205</v>
      </c>
      <c r="F69" s="18">
        <f>SUM(E69/1000)</f>
        <v>14.205</v>
      </c>
      <c r="G69" s="18">
        <v>176.61</v>
      </c>
      <c r="H69" s="214">
        <f t="shared" si="5"/>
        <v>2.5087450499999999</v>
      </c>
      <c r="I69" s="18">
        <v>0</v>
      </c>
      <c r="J69" s="40"/>
      <c r="K69" s="40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49"/>
      <c r="B70" s="20" t="s">
        <v>63</v>
      </c>
      <c r="C70" s="22" t="s">
        <v>98</v>
      </c>
      <c r="D70" s="20" t="s">
        <v>67</v>
      </c>
      <c r="E70" s="201">
        <v>2131</v>
      </c>
      <c r="F70" s="18">
        <f>SUM(E70/100)</f>
        <v>21.31</v>
      </c>
      <c r="G70" s="18">
        <v>2217.7800000000002</v>
      </c>
      <c r="H70" s="214">
        <f t="shared" si="5"/>
        <v>47.260891800000003</v>
      </c>
      <c r="I70" s="18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49"/>
      <c r="B71" s="215" t="s">
        <v>179</v>
      </c>
      <c r="C71" s="22" t="s">
        <v>39</v>
      </c>
      <c r="D71" s="20" t="s">
        <v>67</v>
      </c>
      <c r="E71" s="201">
        <v>12.48</v>
      </c>
      <c r="F71" s="18">
        <f>SUM(E71)</f>
        <v>12.48</v>
      </c>
      <c r="G71" s="18">
        <v>42.67</v>
      </c>
      <c r="H71" s="214">
        <f t="shared" si="5"/>
        <v>0.53252160000000004</v>
      </c>
      <c r="I71" s="18">
        <v>0</v>
      </c>
      <c r="J71" s="5"/>
      <c r="K71" s="5"/>
      <c r="L71" s="5"/>
      <c r="M71" s="5"/>
      <c r="N71" s="5"/>
      <c r="O71" s="5"/>
      <c r="P71" s="5"/>
      <c r="Q71" s="5"/>
      <c r="R71" s="248"/>
      <c r="S71" s="248"/>
      <c r="T71" s="248"/>
      <c r="U71" s="248"/>
    </row>
    <row r="72" spans="1:21" ht="15.75" hidden="1" customHeight="1">
      <c r="A72" s="49"/>
      <c r="B72" s="215" t="s">
        <v>180</v>
      </c>
      <c r="C72" s="22" t="s">
        <v>39</v>
      </c>
      <c r="D72" s="20" t="s">
        <v>67</v>
      </c>
      <c r="E72" s="201">
        <v>12.48</v>
      </c>
      <c r="F72" s="18">
        <f>SUM(E72)</f>
        <v>12.48</v>
      </c>
      <c r="G72" s="18">
        <v>39.81</v>
      </c>
      <c r="H72" s="214">
        <f t="shared" si="5"/>
        <v>0.49682880000000007</v>
      </c>
      <c r="I72" s="18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hidden="1" customHeight="1">
      <c r="A73" s="49"/>
      <c r="B73" s="20" t="s">
        <v>72</v>
      </c>
      <c r="C73" s="22" t="s">
        <v>73</v>
      </c>
      <c r="D73" s="20" t="s">
        <v>67</v>
      </c>
      <c r="E73" s="25">
        <v>5</v>
      </c>
      <c r="F73" s="202">
        <v>5</v>
      </c>
      <c r="G73" s="18">
        <v>53.32</v>
      </c>
      <c r="H73" s="214">
        <f t="shared" si="5"/>
        <v>0.2666</v>
      </c>
      <c r="I73" s="18">
        <v>0</v>
      </c>
    </row>
    <row r="74" spans="1:21" ht="15.75" customHeight="1">
      <c r="A74" s="49"/>
      <c r="B74" s="193" t="s">
        <v>93</v>
      </c>
      <c r="C74" s="22"/>
      <c r="D74" s="20"/>
      <c r="E74" s="25"/>
      <c r="F74" s="18"/>
      <c r="G74" s="18"/>
      <c r="H74" s="214" t="s">
        <v>207</v>
      </c>
      <c r="I74" s="18"/>
    </row>
    <row r="75" spans="1:21" ht="15.75" customHeight="1">
      <c r="A75" s="49">
        <v>21</v>
      </c>
      <c r="B75" s="20" t="s">
        <v>94</v>
      </c>
      <c r="C75" s="22" t="s">
        <v>96</v>
      </c>
      <c r="D75" s="20" t="s">
        <v>88</v>
      </c>
      <c r="E75" s="25">
        <v>2</v>
      </c>
      <c r="F75" s="18">
        <v>0.2</v>
      </c>
      <c r="G75" s="18">
        <v>536.23</v>
      </c>
      <c r="H75" s="214">
        <f t="shared" si="5"/>
        <v>0.10724600000000001</v>
      </c>
      <c r="I75" s="18">
        <f>G75*0.1</f>
        <v>53.623000000000005</v>
      </c>
    </row>
    <row r="76" spans="1:21" ht="15.75" hidden="1" customHeight="1">
      <c r="A76" s="49"/>
      <c r="B76" s="20" t="s">
        <v>95</v>
      </c>
      <c r="C76" s="22" t="s">
        <v>37</v>
      </c>
      <c r="D76" s="20" t="s">
        <v>88</v>
      </c>
      <c r="E76" s="25">
        <v>1</v>
      </c>
      <c r="F76" s="194">
        <v>1</v>
      </c>
      <c r="G76" s="18">
        <v>911.85</v>
      </c>
      <c r="H76" s="214">
        <f>F76*G76/1000</f>
        <v>0.91185000000000005</v>
      </c>
      <c r="I76" s="18">
        <v>0</v>
      </c>
    </row>
    <row r="77" spans="1:21" ht="15.75" hidden="1" customHeight="1">
      <c r="A77" s="49"/>
      <c r="B77" s="20" t="s">
        <v>203</v>
      </c>
      <c r="C77" s="22" t="s">
        <v>37</v>
      </c>
      <c r="D77" s="20" t="s">
        <v>88</v>
      </c>
      <c r="E77" s="25">
        <v>1</v>
      </c>
      <c r="F77" s="18">
        <v>1</v>
      </c>
      <c r="G77" s="18">
        <v>383.25</v>
      </c>
      <c r="H77" s="214">
        <f>G77*F77/1000</f>
        <v>0.38324999999999998</v>
      </c>
      <c r="I77" s="18">
        <v>0</v>
      </c>
    </row>
    <row r="78" spans="1:21" ht="15.75" customHeight="1">
      <c r="A78" s="49"/>
      <c r="B78" s="216" t="s">
        <v>97</v>
      </c>
      <c r="C78" s="22"/>
      <c r="D78" s="20"/>
      <c r="E78" s="25"/>
      <c r="F78" s="18"/>
      <c r="G78" s="18" t="s">
        <v>207</v>
      </c>
      <c r="H78" s="214" t="s">
        <v>207</v>
      </c>
      <c r="I78" s="18"/>
    </row>
    <row r="79" spans="1:21" ht="15.75" customHeight="1">
      <c r="A79" s="49">
        <v>22</v>
      </c>
      <c r="B79" s="86" t="s">
        <v>183</v>
      </c>
      <c r="C79" s="22" t="s">
        <v>98</v>
      </c>
      <c r="D79" s="20"/>
      <c r="E79" s="25"/>
      <c r="F79" s="18">
        <v>0.9</v>
      </c>
      <c r="G79" s="18">
        <v>2757.42</v>
      </c>
      <c r="H79" s="214">
        <f t="shared" si="5"/>
        <v>2.4816780000000005</v>
      </c>
      <c r="I79" s="18">
        <f>G79*F79</f>
        <v>2481.6780000000003</v>
      </c>
    </row>
    <row r="80" spans="1:21" ht="15.75" customHeight="1">
      <c r="A80" s="49"/>
      <c r="B80" s="193" t="s">
        <v>181</v>
      </c>
      <c r="C80" s="216"/>
      <c r="D80" s="54"/>
      <c r="E80" s="58"/>
      <c r="F80" s="205"/>
      <c r="G80" s="205"/>
      <c r="H80" s="217">
        <f>SUM(H58:H79)</f>
        <v>134.70632653799998</v>
      </c>
      <c r="I80" s="205"/>
    </row>
    <row r="81" spans="1:9" ht="15.75" customHeight="1">
      <c r="A81" s="226">
        <v>23</v>
      </c>
      <c r="B81" s="208" t="s">
        <v>182</v>
      </c>
      <c r="C81" s="227"/>
      <c r="D81" s="228"/>
      <c r="E81" s="195"/>
      <c r="F81" s="220">
        <v>1</v>
      </c>
      <c r="G81" s="220">
        <v>27901.200000000001</v>
      </c>
      <c r="H81" s="229">
        <f>G81*F81/1000</f>
        <v>27.901199999999999</v>
      </c>
      <c r="I81" s="220">
        <f>G81</f>
        <v>27901.200000000001</v>
      </c>
    </row>
    <row r="82" spans="1:9" ht="15.75" customHeight="1">
      <c r="A82" s="251" t="s">
        <v>239</v>
      </c>
      <c r="B82" s="252"/>
      <c r="C82" s="252"/>
      <c r="D82" s="252"/>
      <c r="E82" s="252"/>
      <c r="F82" s="252"/>
      <c r="G82" s="252"/>
      <c r="H82" s="252"/>
      <c r="I82" s="253"/>
    </row>
    <row r="83" spans="1:9" ht="15.75" customHeight="1">
      <c r="A83" s="230">
        <v>24</v>
      </c>
      <c r="B83" s="235" t="s">
        <v>184</v>
      </c>
      <c r="C83" s="231" t="s">
        <v>68</v>
      </c>
      <c r="D83" s="232" t="s">
        <v>69</v>
      </c>
      <c r="E83" s="233">
        <v>3945</v>
      </c>
      <c r="F83" s="233">
        <f>SUM(E83*12)</f>
        <v>47340</v>
      </c>
      <c r="G83" s="233">
        <v>2.2400000000000002</v>
      </c>
      <c r="H83" s="234">
        <f>SUM(F83*G83/1000)</f>
        <v>106.0416</v>
      </c>
      <c r="I83" s="233">
        <f>F83/12*G83</f>
        <v>8836.8000000000011</v>
      </c>
    </row>
    <row r="84" spans="1:9" ht="31.5" customHeight="1">
      <c r="A84" s="49">
        <v>25</v>
      </c>
      <c r="B84" s="20" t="s">
        <v>99</v>
      </c>
      <c r="C84" s="22"/>
      <c r="D84" s="232" t="s">
        <v>69</v>
      </c>
      <c r="E84" s="201">
        <f>E83</f>
        <v>3945</v>
      </c>
      <c r="F84" s="18">
        <f>E84*12</f>
        <v>47340</v>
      </c>
      <c r="G84" s="18">
        <v>1.74</v>
      </c>
      <c r="H84" s="214">
        <f>F84*G84/1000</f>
        <v>82.371600000000001</v>
      </c>
      <c r="I84" s="18">
        <f>F84/12*G84</f>
        <v>6864.3</v>
      </c>
    </row>
    <row r="85" spans="1:9" ht="15.75" customHeight="1">
      <c r="A85" s="49"/>
      <c r="B85" s="73" t="s">
        <v>105</v>
      </c>
      <c r="C85" s="75"/>
      <c r="D85" s="21"/>
      <c r="E85" s="21"/>
      <c r="F85" s="25"/>
      <c r="G85" s="31"/>
      <c r="H85" s="217">
        <f>H84</f>
        <v>82.371600000000001</v>
      </c>
      <c r="I85" s="58">
        <f>SUM(I16+I17+I18+I25+I26+I37+I38+I39+I41+I42+I43+I44+I50+I54+I55+I58+I59+I60+I61+I62+I64+I75+I79+I81+I83+I84)</f>
        <v>125510.37325728334</v>
      </c>
    </row>
    <row r="86" spans="1:9" ht="15.75" customHeight="1">
      <c r="A86" s="49"/>
      <c r="B86" s="173" t="s">
        <v>76</v>
      </c>
      <c r="C86" s="173"/>
      <c r="D86" s="173"/>
      <c r="E86" s="173"/>
      <c r="F86" s="173"/>
      <c r="G86" s="31"/>
      <c r="H86" s="217" t="e">
        <f>SUM(H85+#REF!+H80+H56+#REF!+#REF!+H27)</f>
        <v>#REF!</v>
      </c>
      <c r="I86" s="173"/>
    </row>
    <row r="87" spans="1:9" ht="31.5" customHeight="1">
      <c r="A87" s="49">
        <v>26</v>
      </c>
      <c r="B87" s="218" t="s">
        <v>104</v>
      </c>
      <c r="C87" s="219" t="s">
        <v>144</v>
      </c>
      <c r="D87" s="20"/>
      <c r="E87" s="25"/>
      <c r="F87" s="18">
        <v>14</v>
      </c>
      <c r="G87" s="18">
        <v>79.09</v>
      </c>
      <c r="H87" s="18">
        <f t="shared" ref="H87:H93" si="6">G87*F87/1000</f>
        <v>1.1072599999999999</v>
      </c>
      <c r="I87" s="220">
        <f>G87</f>
        <v>79.09</v>
      </c>
    </row>
    <row r="88" spans="1:9" ht="15.75" customHeight="1">
      <c r="A88" s="49">
        <v>27</v>
      </c>
      <c r="B88" s="218" t="s">
        <v>220</v>
      </c>
      <c r="C88" s="219" t="s">
        <v>144</v>
      </c>
      <c r="D88" s="20"/>
      <c r="E88" s="25"/>
      <c r="F88" s="18">
        <v>1</v>
      </c>
      <c r="G88" s="18">
        <v>124.25</v>
      </c>
      <c r="H88" s="18">
        <f t="shared" si="6"/>
        <v>0.12425</v>
      </c>
      <c r="I88" s="220">
        <f>G88</f>
        <v>124.25</v>
      </c>
    </row>
    <row r="89" spans="1:9" ht="15.75" hidden="1" customHeight="1">
      <c r="A89" s="49"/>
      <c r="B89" s="218" t="s">
        <v>221</v>
      </c>
      <c r="C89" s="219" t="s">
        <v>116</v>
      </c>
      <c r="D89" s="86"/>
      <c r="E89" s="18"/>
      <c r="F89" s="18">
        <v>2</v>
      </c>
      <c r="G89" s="18">
        <v>185.81</v>
      </c>
      <c r="H89" s="214">
        <f t="shared" si="6"/>
        <v>0.37162000000000001</v>
      </c>
      <c r="I89" s="18">
        <v>0</v>
      </c>
    </row>
    <row r="90" spans="1:9" ht="15.75" hidden="1" customHeight="1">
      <c r="A90" s="49"/>
      <c r="B90" s="218" t="s">
        <v>132</v>
      </c>
      <c r="C90" s="219" t="s">
        <v>222</v>
      </c>
      <c r="D90" s="20"/>
      <c r="E90" s="25"/>
      <c r="F90" s="18">
        <v>2</v>
      </c>
      <c r="G90" s="18">
        <v>559.62</v>
      </c>
      <c r="H90" s="214">
        <f t="shared" si="6"/>
        <v>1.11924</v>
      </c>
      <c r="I90" s="220">
        <v>0</v>
      </c>
    </row>
    <row r="91" spans="1:9" ht="15.75" hidden="1" customHeight="1">
      <c r="A91" s="49"/>
      <c r="B91" s="218" t="s">
        <v>223</v>
      </c>
      <c r="C91" s="219" t="s">
        <v>224</v>
      </c>
      <c r="D91" s="86"/>
      <c r="E91" s="18"/>
      <c r="F91" s="18">
        <v>1</v>
      </c>
      <c r="G91" s="18">
        <v>195.95</v>
      </c>
      <c r="H91" s="214">
        <f t="shared" si="6"/>
        <v>0.19594999999999999</v>
      </c>
      <c r="I91" s="220">
        <v>0</v>
      </c>
    </row>
    <row r="92" spans="1:9" ht="15.75" hidden="1" customHeight="1">
      <c r="A92" s="49"/>
      <c r="B92" s="218" t="s">
        <v>114</v>
      </c>
      <c r="C92" s="219" t="s">
        <v>48</v>
      </c>
      <c r="D92" s="86"/>
      <c r="E92" s="18"/>
      <c r="F92" s="18">
        <v>0.09</v>
      </c>
      <c r="G92" s="18">
        <v>3397.65</v>
      </c>
      <c r="H92" s="214">
        <f t="shared" si="6"/>
        <v>0.30578850000000002</v>
      </c>
      <c r="I92" s="220">
        <v>0</v>
      </c>
    </row>
    <row r="93" spans="1:9" ht="15.75" hidden="1" customHeight="1">
      <c r="A93" s="49"/>
      <c r="B93" s="218" t="s">
        <v>225</v>
      </c>
      <c r="C93" s="219" t="s">
        <v>226</v>
      </c>
      <c r="D93" s="86"/>
      <c r="E93" s="18"/>
      <c r="F93" s="18">
        <f>1/100</f>
        <v>0.01</v>
      </c>
      <c r="G93" s="18">
        <v>7033.13</v>
      </c>
      <c r="H93" s="214">
        <f t="shared" si="6"/>
        <v>7.0331299999999999E-2</v>
      </c>
      <c r="I93" s="220">
        <v>0</v>
      </c>
    </row>
    <row r="94" spans="1:9" ht="15.75" hidden="1" customHeight="1">
      <c r="A94" s="49"/>
      <c r="B94" s="221" t="s">
        <v>227</v>
      </c>
      <c r="C94" s="222" t="s">
        <v>144</v>
      </c>
      <c r="D94" s="86"/>
      <c r="E94" s="18"/>
      <c r="F94" s="18">
        <v>1</v>
      </c>
      <c r="G94" s="18">
        <v>295.58999999999997</v>
      </c>
      <c r="H94" s="214">
        <f>G94*F94/1000</f>
        <v>0.29558999999999996</v>
      </c>
      <c r="I94" s="220">
        <v>0</v>
      </c>
    </row>
    <row r="95" spans="1:9" ht="15.75" hidden="1" customHeight="1">
      <c r="A95" s="49"/>
      <c r="B95" s="218" t="s">
        <v>204</v>
      </c>
      <c r="C95" s="219" t="s">
        <v>144</v>
      </c>
      <c r="D95" s="86"/>
      <c r="E95" s="18"/>
      <c r="F95" s="18">
        <v>2</v>
      </c>
      <c r="G95" s="18">
        <v>1072.21</v>
      </c>
      <c r="H95" s="214">
        <f>G95*F95/1000</f>
        <v>2.1444200000000002</v>
      </c>
      <c r="I95" s="220">
        <v>0</v>
      </c>
    </row>
    <row r="96" spans="1:9" ht="15.75" hidden="1" customHeight="1">
      <c r="A96" s="49"/>
      <c r="B96" s="20" t="s">
        <v>176</v>
      </c>
      <c r="C96" s="22" t="s">
        <v>206</v>
      </c>
      <c r="D96" s="20"/>
      <c r="E96" s="25"/>
      <c r="F96" s="18">
        <v>1</v>
      </c>
      <c r="G96" s="18">
        <v>1372</v>
      </c>
      <c r="H96" s="18">
        <f t="shared" ref="H96:H98" si="7">G96*F96/1000</f>
        <v>1.3720000000000001</v>
      </c>
      <c r="I96" s="220">
        <v>0</v>
      </c>
    </row>
    <row r="97" spans="1:9" ht="15.75" hidden="1" customHeight="1">
      <c r="A97" s="49"/>
      <c r="B97" s="223" t="s">
        <v>228</v>
      </c>
      <c r="C97" s="49" t="s">
        <v>229</v>
      </c>
      <c r="D97" s="20"/>
      <c r="E97" s="25"/>
      <c r="F97" s="18">
        <v>1</v>
      </c>
      <c r="G97" s="18">
        <v>1835.8</v>
      </c>
      <c r="H97" s="18">
        <f t="shared" si="7"/>
        <v>1.8357999999999999</v>
      </c>
      <c r="I97" s="220">
        <v>0</v>
      </c>
    </row>
    <row r="98" spans="1:9" ht="15.75" hidden="1" customHeight="1">
      <c r="A98" s="49"/>
      <c r="B98" s="218" t="s">
        <v>230</v>
      </c>
      <c r="C98" s="219" t="s">
        <v>222</v>
      </c>
      <c r="D98" s="20"/>
      <c r="E98" s="25"/>
      <c r="F98" s="18">
        <v>1</v>
      </c>
      <c r="G98" s="18">
        <v>105.66</v>
      </c>
      <c r="H98" s="214">
        <f t="shared" si="7"/>
        <v>0.10565999999999999</v>
      </c>
      <c r="I98" s="220">
        <v>0</v>
      </c>
    </row>
    <row r="99" spans="1:9" ht="15.75" hidden="1" customHeight="1">
      <c r="A99" s="49"/>
      <c r="B99" s="218" t="s">
        <v>208</v>
      </c>
      <c r="C99" s="219" t="s">
        <v>209</v>
      </c>
      <c r="D99" s="20"/>
      <c r="E99" s="25"/>
      <c r="F99" s="18">
        <v>2</v>
      </c>
      <c r="G99" s="18">
        <v>51.39</v>
      </c>
      <c r="H99" s="214">
        <f>G99*F99/1000</f>
        <v>0.10278</v>
      </c>
      <c r="I99" s="220">
        <v>0</v>
      </c>
    </row>
    <row r="100" spans="1:9" ht="15.75" hidden="1" customHeight="1">
      <c r="A100" s="49"/>
      <c r="B100" s="218" t="s">
        <v>231</v>
      </c>
      <c r="C100" s="219" t="s">
        <v>144</v>
      </c>
      <c r="D100" s="20"/>
      <c r="E100" s="25"/>
      <c r="F100" s="18">
        <v>1</v>
      </c>
      <c r="G100" s="18">
        <v>2769.02</v>
      </c>
      <c r="H100" s="214">
        <f>G100*F100/1000</f>
        <v>2.7690199999999998</v>
      </c>
      <c r="I100" s="220">
        <v>0</v>
      </c>
    </row>
    <row r="101" spans="1:9" ht="15.75" hidden="1" customHeight="1">
      <c r="A101" s="49"/>
      <c r="B101" s="218" t="s">
        <v>110</v>
      </c>
      <c r="C101" s="219" t="s">
        <v>144</v>
      </c>
      <c r="D101" s="20"/>
      <c r="E101" s="25"/>
      <c r="F101" s="18">
        <v>1</v>
      </c>
      <c r="G101" s="18">
        <v>180.15</v>
      </c>
      <c r="H101" s="214">
        <f>G101*F101/1000</f>
        <v>0.18015</v>
      </c>
      <c r="I101" s="220">
        <v>0</v>
      </c>
    </row>
    <row r="102" spans="1:9" ht="15.75" hidden="1" customHeight="1">
      <c r="A102" s="49"/>
      <c r="B102" s="218" t="s">
        <v>232</v>
      </c>
      <c r="C102" s="219" t="s">
        <v>222</v>
      </c>
      <c r="D102" s="20"/>
      <c r="E102" s="25"/>
      <c r="F102" s="18">
        <v>1</v>
      </c>
      <c r="G102" s="18">
        <v>625.07000000000005</v>
      </c>
      <c r="H102" s="214">
        <f t="shared" ref="H102:H109" si="8">G102*F102/1000</f>
        <v>0.62507000000000001</v>
      </c>
      <c r="I102" s="220">
        <v>0</v>
      </c>
    </row>
    <row r="103" spans="1:9" ht="15.75" hidden="1" customHeight="1">
      <c r="A103" s="49"/>
      <c r="B103" s="218" t="s">
        <v>233</v>
      </c>
      <c r="C103" s="222" t="s">
        <v>107</v>
      </c>
      <c r="D103" s="86"/>
      <c r="E103" s="18"/>
      <c r="F103" s="18">
        <v>9.5</v>
      </c>
      <c r="G103" s="18">
        <v>1187</v>
      </c>
      <c r="H103" s="214">
        <f t="shared" si="8"/>
        <v>11.2765</v>
      </c>
      <c r="I103" s="220">
        <v>0</v>
      </c>
    </row>
    <row r="104" spans="1:9" ht="15.75" hidden="1" customHeight="1">
      <c r="A104" s="49"/>
      <c r="B104" s="218" t="s">
        <v>234</v>
      </c>
      <c r="C104" s="219" t="s">
        <v>222</v>
      </c>
      <c r="D104" s="86"/>
      <c r="E104" s="18"/>
      <c r="F104" s="18">
        <v>1</v>
      </c>
      <c r="G104" s="18">
        <v>1750.55</v>
      </c>
      <c r="H104" s="214">
        <f t="shared" si="8"/>
        <v>1.7505500000000001</v>
      </c>
      <c r="I104" s="220">
        <v>0</v>
      </c>
    </row>
    <row r="105" spans="1:9" ht="15.75" hidden="1" customHeight="1">
      <c r="A105" s="49"/>
      <c r="B105" s="175" t="s">
        <v>185</v>
      </c>
      <c r="C105" s="176" t="s">
        <v>186</v>
      </c>
      <c r="D105" s="86"/>
      <c r="E105" s="18"/>
      <c r="F105" s="18">
        <f>15/3</f>
        <v>5</v>
      </c>
      <c r="G105" s="18">
        <v>1063.47</v>
      </c>
      <c r="H105" s="214">
        <f t="shared" si="8"/>
        <v>5.3173500000000002</v>
      </c>
      <c r="I105" s="220">
        <v>0</v>
      </c>
    </row>
    <row r="106" spans="1:9" ht="15.75" hidden="1" customHeight="1">
      <c r="A106" s="49"/>
      <c r="B106" s="218" t="s">
        <v>176</v>
      </c>
      <c r="C106" s="219" t="s">
        <v>206</v>
      </c>
      <c r="D106" s="20"/>
      <c r="E106" s="25"/>
      <c r="F106" s="18">
        <v>1.3333330000000001</v>
      </c>
      <c r="G106" s="18">
        <v>1501</v>
      </c>
      <c r="H106" s="214">
        <f t="shared" si="8"/>
        <v>2.0013328330000002</v>
      </c>
      <c r="I106" s="220">
        <v>0</v>
      </c>
    </row>
    <row r="107" spans="1:9" ht="15.75" hidden="1" customHeight="1">
      <c r="A107" s="49"/>
      <c r="B107" s="199" t="s">
        <v>145</v>
      </c>
      <c r="C107" s="200" t="s">
        <v>144</v>
      </c>
      <c r="D107" s="20"/>
      <c r="E107" s="25"/>
      <c r="F107" s="18">
        <v>1</v>
      </c>
      <c r="G107" s="18">
        <v>175.6</v>
      </c>
      <c r="H107" s="214">
        <f t="shared" si="8"/>
        <v>0.17560000000000001</v>
      </c>
      <c r="I107" s="220">
        <v>0</v>
      </c>
    </row>
    <row r="108" spans="1:9" ht="15.75" hidden="1" customHeight="1">
      <c r="A108" s="49"/>
      <c r="B108" s="218" t="s">
        <v>204</v>
      </c>
      <c r="C108" s="219" t="s">
        <v>144</v>
      </c>
      <c r="D108" s="20"/>
      <c r="E108" s="25"/>
      <c r="F108" s="18">
        <v>1</v>
      </c>
      <c r="G108" s="18">
        <v>3572.75</v>
      </c>
      <c r="H108" s="214">
        <f t="shared" si="8"/>
        <v>3.5727500000000001</v>
      </c>
      <c r="I108" s="220">
        <v>0</v>
      </c>
    </row>
    <row r="109" spans="1:9" ht="15.75" hidden="1" customHeight="1">
      <c r="A109" s="49"/>
      <c r="B109" s="199" t="s">
        <v>205</v>
      </c>
      <c r="C109" s="200" t="s">
        <v>151</v>
      </c>
      <c r="D109" s="20"/>
      <c r="E109" s="25"/>
      <c r="F109" s="18">
        <f>(0.1*18)/100</f>
        <v>1.8000000000000002E-2</v>
      </c>
      <c r="G109" s="18">
        <v>1925.33</v>
      </c>
      <c r="H109" s="214">
        <f t="shared" si="8"/>
        <v>3.4655940000000003E-2</v>
      </c>
      <c r="I109" s="220">
        <v>0</v>
      </c>
    </row>
    <row r="110" spans="1:9">
      <c r="A110" s="49"/>
      <c r="B110" s="80" t="s">
        <v>64</v>
      </c>
      <c r="C110" s="76"/>
      <c r="D110" s="129"/>
      <c r="E110" s="76">
        <v>1</v>
      </c>
      <c r="F110" s="76"/>
      <c r="G110" s="76"/>
      <c r="H110" s="76"/>
      <c r="I110" s="58">
        <f>SUM(I87:I88)</f>
        <v>203.34</v>
      </c>
    </row>
    <row r="111" spans="1:9" ht="16.5" customHeight="1">
      <c r="A111" s="49"/>
      <c r="B111" s="86" t="s">
        <v>100</v>
      </c>
      <c r="C111" s="21"/>
      <c r="D111" s="21"/>
      <c r="E111" s="77"/>
      <c r="F111" s="77"/>
      <c r="G111" s="78"/>
      <c r="H111" s="78"/>
      <c r="I111" s="24">
        <v>0</v>
      </c>
    </row>
    <row r="112" spans="1:9" ht="16.5" customHeight="1">
      <c r="A112" s="130"/>
      <c r="B112" s="81" t="s">
        <v>65</v>
      </c>
      <c r="C112" s="64"/>
      <c r="D112" s="64"/>
      <c r="E112" s="64"/>
      <c r="F112" s="64"/>
      <c r="G112" s="64"/>
      <c r="H112" s="64"/>
      <c r="I112" s="79">
        <f>I85+I110</f>
        <v>125713.71325728334</v>
      </c>
    </row>
    <row r="113" spans="1:9" ht="15.75" customHeight="1">
      <c r="A113" s="249" t="s">
        <v>241</v>
      </c>
      <c r="B113" s="249"/>
      <c r="C113" s="249"/>
      <c r="D113" s="249"/>
      <c r="E113" s="249"/>
      <c r="F113" s="249"/>
      <c r="G113" s="249"/>
      <c r="H113" s="249"/>
      <c r="I113" s="249"/>
    </row>
    <row r="114" spans="1:9" ht="15.75" customHeight="1">
      <c r="A114" s="190"/>
      <c r="B114" s="258" t="s">
        <v>242</v>
      </c>
      <c r="C114" s="258"/>
      <c r="D114" s="258"/>
      <c r="E114" s="258"/>
      <c r="F114" s="258"/>
      <c r="G114" s="258"/>
      <c r="H114" s="198"/>
      <c r="I114" s="3"/>
    </row>
    <row r="115" spans="1:9" ht="15.75" customHeight="1">
      <c r="A115" s="188"/>
      <c r="B115" s="255" t="s">
        <v>7</v>
      </c>
      <c r="C115" s="255"/>
      <c r="D115" s="255"/>
      <c r="E115" s="255"/>
      <c r="F115" s="255"/>
      <c r="G115" s="255"/>
      <c r="H115" s="39"/>
      <c r="I115" s="5"/>
    </row>
    <row r="116" spans="1:9" ht="15.75" customHeight="1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15.75">
      <c r="A117" s="259" t="s">
        <v>8</v>
      </c>
      <c r="B117" s="259"/>
      <c r="C117" s="259"/>
      <c r="D117" s="259"/>
      <c r="E117" s="259"/>
      <c r="F117" s="259"/>
      <c r="G117" s="259"/>
      <c r="H117" s="259"/>
      <c r="I117" s="259"/>
    </row>
    <row r="118" spans="1:9" ht="15.75">
      <c r="A118" s="259" t="s">
        <v>9</v>
      </c>
      <c r="B118" s="259"/>
      <c r="C118" s="259"/>
      <c r="D118" s="259"/>
      <c r="E118" s="259"/>
      <c r="F118" s="259"/>
      <c r="G118" s="259"/>
      <c r="H118" s="259"/>
      <c r="I118" s="259"/>
    </row>
    <row r="119" spans="1:9" ht="15.75">
      <c r="A119" s="242" t="s">
        <v>79</v>
      </c>
      <c r="B119" s="242"/>
      <c r="C119" s="242"/>
      <c r="D119" s="242"/>
      <c r="E119" s="242"/>
      <c r="F119" s="242"/>
      <c r="G119" s="242"/>
      <c r="H119" s="242"/>
      <c r="I119" s="242"/>
    </row>
    <row r="120" spans="1:9" ht="15.75">
      <c r="A120" s="12"/>
    </row>
    <row r="121" spans="1:9" ht="15.75">
      <c r="A121" s="243" t="s">
        <v>11</v>
      </c>
      <c r="B121" s="243"/>
      <c r="C121" s="243"/>
      <c r="D121" s="243"/>
      <c r="E121" s="243"/>
      <c r="F121" s="243"/>
      <c r="G121" s="243"/>
      <c r="H121" s="243"/>
      <c r="I121" s="243"/>
    </row>
    <row r="122" spans="1:9" ht="15.75">
      <c r="A122" s="4"/>
    </row>
    <row r="123" spans="1:9" ht="15.75">
      <c r="B123" s="189" t="s">
        <v>12</v>
      </c>
      <c r="C123" s="254" t="s">
        <v>187</v>
      </c>
      <c r="D123" s="254"/>
      <c r="E123" s="254"/>
      <c r="F123" s="196"/>
      <c r="I123" s="192"/>
    </row>
    <row r="124" spans="1:9">
      <c r="A124" s="188"/>
      <c r="C124" s="255" t="s">
        <v>13</v>
      </c>
      <c r="D124" s="255"/>
      <c r="E124" s="255"/>
      <c r="F124" s="39"/>
      <c r="I124" s="191" t="s">
        <v>14</v>
      </c>
    </row>
    <row r="125" spans="1:9" ht="15.75">
      <c r="A125" s="40"/>
      <c r="C125" s="13"/>
      <c r="D125" s="13"/>
      <c r="G125" s="13"/>
      <c r="H125" s="13"/>
    </row>
    <row r="126" spans="1:9" ht="15.75">
      <c r="B126" s="189" t="s">
        <v>15</v>
      </c>
      <c r="C126" s="256"/>
      <c r="D126" s="256"/>
      <c r="E126" s="256"/>
      <c r="F126" s="197"/>
      <c r="I126" s="192"/>
    </row>
    <row r="127" spans="1:9">
      <c r="A127" s="188"/>
      <c r="C127" s="248" t="s">
        <v>13</v>
      </c>
      <c r="D127" s="248"/>
      <c r="E127" s="248"/>
      <c r="F127" s="188"/>
      <c r="I127" s="191" t="s">
        <v>14</v>
      </c>
    </row>
    <row r="128" spans="1:9" ht="15.75">
      <c r="A128" s="4" t="s">
        <v>16</v>
      </c>
    </row>
    <row r="129" spans="1:9">
      <c r="A129" s="257" t="s">
        <v>17</v>
      </c>
      <c r="B129" s="257"/>
      <c r="C129" s="257"/>
      <c r="D129" s="257"/>
      <c r="E129" s="257"/>
      <c r="F129" s="257"/>
      <c r="G129" s="257"/>
      <c r="H129" s="257"/>
      <c r="I129" s="257"/>
    </row>
    <row r="130" spans="1:9" ht="47.25" customHeight="1">
      <c r="A130" s="250" t="s">
        <v>18</v>
      </c>
      <c r="B130" s="250"/>
      <c r="C130" s="250"/>
      <c r="D130" s="250"/>
      <c r="E130" s="250"/>
      <c r="F130" s="250"/>
      <c r="G130" s="250"/>
      <c r="H130" s="250"/>
      <c r="I130" s="250"/>
    </row>
    <row r="131" spans="1:9" ht="31.5" customHeight="1">
      <c r="A131" s="250" t="s">
        <v>19</v>
      </c>
      <c r="B131" s="250"/>
      <c r="C131" s="250"/>
      <c r="D131" s="250"/>
      <c r="E131" s="250"/>
      <c r="F131" s="250"/>
      <c r="G131" s="250"/>
      <c r="H131" s="250"/>
      <c r="I131" s="250"/>
    </row>
    <row r="132" spans="1:9" ht="31.5" customHeight="1">
      <c r="A132" s="250" t="s">
        <v>24</v>
      </c>
      <c r="B132" s="250"/>
      <c r="C132" s="250"/>
      <c r="D132" s="250"/>
      <c r="E132" s="250"/>
      <c r="F132" s="250"/>
      <c r="G132" s="250"/>
      <c r="H132" s="250"/>
      <c r="I132" s="250"/>
    </row>
    <row r="133" spans="1:9" ht="15.75">
      <c r="A133" s="250" t="s">
        <v>23</v>
      </c>
      <c r="B133" s="250"/>
      <c r="C133" s="250"/>
      <c r="D133" s="250"/>
      <c r="E133" s="250"/>
      <c r="F133" s="250"/>
      <c r="G133" s="250"/>
      <c r="H133" s="250"/>
      <c r="I133" s="250"/>
    </row>
  </sheetData>
  <autoFilter ref="I12:I67"/>
  <mergeCells count="28">
    <mergeCell ref="A131:I131"/>
    <mergeCell ref="A132:I132"/>
    <mergeCell ref="A133:I133"/>
    <mergeCell ref="A45:I45"/>
    <mergeCell ref="A56:I56"/>
    <mergeCell ref="A82:I82"/>
    <mergeCell ref="C123:E123"/>
    <mergeCell ref="C124:E124"/>
    <mergeCell ref="C126:E126"/>
    <mergeCell ref="C127:E127"/>
    <mergeCell ref="A129:I129"/>
    <mergeCell ref="A130:I130"/>
    <mergeCell ref="B114:G114"/>
    <mergeCell ref="B115:G115"/>
    <mergeCell ref="A117:I117"/>
    <mergeCell ref="A118:I118"/>
    <mergeCell ref="A119:I119"/>
    <mergeCell ref="A121:I121"/>
    <mergeCell ref="A15:I15"/>
    <mergeCell ref="A27:I27"/>
    <mergeCell ref="R71:U71"/>
    <mergeCell ref="A113:I113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116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4" t="s">
        <v>122</v>
      </c>
      <c r="I1" s="43"/>
      <c r="J1" s="1"/>
      <c r="K1" s="1"/>
      <c r="L1" s="1"/>
      <c r="M1" s="1"/>
    </row>
    <row r="2" spans="1:13" ht="15.75">
      <c r="A2" s="45" t="s">
        <v>83</v>
      </c>
      <c r="J2" s="2"/>
      <c r="K2" s="2"/>
      <c r="L2" s="2"/>
      <c r="M2" s="2"/>
    </row>
    <row r="3" spans="1:13" ht="15.75" customHeight="1">
      <c r="A3" s="237" t="s">
        <v>240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188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106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187"/>
      <c r="C6" s="187"/>
      <c r="D6" s="187"/>
      <c r="E6" s="187"/>
      <c r="F6" s="187"/>
      <c r="G6" s="187"/>
      <c r="H6" s="187"/>
      <c r="I6" s="53">
        <v>42429</v>
      </c>
      <c r="J6" s="2"/>
      <c r="K6" s="2"/>
      <c r="L6" s="2"/>
      <c r="M6" s="2"/>
    </row>
    <row r="7" spans="1:13" ht="15.75">
      <c r="B7" s="189"/>
      <c r="C7" s="189"/>
      <c r="D7" s="18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271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189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6" t="s">
        <v>74</v>
      </c>
      <c r="B14" s="236"/>
      <c r="C14" s="236"/>
      <c r="D14" s="236"/>
      <c r="E14" s="236"/>
      <c r="F14" s="236"/>
      <c r="G14" s="236"/>
      <c r="H14" s="236"/>
      <c r="I14" s="236"/>
      <c r="J14" s="8"/>
      <c r="K14" s="8"/>
      <c r="L14" s="8"/>
      <c r="M14" s="8"/>
    </row>
    <row r="15" spans="1:13">
      <c r="A15" s="244" t="s">
        <v>4</v>
      </c>
      <c r="B15" s="244"/>
      <c r="C15" s="244"/>
      <c r="D15" s="244"/>
      <c r="E15" s="244"/>
      <c r="F15" s="244"/>
      <c r="G15" s="244"/>
      <c r="H15" s="244"/>
      <c r="I15" s="244"/>
      <c r="J15" s="8"/>
      <c r="K15" s="8"/>
      <c r="L15" s="8"/>
      <c r="M15" s="8"/>
    </row>
    <row r="16" spans="1:13" ht="31.5" customHeight="1">
      <c r="A16" s="49">
        <v>1</v>
      </c>
      <c r="B16" s="199" t="s">
        <v>124</v>
      </c>
      <c r="C16" s="200" t="s">
        <v>151</v>
      </c>
      <c r="D16" s="199" t="s">
        <v>190</v>
      </c>
      <c r="E16" s="201">
        <v>95.04</v>
      </c>
      <c r="F16" s="202">
        <f>SUM(E16*156/100)</f>
        <v>148.26240000000001</v>
      </c>
      <c r="G16" s="202">
        <v>187.48</v>
      </c>
      <c r="H16" s="203">
        <f t="shared" ref="H16:H24" si="0">SUM(F16*G16/1000)</f>
        <v>27.796234752</v>
      </c>
      <c r="I16" s="18">
        <f>F16/12*G16</f>
        <v>2316.3528960000003</v>
      </c>
      <c r="J16" s="8"/>
      <c r="K16" s="8"/>
      <c r="L16" s="8"/>
      <c r="M16" s="8"/>
    </row>
    <row r="17" spans="1:13" ht="31.5" customHeight="1">
      <c r="A17" s="49">
        <v>2</v>
      </c>
      <c r="B17" s="199" t="s">
        <v>147</v>
      </c>
      <c r="C17" s="200" t="s">
        <v>151</v>
      </c>
      <c r="D17" s="199" t="s">
        <v>191</v>
      </c>
      <c r="E17" s="201">
        <v>380.16</v>
      </c>
      <c r="F17" s="202">
        <f>SUM(E17*104/100)</f>
        <v>395.3664</v>
      </c>
      <c r="G17" s="202">
        <v>187.48</v>
      </c>
      <c r="H17" s="203">
        <f t="shared" si="0"/>
        <v>74.123292671999991</v>
      </c>
      <c r="I17" s="18">
        <f>F17/12*G17</f>
        <v>6176.9410559999997</v>
      </c>
      <c r="J17" s="34"/>
      <c r="K17" s="8"/>
      <c r="L17" s="8"/>
      <c r="M17" s="8"/>
    </row>
    <row r="18" spans="1:13" ht="31.5" customHeight="1">
      <c r="A18" s="49">
        <v>3</v>
      </c>
      <c r="B18" s="199" t="s">
        <v>148</v>
      </c>
      <c r="C18" s="200" t="s">
        <v>151</v>
      </c>
      <c r="D18" s="199" t="s">
        <v>192</v>
      </c>
      <c r="E18" s="201">
        <f>SUM(E16+E17)</f>
        <v>475.20000000000005</v>
      </c>
      <c r="F18" s="202">
        <f>SUM(E18*24/100)</f>
        <v>114.04800000000002</v>
      </c>
      <c r="G18" s="202">
        <v>539.30999999999995</v>
      </c>
      <c r="H18" s="203">
        <f t="shared" si="0"/>
        <v>61.507226880000005</v>
      </c>
      <c r="I18" s="18">
        <f>F18/12*G18</f>
        <v>5125.6022400000002</v>
      </c>
      <c r="J18" s="34"/>
      <c r="K18" s="8"/>
      <c r="L18" s="8"/>
      <c r="M18" s="8"/>
    </row>
    <row r="19" spans="1:13" ht="15.75" hidden="1" customHeight="1">
      <c r="A19" s="49">
        <v>4</v>
      </c>
      <c r="B19" s="199" t="s">
        <v>152</v>
      </c>
      <c r="C19" s="200" t="s">
        <v>153</v>
      </c>
      <c r="D19" s="199" t="s">
        <v>154</v>
      </c>
      <c r="E19" s="201">
        <v>93.4</v>
      </c>
      <c r="F19" s="202">
        <f>SUM(E19/10)</f>
        <v>9.34</v>
      </c>
      <c r="G19" s="202">
        <v>181.9</v>
      </c>
      <c r="H19" s="203">
        <f t="shared" si="0"/>
        <v>1.6989460000000001</v>
      </c>
      <c r="I19" s="18">
        <v>0</v>
      </c>
      <c r="J19" s="34"/>
      <c r="K19" s="8"/>
      <c r="L19" s="8"/>
      <c r="M19" s="8"/>
    </row>
    <row r="20" spans="1:13" ht="15.75" hidden="1" customHeight="1">
      <c r="A20" s="49"/>
      <c r="B20" s="199" t="s">
        <v>155</v>
      </c>
      <c r="C20" s="200" t="s">
        <v>151</v>
      </c>
      <c r="D20" s="199" t="s">
        <v>54</v>
      </c>
      <c r="E20" s="201">
        <v>43.2</v>
      </c>
      <c r="F20" s="202">
        <f>SUM(E20*2/100)</f>
        <v>0.8640000000000001</v>
      </c>
      <c r="G20" s="202">
        <v>232.91</v>
      </c>
      <c r="H20" s="203">
        <f t="shared" si="0"/>
        <v>0.20123424000000004</v>
      </c>
      <c r="I20" s="18">
        <v>0</v>
      </c>
      <c r="J20" s="34"/>
      <c r="K20" s="8"/>
      <c r="L20" s="8"/>
      <c r="M20" s="8"/>
    </row>
    <row r="21" spans="1:13" ht="15.75" hidden="1" customHeight="1">
      <c r="A21" s="49"/>
      <c r="B21" s="199" t="s">
        <v>156</v>
      </c>
      <c r="C21" s="200" t="s">
        <v>151</v>
      </c>
      <c r="D21" s="199" t="s">
        <v>54</v>
      </c>
      <c r="E21" s="201">
        <v>10.08</v>
      </c>
      <c r="F21" s="202">
        <f>SUM(E21*2/100)</f>
        <v>0.2016</v>
      </c>
      <c r="G21" s="202">
        <v>231.03</v>
      </c>
      <c r="H21" s="203">
        <f t="shared" si="0"/>
        <v>4.6575648000000004E-2</v>
      </c>
      <c r="I21" s="18">
        <v>0</v>
      </c>
      <c r="J21" s="34"/>
      <c r="K21" s="8"/>
      <c r="L21" s="8"/>
      <c r="M21" s="8"/>
    </row>
    <row r="22" spans="1:13" ht="15.75" hidden="1" customHeight="1">
      <c r="A22" s="49"/>
      <c r="B22" s="199" t="s">
        <v>157</v>
      </c>
      <c r="C22" s="200" t="s">
        <v>66</v>
      </c>
      <c r="D22" s="199" t="s">
        <v>154</v>
      </c>
      <c r="E22" s="201">
        <v>642.6</v>
      </c>
      <c r="F22" s="202">
        <f>SUM(E22/100)</f>
        <v>6.4260000000000002</v>
      </c>
      <c r="G22" s="202">
        <v>287.83999999999997</v>
      </c>
      <c r="H22" s="203">
        <f t="shared" si="0"/>
        <v>1.8496598399999997</v>
      </c>
      <c r="I22" s="18">
        <v>0</v>
      </c>
      <c r="J22" s="34"/>
      <c r="K22" s="8"/>
      <c r="L22" s="8"/>
      <c r="M22" s="8"/>
    </row>
    <row r="23" spans="1:13" ht="15.75" hidden="1" customHeight="1">
      <c r="A23" s="49"/>
      <c r="B23" s="199" t="s">
        <v>158</v>
      </c>
      <c r="C23" s="200" t="s">
        <v>66</v>
      </c>
      <c r="D23" s="199" t="s">
        <v>154</v>
      </c>
      <c r="E23" s="204">
        <v>35.28</v>
      </c>
      <c r="F23" s="202">
        <f>SUM(E23/100)</f>
        <v>0.3528</v>
      </c>
      <c r="G23" s="202">
        <v>47.35</v>
      </c>
      <c r="H23" s="203">
        <f t="shared" si="0"/>
        <v>1.6705080000000004E-2</v>
      </c>
      <c r="I23" s="18">
        <v>0</v>
      </c>
      <c r="J23" s="34"/>
      <c r="K23" s="8"/>
      <c r="L23" s="8"/>
      <c r="M23" s="8"/>
    </row>
    <row r="24" spans="1:13" ht="15.75" hidden="1" customHeight="1">
      <c r="A24" s="49"/>
      <c r="B24" s="199" t="s">
        <v>159</v>
      </c>
      <c r="C24" s="200" t="s">
        <v>66</v>
      </c>
      <c r="D24" s="199" t="s">
        <v>154</v>
      </c>
      <c r="E24" s="201">
        <v>28.8</v>
      </c>
      <c r="F24" s="202">
        <f>SUM(E24/100)</f>
        <v>0.28800000000000003</v>
      </c>
      <c r="G24" s="202">
        <v>556.74</v>
      </c>
      <c r="H24" s="203">
        <f t="shared" si="0"/>
        <v>0.16034112000000003</v>
      </c>
      <c r="I24" s="18">
        <v>0</v>
      </c>
      <c r="J24" s="34"/>
      <c r="K24" s="8"/>
      <c r="L24" s="8"/>
      <c r="M24" s="8"/>
    </row>
    <row r="25" spans="1:13" ht="15.75" customHeight="1">
      <c r="A25" s="49">
        <v>4</v>
      </c>
      <c r="B25" s="199" t="s">
        <v>85</v>
      </c>
      <c r="C25" s="200" t="s">
        <v>39</v>
      </c>
      <c r="D25" s="199" t="s">
        <v>219</v>
      </c>
      <c r="E25" s="201">
        <v>0.1</v>
      </c>
      <c r="F25" s="202">
        <f>SUM(E25*365)</f>
        <v>36.5</v>
      </c>
      <c r="G25" s="202">
        <v>157.18</v>
      </c>
      <c r="H25" s="203">
        <f>SUM(F25*G25/1000)</f>
        <v>5.737070000000001</v>
      </c>
      <c r="I25" s="18">
        <f>F25/12*G25</f>
        <v>478.08916666666664</v>
      </c>
      <c r="J25" s="34"/>
      <c r="K25" s="8"/>
      <c r="L25" s="8"/>
      <c r="M25" s="8"/>
    </row>
    <row r="26" spans="1:13" ht="15.75" customHeight="1">
      <c r="A26" s="49">
        <v>5</v>
      </c>
      <c r="B26" s="207" t="s">
        <v>26</v>
      </c>
      <c r="C26" s="200" t="s">
        <v>27</v>
      </c>
      <c r="D26" s="207" t="s">
        <v>207</v>
      </c>
      <c r="E26" s="201">
        <v>3945</v>
      </c>
      <c r="F26" s="202">
        <f>SUM(E26*12)</f>
        <v>47340</v>
      </c>
      <c r="G26" s="202">
        <v>5.33</v>
      </c>
      <c r="H26" s="203">
        <f>SUM(F26*G26/1000)</f>
        <v>252.32220000000001</v>
      </c>
      <c r="I26" s="18">
        <f>F26/12*G26</f>
        <v>21026.85</v>
      </c>
      <c r="J26" s="35"/>
    </row>
    <row r="27" spans="1:13" ht="15.75" customHeight="1">
      <c r="A27" s="245" t="s">
        <v>119</v>
      </c>
      <c r="B27" s="246"/>
      <c r="C27" s="246"/>
      <c r="D27" s="246"/>
      <c r="E27" s="246"/>
      <c r="F27" s="246"/>
      <c r="G27" s="246"/>
      <c r="H27" s="246"/>
      <c r="I27" s="247"/>
      <c r="J27" s="34"/>
      <c r="K27" s="8"/>
      <c r="L27" s="8"/>
      <c r="M27" s="8"/>
    </row>
    <row r="28" spans="1:13" ht="15.75" hidden="1" customHeight="1">
      <c r="A28" s="49"/>
      <c r="B28" s="224" t="s">
        <v>34</v>
      </c>
      <c r="C28" s="200"/>
      <c r="D28" s="199"/>
      <c r="E28" s="201"/>
      <c r="F28" s="202"/>
      <c r="G28" s="202"/>
      <c r="H28" s="203"/>
      <c r="I28" s="18"/>
      <c r="J28" s="34"/>
      <c r="K28" s="8"/>
      <c r="L28" s="8"/>
      <c r="M28" s="8"/>
    </row>
    <row r="29" spans="1:13" ht="31.5" hidden="1" customHeight="1">
      <c r="A29" s="49">
        <v>6</v>
      </c>
      <c r="B29" s="199" t="s">
        <v>160</v>
      </c>
      <c r="C29" s="200" t="s">
        <v>216</v>
      </c>
      <c r="D29" s="199" t="s">
        <v>217</v>
      </c>
      <c r="E29" s="202">
        <v>1044.6500000000001</v>
      </c>
      <c r="F29" s="202">
        <f>SUM(E29*52/1000)</f>
        <v>54.321800000000003</v>
      </c>
      <c r="G29" s="202">
        <v>166.65</v>
      </c>
      <c r="H29" s="203">
        <f t="shared" ref="H29:H35" si="1">SUM(F29*G29/1000)</f>
        <v>9.0527279700000012</v>
      </c>
      <c r="I29" s="18">
        <f>F29/6*G29</f>
        <v>1508.7879950000001</v>
      </c>
      <c r="J29" s="34"/>
      <c r="K29" s="8"/>
      <c r="L29" s="8"/>
      <c r="M29" s="8"/>
    </row>
    <row r="30" spans="1:13" ht="31.5" hidden="1" customHeight="1">
      <c r="A30" s="49">
        <v>7</v>
      </c>
      <c r="B30" s="199" t="s">
        <v>235</v>
      </c>
      <c r="C30" s="200" t="s">
        <v>161</v>
      </c>
      <c r="D30" s="199" t="s">
        <v>218</v>
      </c>
      <c r="E30" s="202">
        <v>116.93</v>
      </c>
      <c r="F30" s="202">
        <f>SUM(E30*78/1000)</f>
        <v>9.1205400000000001</v>
      </c>
      <c r="G30" s="202">
        <v>276.48</v>
      </c>
      <c r="H30" s="203">
        <f t="shared" si="1"/>
        <v>2.5216468991999998</v>
      </c>
      <c r="I30" s="18">
        <f t="shared" ref="I30:I33" si="2">F30/6*G30</f>
        <v>420.27448320000002</v>
      </c>
      <c r="J30" s="34"/>
      <c r="K30" s="8"/>
      <c r="L30" s="8"/>
      <c r="M30" s="8"/>
    </row>
    <row r="31" spans="1:13" ht="15.75" hidden="1" customHeight="1">
      <c r="A31" s="49"/>
      <c r="B31" s="199" t="s">
        <v>33</v>
      </c>
      <c r="C31" s="200" t="s">
        <v>161</v>
      </c>
      <c r="D31" s="199" t="s">
        <v>67</v>
      </c>
      <c r="E31" s="202">
        <v>1044.6500000000001</v>
      </c>
      <c r="F31" s="202">
        <f>SUM(E31/1000)</f>
        <v>1.0446500000000001</v>
      </c>
      <c r="G31" s="202">
        <v>3228.73</v>
      </c>
      <c r="H31" s="203">
        <f t="shared" si="1"/>
        <v>3.3728927945000007</v>
      </c>
      <c r="I31" s="18">
        <f>F31*G31</f>
        <v>3372.8927945000005</v>
      </c>
      <c r="J31" s="34"/>
      <c r="K31" s="8"/>
      <c r="L31" s="8"/>
      <c r="M31" s="8"/>
    </row>
    <row r="32" spans="1:13" ht="15.75" hidden="1" customHeight="1">
      <c r="A32" s="49">
        <v>8</v>
      </c>
      <c r="B32" s="199" t="s">
        <v>193</v>
      </c>
      <c r="C32" s="200" t="s">
        <v>50</v>
      </c>
      <c r="D32" s="199" t="s">
        <v>84</v>
      </c>
      <c r="E32" s="202">
        <v>6</v>
      </c>
      <c r="F32" s="202">
        <v>9.3000000000000007</v>
      </c>
      <c r="G32" s="202">
        <v>1391.86</v>
      </c>
      <c r="H32" s="203">
        <f>G32*F32/1000</f>
        <v>12.944298</v>
      </c>
      <c r="I32" s="18">
        <f t="shared" si="2"/>
        <v>2157.3829999999998</v>
      </c>
      <c r="J32" s="34"/>
      <c r="K32" s="8"/>
      <c r="L32" s="8"/>
      <c r="M32" s="8"/>
    </row>
    <row r="33" spans="1:14" ht="15.75" hidden="1" customHeight="1">
      <c r="A33" s="49">
        <v>9</v>
      </c>
      <c r="B33" s="199" t="s">
        <v>165</v>
      </c>
      <c r="C33" s="200" t="s">
        <v>37</v>
      </c>
      <c r="D33" s="199" t="s">
        <v>84</v>
      </c>
      <c r="E33" s="206">
        <v>0.33333333333333331</v>
      </c>
      <c r="F33" s="202">
        <f>155/3</f>
        <v>51.666666666666664</v>
      </c>
      <c r="G33" s="202">
        <v>60.6</v>
      </c>
      <c r="H33" s="203">
        <f>SUM(G33*155/3/1000)</f>
        <v>3.1309999999999998</v>
      </c>
      <c r="I33" s="18">
        <f t="shared" si="2"/>
        <v>521.83333333333337</v>
      </c>
      <c r="J33" s="34"/>
      <c r="K33" s="8"/>
      <c r="L33" s="8"/>
      <c r="M33" s="8"/>
    </row>
    <row r="34" spans="1:14" ht="15.75" hidden="1" customHeight="1">
      <c r="A34" s="49"/>
      <c r="B34" s="199" t="s">
        <v>86</v>
      </c>
      <c r="C34" s="200" t="s">
        <v>39</v>
      </c>
      <c r="D34" s="199" t="s">
        <v>88</v>
      </c>
      <c r="E34" s="201"/>
      <c r="F34" s="202">
        <v>3</v>
      </c>
      <c r="G34" s="202">
        <v>204.52</v>
      </c>
      <c r="H34" s="203">
        <f t="shared" si="1"/>
        <v>0.61356000000000011</v>
      </c>
      <c r="I34" s="18">
        <v>0</v>
      </c>
      <c r="J34" s="34"/>
      <c r="K34" s="8"/>
    </row>
    <row r="35" spans="1:14" ht="15.75" hidden="1" customHeight="1">
      <c r="A35" s="49"/>
      <c r="B35" s="199" t="s">
        <v>87</v>
      </c>
      <c r="C35" s="200" t="s">
        <v>38</v>
      </c>
      <c r="D35" s="199" t="s">
        <v>88</v>
      </c>
      <c r="E35" s="201"/>
      <c r="F35" s="202">
        <v>2</v>
      </c>
      <c r="G35" s="202">
        <v>1136.33</v>
      </c>
      <c r="H35" s="203">
        <f t="shared" si="1"/>
        <v>2.2726599999999997</v>
      </c>
      <c r="I35" s="18">
        <v>0</v>
      </c>
      <c r="J35" s="35"/>
    </row>
    <row r="36" spans="1:14" ht="15.75" customHeight="1">
      <c r="A36" s="49"/>
      <c r="B36" s="224" t="s">
        <v>5</v>
      </c>
      <c r="C36" s="200"/>
      <c r="D36" s="199"/>
      <c r="E36" s="201"/>
      <c r="F36" s="202"/>
      <c r="G36" s="202"/>
      <c r="H36" s="203" t="s">
        <v>207</v>
      </c>
      <c r="I36" s="18"/>
      <c r="J36" s="35"/>
    </row>
    <row r="37" spans="1:14" ht="15.75" customHeight="1">
      <c r="A37" s="49">
        <v>6</v>
      </c>
      <c r="B37" s="199" t="s">
        <v>31</v>
      </c>
      <c r="C37" s="200" t="s">
        <v>38</v>
      </c>
      <c r="D37" s="199"/>
      <c r="E37" s="201"/>
      <c r="F37" s="202">
        <v>8</v>
      </c>
      <c r="G37" s="202">
        <v>1632.6</v>
      </c>
      <c r="H37" s="203">
        <f t="shared" ref="H37:H44" si="3">SUM(F37*G37/1000)</f>
        <v>13.060799999999999</v>
      </c>
      <c r="I37" s="18">
        <f>F37/6*G37</f>
        <v>2176.7999999999997</v>
      </c>
      <c r="J37" s="35"/>
    </row>
    <row r="38" spans="1:14" ht="15.75" customHeight="1">
      <c r="A38" s="49">
        <v>7</v>
      </c>
      <c r="B38" s="199" t="s">
        <v>135</v>
      </c>
      <c r="C38" s="200" t="s">
        <v>35</v>
      </c>
      <c r="D38" s="199" t="s">
        <v>194</v>
      </c>
      <c r="E38" s="201">
        <v>477.19</v>
      </c>
      <c r="F38" s="202">
        <f>E38*12/1000</f>
        <v>5.72628</v>
      </c>
      <c r="G38" s="202">
        <v>2247.8000000000002</v>
      </c>
      <c r="H38" s="203">
        <f>G38*F38/1000</f>
        <v>12.871532184000001</v>
      </c>
      <c r="I38" s="18">
        <f>F38/6*G38</f>
        <v>2145.2553640000001</v>
      </c>
      <c r="J38" s="35"/>
    </row>
    <row r="39" spans="1:14" ht="15.75" customHeight="1">
      <c r="A39" s="49">
        <v>8</v>
      </c>
      <c r="B39" s="199" t="s">
        <v>167</v>
      </c>
      <c r="C39" s="200" t="s">
        <v>35</v>
      </c>
      <c r="D39" s="199" t="s">
        <v>166</v>
      </c>
      <c r="E39" s="201">
        <v>116.93</v>
      </c>
      <c r="F39" s="202">
        <f>E39*30/1000</f>
        <v>3.5079000000000002</v>
      </c>
      <c r="G39" s="202">
        <v>2247.8000000000002</v>
      </c>
      <c r="H39" s="203">
        <f>G39*F39/1000</f>
        <v>7.8850576200000013</v>
      </c>
      <c r="I39" s="18">
        <f>F39/6*G39</f>
        <v>1314.1762700000002</v>
      </c>
      <c r="J39" s="35"/>
    </row>
    <row r="40" spans="1:14" ht="15.75" hidden="1" customHeight="1">
      <c r="A40" s="49"/>
      <c r="B40" s="199" t="s">
        <v>169</v>
      </c>
      <c r="C40" s="200" t="s">
        <v>170</v>
      </c>
      <c r="D40" s="199" t="s">
        <v>88</v>
      </c>
      <c r="E40" s="201"/>
      <c r="F40" s="202">
        <v>135</v>
      </c>
      <c r="G40" s="202">
        <v>213.2</v>
      </c>
      <c r="H40" s="203">
        <f>G40*F40/1000</f>
        <v>28.782</v>
      </c>
      <c r="I40" s="18">
        <v>0</v>
      </c>
      <c r="J40" s="35"/>
      <c r="L40" s="27"/>
      <c r="M40" s="28"/>
      <c r="N40" s="29"/>
    </row>
    <row r="41" spans="1:14" ht="15.75" customHeight="1">
      <c r="A41" s="49">
        <v>9</v>
      </c>
      <c r="B41" s="199" t="s">
        <v>89</v>
      </c>
      <c r="C41" s="200" t="s">
        <v>35</v>
      </c>
      <c r="D41" s="199" t="s">
        <v>168</v>
      </c>
      <c r="E41" s="202">
        <v>116.93</v>
      </c>
      <c r="F41" s="202">
        <f>SUM(E41*155/1000)</f>
        <v>18.12415</v>
      </c>
      <c r="G41" s="202">
        <v>374.95</v>
      </c>
      <c r="H41" s="203">
        <f t="shared" si="3"/>
        <v>6.7956500424999993</v>
      </c>
      <c r="I41" s="18">
        <f>F41/6*G41</f>
        <v>1132.6083404166666</v>
      </c>
      <c r="J41" s="35"/>
      <c r="L41" s="27"/>
      <c r="M41" s="28"/>
      <c r="N41" s="29"/>
    </row>
    <row r="42" spans="1:14" ht="47.25" customHeight="1">
      <c r="A42" s="49">
        <v>10</v>
      </c>
      <c r="B42" s="199" t="s">
        <v>115</v>
      </c>
      <c r="C42" s="200" t="s">
        <v>161</v>
      </c>
      <c r="D42" s="199" t="s">
        <v>196</v>
      </c>
      <c r="E42" s="202">
        <v>116.93</v>
      </c>
      <c r="F42" s="202">
        <f>SUM(E42*24/1000)</f>
        <v>2.8063200000000004</v>
      </c>
      <c r="G42" s="202">
        <v>6203.71</v>
      </c>
      <c r="H42" s="203">
        <f t="shared" si="3"/>
        <v>17.409595447200001</v>
      </c>
      <c r="I42" s="18">
        <f>F42/6*G42</f>
        <v>2901.5992412000005</v>
      </c>
      <c r="J42" s="35"/>
      <c r="L42" s="27"/>
      <c r="M42" s="28"/>
      <c r="N42" s="29"/>
    </row>
    <row r="43" spans="1:14" ht="15.75" customHeight="1">
      <c r="A43" s="49">
        <v>11</v>
      </c>
      <c r="B43" s="199" t="s">
        <v>171</v>
      </c>
      <c r="C43" s="200" t="s">
        <v>161</v>
      </c>
      <c r="D43" s="199" t="s">
        <v>90</v>
      </c>
      <c r="E43" s="202">
        <v>116.93</v>
      </c>
      <c r="F43" s="202">
        <f>SUM(E43*45/1000)</f>
        <v>5.2618500000000008</v>
      </c>
      <c r="G43" s="202">
        <v>458.28</v>
      </c>
      <c r="H43" s="203">
        <f t="shared" si="3"/>
        <v>2.4114006180000001</v>
      </c>
      <c r="I43" s="18">
        <f>F43/6*G43</f>
        <v>401.90010300000006</v>
      </c>
      <c r="J43" s="35"/>
      <c r="L43" s="27"/>
      <c r="M43" s="28"/>
      <c r="N43" s="29"/>
    </row>
    <row r="44" spans="1:14" ht="15.75" customHeight="1">
      <c r="A44" s="49">
        <v>12</v>
      </c>
      <c r="B44" s="199" t="s">
        <v>91</v>
      </c>
      <c r="C44" s="200" t="s">
        <v>39</v>
      </c>
      <c r="D44" s="199"/>
      <c r="E44" s="201"/>
      <c r="F44" s="202">
        <v>0.9</v>
      </c>
      <c r="G44" s="202">
        <v>798</v>
      </c>
      <c r="H44" s="203">
        <f t="shared" si="3"/>
        <v>0.71820000000000006</v>
      </c>
      <c r="I44" s="18">
        <f>F44/6*G44</f>
        <v>119.69999999999999</v>
      </c>
      <c r="J44" s="35"/>
      <c r="L44" s="27"/>
      <c r="M44" s="28"/>
      <c r="N44" s="29"/>
    </row>
    <row r="45" spans="1:14" ht="15.75" customHeight="1">
      <c r="A45" s="245" t="s">
        <v>236</v>
      </c>
      <c r="B45" s="246"/>
      <c r="C45" s="246"/>
      <c r="D45" s="246"/>
      <c r="E45" s="246"/>
      <c r="F45" s="246"/>
      <c r="G45" s="246"/>
      <c r="H45" s="246"/>
      <c r="I45" s="247"/>
      <c r="J45" s="35"/>
      <c r="L45" s="27"/>
      <c r="M45" s="28"/>
      <c r="N45" s="29"/>
    </row>
    <row r="46" spans="1:14" ht="15.75" hidden="1" customHeight="1">
      <c r="A46" s="49"/>
      <c r="B46" s="199" t="s">
        <v>198</v>
      </c>
      <c r="C46" s="200" t="s">
        <v>161</v>
      </c>
      <c r="D46" s="199" t="s">
        <v>54</v>
      </c>
      <c r="E46" s="201">
        <v>1030.4000000000001</v>
      </c>
      <c r="F46" s="202">
        <f>SUM(E46*2/1000)</f>
        <v>2.0608</v>
      </c>
      <c r="G46" s="18">
        <v>908.1</v>
      </c>
      <c r="H46" s="203">
        <f t="shared" ref="H46:H55" si="4">SUM(F46*G46/1000)</f>
        <v>1.87141248</v>
      </c>
      <c r="I46" s="18">
        <v>0</v>
      </c>
      <c r="J46" s="35"/>
      <c r="L46" s="27"/>
      <c r="M46" s="28"/>
      <c r="N46" s="29"/>
    </row>
    <row r="47" spans="1:14" ht="15.75" hidden="1" customHeight="1">
      <c r="A47" s="49"/>
      <c r="B47" s="199" t="s">
        <v>43</v>
      </c>
      <c r="C47" s="200" t="s">
        <v>161</v>
      </c>
      <c r="D47" s="199" t="s">
        <v>54</v>
      </c>
      <c r="E47" s="201">
        <v>132</v>
      </c>
      <c r="F47" s="202">
        <f>E47*2/1000</f>
        <v>0.26400000000000001</v>
      </c>
      <c r="G47" s="18">
        <v>619.46</v>
      </c>
      <c r="H47" s="203">
        <f t="shared" si="4"/>
        <v>0.16353744000000001</v>
      </c>
      <c r="I47" s="18">
        <v>0</v>
      </c>
      <c r="J47" s="35"/>
      <c r="L47" s="27"/>
      <c r="M47" s="28"/>
      <c r="N47" s="29"/>
    </row>
    <row r="48" spans="1:14" ht="15.75" hidden="1" customHeight="1">
      <c r="A48" s="49"/>
      <c r="B48" s="199" t="s">
        <v>44</v>
      </c>
      <c r="C48" s="200" t="s">
        <v>161</v>
      </c>
      <c r="D48" s="199" t="s">
        <v>54</v>
      </c>
      <c r="E48" s="201">
        <v>4248.22</v>
      </c>
      <c r="F48" s="202">
        <f>SUM(E48*2/1000)</f>
        <v>8.4964399999999998</v>
      </c>
      <c r="G48" s="18">
        <v>619.46</v>
      </c>
      <c r="H48" s="203">
        <f t="shared" si="4"/>
        <v>5.2632047223999994</v>
      </c>
      <c r="I48" s="18">
        <v>0</v>
      </c>
      <c r="J48" s="35"/>
      <c r="L48" s="27"/>
      <c r="M48" s="28"/>
      <c r="N48" s="29"/>
    </row>
    <row r="49" spans="1:14" ht="15.75" hidden="1" customHeight="1">
      <c r="A49" s="49"/>
      <c r="B49" s="199" t="s">
        <v>45</v>
      </c>
      <c r="C49" s="200" t="s">
        <v>161</v>
      </c>
      <c r="D49" s="199" t="s">
        <v>54</v>
      </c>
      <c r="E49" s="201">
        <v>2163.66</v>
      </c>
      <c r="F49" s="202">
        <f>SUM(E49*2/1000)</f>
        <v>4.3273199999999994</v>
      </c>
      <c r="G49" s="18">
        <v>648.64</v>
      </c>
      <c r="H49" s="203">
        <f t="shared" si="4"/>
        <v>2.8068728447999995</v>
      </c>
      <c r="I49" s="18">
        <v>0</v>
      </c>
      <c r="J49" s="35"/>
      <c r="L49" s="27"/>
      <c r="M49" s="28"/>
      <c r="N49" s="29"/>
    </row>
    <row r="50" spans="1:14" ht="31.5" customHeight="1">
      <c r="A50" s="49">
        <v>13</v>
      </c>
      <c r="B50" s="199" t="s">
        <v>71</v>
      </c>
      <c r="C50" s="200" t="s">
        <v>161</v>
      </c>
      <c r="D50" s="199" t="s">
        <v>237</v>
      </c>
      <c r="E50" s="201">
        <v>1015.4</v>
      </c>
      <c r="F50" s="202">
        <f>SUM(E50*5/1000)</f>
        <v>5.077</v>
      </c>
      <c r="G50" s="18">
        <v>1297.28</v>
      </c>
      <c r="H50" s="203">
        <f t="shared" si="4"/>
        <v>6.5862905599999992</v>
      </c>
      <c r="I50" s="18">
        <f>F50/5*G50</f>
        <v>1317.258112</v>
      </c>
      <c r="J50" s="35"/>
      <c r="L50" s="27"/>
      <c r="M50" s="28"/>
      <c r="N50" s="29"/>
    </row>
    <row r="51" spans="1:14" ht="31.5" hidden="1" customHeight="1">
      <c r="A51" s="49"/>
      <c r="B51" s="199" t="s">
        <v>173</v>
      </c>
      <c r="C51" s="200" t="s">
        <v>161</v>
      </c>
      <c r="D51" s="199" t="s">
        <v>54</v>
      </c>
      <c r="E51" s="201">
        <v>1015.4</v>
      </c>
      <c r="F51" s="202">
        <f>SUM(E51*2/1000)</f>
        <v>2.0308000000000002</v>
      </c>
      <c r="G51" s="18">
        <v>1297.28</v>
      </c>
      <c r="H51" s="203">
        <f t="shared" si="4"/>
        <v>2.634516224</v>
      </c>
      <c r="I51" s="18">
        <v>0</v>
      </c>
      <c r="J51" s="35"/>
      <c r="L51" s="27"/>
      <c r="M51" s="28"/>
      <c r="N51" s="29"/>
    </row>
    <row r="52" spans="1:14" ht="31.5" hidden="1" customHeight="1">
      <c r="A52" s="49"/>
      <c r="B52" s="199" t="s">
        <v>174</v>
      </c>
      <c r="C52" s="200" t="s">
        <v>48</v>
      </c>
      <c r="D52" s="199" t="s">
        <v>54</v>
      </c>
      <c r="E52" s="201">
        <v>30</v>
      </c>
      <c r="F52" s="202">
        <f>SUM(E52*2/100)</f>
        <v>0.6</v>
      </c>
      <c r="G52" s="18">
        <v>2918.89</v>
      </c>
      <c r="H52" s="203">
        <f t="shared" si="4"/>
        <v>1.7513339999999997</v>
      </c>
      <c r="I52" s="18">
        <v>0</v>
      </c>
      <c r="J52" s="35"/>
      <c r="L52" s="27"/>
      <c r="M52" s="28"/>
      <c r="N52" s="29"/>
    </row>
    <row r="53" spans="1:14" ht="15.75" hidden="1" customHeight="1">
      <c r="A53" s="49"/>
      <c r="B53" s="199" t="s">
        <v>49</v>
      </c>
      <c r="C53" s="200" t="s">
        <v>50</v>
      </c>
      <c r="D53" s="199" t="s">
        <v>54</v>
      </c>
      <c r="E53" s="201">
        <v>1</v>
      </c>
      <c r="F53" s="202">
        <v>0.02</v>
      </c>
      <c r="G53" s="18">
        <v>6042.13</v>
      </c>
      <c r="H53" s="203">
        <f t="shared" si="4"/>
        <v>0.12084260000000001</v>
      </c>
      <c r="I53" s="18">
        <v>0</v>
      </c>
      <c r="J53" s="35"/>
      <c r="L53" s="27"/>
      <c r="M53" s="28"/>
      <c r="N53" s="29"/>
    </row>
    <row r="54" spans="1:14" ht="15.75" hidden="1" customHeight="1">
      <c r="A54" s="49">
        <v>14</v>
      </c>
      <c r="B54" s="199" t="s">
        <v>197</v>
      </c>
      <c r="C54" s="200" t="s">
        <v>144</v>
      </c>
      <c r="D54" s="199" t="s">
        <v>52</v>
      </c>
      <c r="E54" s="201">
        <v>90</v>
      </c>
      <c r="F54" s="202">
        <f>E54*4</f>
        <v>360</v>
      </c>
      <c r="G54" s="18">
        <v>150.86000000000001</v>
      </c>
      <c r="H54" s="203">
        <f>F54*G54/1000</f>
        <v>54.309600000000003</v>
      </c>
      <c r="I54" s="18">
        <f>G54*E54</f>
        <v>13577.400000000001</v>
      </c>
      <c r="J54" s="35"/>
      <c r="L54" s="27"/>
      <c r="M54" s="28"/>
      <c r="N54" s="29"/>
    </row>
    <row r="55" spans="1:14" ht="15.75" hidden="1" customHeight="1">
      <c r="A55" s="49">
        <v>15</v>
      </c>
      <c r="B55" s="199" t="s">
        <v>53</v>
      </c>
      <c r="C55" s="200" t="s">
        <v>144</v>
      </c>
      <c r="D55" s="199" t="s">
        <v>92</v>
      </c>
      <c r="E55" s="201">
        <v>180</v>
      </c>
      <c r="F55" s="202">
        <f>SUM(E55)*3</f>
        <v>540</v>
      </c>
      <c r="G55" s="18">
        <v>70.2</v>
      </c>
      <c r="H55" s="203">
        <f t="shared" si="4"/>
        <v>37.908000000000001</v>
      </c>
      <c r="I55" s="18">
        <f>G55*E55</f>
        <v>12636</v>
      </c>
      <c r="J55" s="35"/>
      <c r="L55" s="27"/>
      <c r="M55" s="28"/>
      <c r="N55" s="29"/>
    </row>
    <row r="56" spans="1:14" ht="15.75" customHeight="1">
      <c r="A56" s="245" t="s">
        <v>238</v>
      </c>
      <c r="B56" s="246"/>
      <c r="C56" s="246"/>
      <c r="D56" s="246"/>
      <c r="E56" s="246"/>
      <c r="F56" s="246"/>
      <c r="G56" s="246"/>
      <c r="H56" s="246"/>
      <c r="I56" s="247"/>
      <c r="J56" s="35"/>
      <c r="L56" s="27"/>
      <c r="M56" s="28"/>
      <c r="N56" s="29"/>
    </row>
    <row r="57" spans="1:14" ht="15.75" customHeight="1">
      <c r="A57" s="49"/>
      <c r="B57" s="224" t="s">
        <v>55</v>
      </c>
      <c r="C57" s="200"/>
      <c r="D57" s="199"/>
      <c r="E57" s="201"/>
      <c r="F57" s="202"/>
      <c r="G57" s="202"/>
      <c r="H57" s="203"/>
      <c r="I57" s="18"/>
      <c r="J57" s="35"/>
      <c r="L57" s="27"/>
      <c r="M57" s="28"/>
      <c r="N57" s="29"/>
    </row>
    <row r="58" spans="1:14" ht="31.5" customHeight="1">
      <c r="A58" s="49">
        <v>14</v>
      </c>
      <c r="B58" s="199" t="s">
        <v>199</v>
      </c>
      <c r="C58" s="200" t="s">
        <v>151</v>
      </c>
      <c r="D58" s="199" t="s">
        <v>175</v>
      </c>
      <c r="E58" s="201">
        <v>148.04</v>
      </c>
      <c r="F58" s="202">
        <f>SUM(E58*6/100)</f>
        <v>8.8824000000000005</v>
      </c>
      <c r="G58" s="18">
        <v>1654.04</v>
      </c>
      <c r="H58" s="203">
        <f>SUM(F58*G58/1000)</f>
        <v>14.691844896000001</v>
      </c>
      <c r="I58" s="18">
        <f>F58/6*G58</f>
        <v>2448.6408160000001</v>
      </c>
      <c r="J58" s="35"/>
      <c r="L58" s="27"/>
      <c r="M58" s="28"/>
      <c r="N58" s="29"/>
    </row>
    <row r="59" spans="1:14" ht="31.5" customHeight="1">
      <c r="A59" s="49">
        <v>15</v>
      </c>
      <c r="B59" s="199" t="s">
        <v>142</v>
      </c>
      <c r="C59" s="200" t="s">
        <v>151</v>
      </c>
      <c r="D59" s="199" t="s">
        <v>143</v>
      </c>
      <c r="E59" s="201">
        <v>39.700000000000003</v>
      </c>
      <c r="F59" s="202">
        <f>SUM(E59*12/100)</f>
        <v>4.7640000000000002</v>
      </c>
      <c r="G59" s="18">
        <v>1654.04</v>
      </c>
      <c r="H59" s="203">
        <f>SUM(F59*G59/1000)</f>
        <v>7.8798465599999998</v>
      </c>
      <c r="I59" s="18">
        <f>F59/6*G59</f>
        <v>1313.3077600000001</v>
      </c>
      <c r="J59" s="35"/>
      <c r="L59" s="27"/>
      <c r="M59" s="28"/>
      <c r="N59" s="29"/>
    </row>
    <row r="60" spans="1:14" ht="15.75" hidden="1" customHeight="1">
      <c r="A60" s="49">
        <v>18</v>
      </c>
      <c r="B60" s="208" t="s">
        <v>200</v>
      </c>
      <c r="C60" s="209" t="s">
        <v>201</v>
      </c>
      <c r="D60" s="208" t="s">
        <v>54</v>
      </c>
      <c r="E60" s="210">
        <v>8</v>
      </c>
      <c r="F60" s="211">
        <v>16</v>
      </c>
      <c r="G60" s="18">
        <v>193.25</v>
      </c>
      <c r="H60" s="212">
        <f>F60*G60/1000</f>
        <v>3.0920000000000001</v>
      </c>
      <c r="I60" s="18">
        <f>F60/2*G60</f>
        <v>1546</v>
      </c>
      <c r="J60" s="35"/>
      <c r="L60" s="27"/>
      <c r="M60" s="28"/>
      <c r="N60" s="29"/>
    </row>
    <row r="61" spans="1:14" ht="15.75" customHeight="1">
      <c r="A61" s="49">
        <v>16</v>
      </c>
      <c r="B61" s="199" t="s">
        <v>202</v>
      </c>
      <c r="C61" s="200" t="s">
        <v>151</v>
      </c>
      <c r="D61" s="199" t="s">
        <v>175</v>
      </c>
      <c r="E61" s="201">
        <v>41.73</v>
      </c>
      <c r="F61" s="202">
        <f>SUM(E61*6/100)</f>
        <v>2.5038</v>
      </c>
      <c r="G61" s="18">
        <v>1654.04</v>
      </c>
      <c r="H61" s="203">
        <f>SUM(F61*G61/1000)</f>
        <v>4.1413853520000004</v>
      </c>
      <c r="I61" s="18">
        <f>F61/6*G61</f>
        <v>690.23089200000004</v>
      </c>
      <c r="J61" s="35"/>
      <c r="L61" s="27"/>
      <c r="M61" s="28"/>
      <c r="N61" s="29"/>
    </row>
    <row r="62" spans="1:14" ht="15.75" customHeight="1">
      <c r="A62" s="49"/>
      <c r="B62" s="225" t="s">
        <v>56</v>
      </c>
      <c r="C62" s="209"/>
      <c r="D62" s="208"/>
      <c r="E62" s="210"/>
      <c r="F62" s="211"/>
      <c r="G62" s="18"/>
      <c r="H62" s="212"/>
      <c r="I62" s="18"/>
      <c r="J62" s="35"/>
      <c r="L62" s="27"/>
      <c r="M62" s="28"/>
      <c r="N62" s="29"/>
    </row>
    <row r="63" spans="1:14" ht="15.75" hidden="1" customHeight="1">
      <c r="A63" s="49"/>
      <c r="B63" s="208" t="s">
        <v>57</v>
      </c>
      <c r="C63" s="209" t="s">
        <v>66</v>
      </c>
      <c r="D63" s="208" t="s">
        <v>67</v>
      </c>
      <c r="E63" s="210">
        <v>1015.4</v>
      </c>
      <c r="F63" s="211">
        <v>10.154</v>
      </c>
      <c r="G63" s="18">
        <v>848.37</v>
      </c>
      <c r="H63" s="212">
        <f>F63*G63/1000</f>
        <v>8.6143489800000008</v>
      </c>
      <c r="I63" s="18">
        <v>0</v>
      </c>
      <c r="J63" s="35"/>
      <c r="L63" s="27"/>
      <c r="M63" s="28"/>
      <c r="N63" s="29"/>
    </row>
    <row r="64" spans="1:14" ht="15.75" customHeight="1">
      <c r="A64" s="49">
        <v>17</v>
      </c>
      <c r="B64" s="208" t="s">
        <v>146</v>
      </c>
      <c r="C64" s="209" t="s">
        <v>29</v>
      </c>
      <c r="D64" s="208" t="s">
        <v>36</v>
      </c>
      <c r="E64" s="210">
        <v>203.1</v>
      </c>
      <c r="F64" s="213">
        <f>E64*12</f>
        <v>2437.1999999999998</v>
      </c>
      <c r="G64" s="194">
        <v>2.6</v>
      </c>
      <c r="H64" s="211">
        <f>F64*G64/1000</f>
        <v>6.3367199999999997</v>
      </c>
      <c r="I64" s="18">
        <f>F64/12*G64</f>
        <v>528.06000000000006</v>
      </c>
      <c r="J64" s="35"/>
      <c r="L64" s="27"/>
      <c r="M64" s="28"/>
      <c r="N64" s="29"/>
    </row>
    <row r="65" spans="1:21" ht="15.75" hidden="1" customHeight="1">
      <c r="A65" s="49"/>
      <c r="B65" s="225" t="s">
        <v>58</v>
      </c>
      <c r="C65" s="209"/>
      <c r="D65" s="208"/>
      <c r="E65" s="210"/>
      <c r="F65" s="213"/>
      <c r="G65" s="213"/>
      <c r="H65" s="211" t="s">
        <v>207</v>
      </c>
      <c r="I65" s="18"/>
      <c r="J65" s="35"/>
      <c r="L65" s="27"/>
    </row>
    <row r="66" spans="1:21" ht="15.75" hidden="1" customHeight="1">
      <c r="A66" s="49"/>
      <c r="B66" s="20" t="s">
        <v>59</v>
      </c>
      <c r="C66" s="22" t="s">
        <v>144</v>
      </c>
      <c r="D66" s="20" t="s">
        <v>88</v>
      </c>
      <c r="E66" s="25">
        <v>10</v>
      </c>
      <c r="F66" s="202">
        <v>10</v>
      </c>
      <c r="G66" s="18">
        <v>237.75</v>
      </c>
      <c r="H66" s="214">
        <f t="shared" ref="H66:H79" si="5">SUM(F66*G66/1000)</f>
        <v>2.3774999999999999</v>
      </c>
      <c r="I66" s="18">
        <v>0</v>
      </c>
      <c r="J66" s="35"/>
      <c r="L66" s="27"/>
    </row>
    <row r="67" spans="1:21" ht="15.75" hidden="1" customHeight="1">
      <c r="A67" s="49"/>
      <c r="B67" s="20" t="s">
        <v>60</v>
      </c>
      <c r="C67" s="22" t="s">
        <v>144</v>
      </c>
      <c r="D67" s="20" t="s">
        <v>88</v>
      </c>
      <c r="E67" s="25">
        <v>5</v>
      </c>
      <c r="F67" s="202">
        <v>5</v>
      </c>
      <c r="G67" s="18">
        <v>81.510000000000005</v>
      </c>
      <c r="H67" s="214">
        <f t="shared" si="5"/>
        <v>0.40755000000000002</v>
      </c>
      <c r="I67" s="18">
        <v>0</v>
      </c>
      <c r="J67" s="35"/>
      <c r="L67" s="27"/>
    </row>
    <row r="68" spans="1:21" ht="15.75" hidden="1" customHeight="1">
      <c r="A68" s="49"/>
      <c r="B68" s="20" t="s">
        <v>61</v>
      </c>
      <c r="C68" s="22" t="s">
        <v>177</v>
      </c>
      <c r="D68" s="20" t="s">
        <v>67</v>
      </c>
      <c r="E68" s="201">
        <v>14205</v>
      </c>
      <c r="F68" s="18">
        <f>SUM(E68/100)</f>
        <v>142.05000000000001</v>
      </c>
      <c r="G68" s="18">
        <v>226.79</v>
      </c>
      <c r="H68" s="214">
        <f t="shared" si="5"/>
        <v>32.215519499999999</v>
      </c>
      <c r="I68" s="18">
        <v>0</v>
      </c>
    </row>
    <row r="69" spans="1:21" ht="15.75" hidden="1" customHeight="1">
      <c r="A69" s="49"/>
      <c r="B69" s="20" t="s">
        <v>62</v>
      </c>
      <c r="C69" s="22" t="s">
        <v>178</v>
      </c>
      <c r="D69" s="20" t="s">
        <v>67</v>
      </c>
      <c r="E69" s="201">
        <v>14205</v>
      </c>
      <c r="F69" s="18">
        <f>SUM(E69/1000)</f>
        <v>14.205</v>
      </c>
      <c r="G69" s="18">
        <v>176.61</v>
      </c>
      <c r="H69" s="214">
        <f t="shared" si="5"/>
        <v>2.5087450499999999</v>
      </c>
      <c r="I69" s="18">
        <v>0</v>
      </c>
      <c r="J69" s="40"/>
      <c r="K69" s="40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49"/>
      <c r="B70" s="20" t="s">
        <v>63</v>
      </c>
      <c r="C70" s="22" t="s">
        <v>98</v>
      </c>
      <c r="D70" s="20" t="s">
        <v>67</v>
      </c>
      <c r="E70" s="201">
        <v>2131</v>
      </c>
      <c r="F70" s="18">
        <f>SUM(E70/100)</f>
        <v>21.31</v>
      </c>
      <c r="G70" s="18">
        <v>2217.7800000000002</v>
      </c>
      <c r="H70" s="214">
        <f t="shared" si="5"/>
        <v>47.260891800000003</v>
      </c>
      <c r="I70" s="18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49"/>
      <c r="B71" s="215" t="s">
        <v>179</v>
      </c>
      <c r="C71" s="22" t="s">
        <v>39</v>
      </c>
      <c r="D71" s="20" t="s">
        <v>67</v>
      </c>
      <c r="E71" s="201">
        <v>12.48</v>
      </c>
      <c r="F71" s="18">
        <f>SUM(E71)</f>
        <v>12.48</v>
      </c>
      <c r="G71" s="18">
        <v>42.67</v>
      </c>
      <c r="H71" s="214">
        <f t="shared" si="5"/>
        <v>0.53252160000000004</v>
      </c>
      <c r="I71" s="18">
        <v>0</v>
      </c>
      <c r="J71" s="5"/>
      <c r="K71" s="5"/>
      <c r="L71" s="5"/>
      <c r="M71" s="5"/>
      <c r="N71" s="5"/>
      <c r="O71" s="5"/>
      <c r="P71" s="5"/>
      <c r="Q71" s="5"/>
      <c r="R71" s="248"/>
      <c r="S71" s="248"/>
      <c r="T71" s="248"/>
      <c r="U71" s="248"/>
    </row>
    <row r="72" spans="1:21" ht="15.75" hidden="1" customHeight="1">
      <c r="A72" s="49"/>
      <c r="B72" s="215" t="s">
        <v>180</v>
      </c>
      <c r="C72" s="22" t="s">
        <v>39</v>
      </c>
      <c r="D72" s="20" t="s">
        <v>67</v>
      </c>
      <c r="E72" s="201">
        <v>12.48</v>
      </c>
      <c r="F72" s="18">
        <f>SUM(E72)</f>
        <v>12.48</v>
      </c>
      <c r="G72" s="18">
        <v>39.81</v>
      </c>
      <c r="H72" s="214">
        <f t="shared" si="5"/>
        <v>0.49682880000000007</v>
      </c>
      <c r="I72" s="18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hidden="1" customHeight="1">
      <c r="A73" s="49"/>
      <c r="B73" s="20" t="s">
        <v>72</v>
      </c>
      <c r="C73" s="22" t="s">
        <v>73</v>
      </c>
      <c r="D73" s="20" t="s">
        <v>67</v>
      </c>
      <c r="E73" s="25">
        <v>5</v>
      </c>
      <c r="F73" s="202">
        <v>5</v>
      </c>
      <c r="G73" s="18">
        <v>53.32</v>
      </c>
      <c r="H73" s="214">
        <f t="shared" si="5"/>
        <v>0.2666</v>
      </c>
      <c r="I73" s="18">
        <v>0</v>
      </c>
    </row>
    <row r="74" spans="1:21" ht="15.75" hidden="1" customHeight="1">
      <c r="A74" s="49"/>
      <c r="B74" s="193" t="s">
        <v>93</v>
      </c>
      <c r="C74" s="22"/>
      <c r="D74" s="20"/>
      <c r="E74" s="25"/>
      <c r="F74" s="18"/>
      <c r="G74" s="18"/>
      <c r="H74" s="214" t="s">
        <v>207</v>
      </c>
      <c r="I74" s="18"/>
    </row>
    <row r="75" spans="1:21" ht="15.75" hidden="1" customHeight="1">
      <c r="A75" s="49"/>
      <c r="B75" s="20" t="s">
        <v>94</v>
      </c>
      <c r="C75" s="22" t="s">
        <v>96</v>
      </c>
      <c r="D75" s="20" t="s">
        <v>88</v>
      </c>
      <c r="E75" s="25">
        <v>2</v>
      </c>
      <c r="F75" s="18">
        <v>0.2</v>
      </c>
      <c r="G75" s="18">
        <v>536.23</v>
      </c>
      <c r="H75" s="214">
        <f t="shared" si="5"/>
        <v>0.10724600000000001</v>
      </c>
      <c r="I75" s="18">
        <f>G75*0.1</f>
        <v>53.623000000000005</v>
      </c>
    </row>
    <row r="76" spans="1:21" ht="15.75" hidden="1" customHeight="1">
      <c r="A76" s="49"/>
      <c r="B76" s="20" t="s">
        <v>95</v>
      </c>
      <c r="C76" s="22" t="s">
        <v>37</v>
      </c>
      <c r="D76" s="20" t="s">
        <v>88</v>
      </c>
      <c r="E76" s="25">
        <v>1</v>
      </c>
      <c r="F76" s="194">
        <v>1</v>
      </c>
      <c r="G76" s="18">
        <v>911.85</v>
      </c>
      <c r="H76" s="214">
        <f>F76*G76/1000</f>
        <v>0.91185000000000005</v>
      </c>
      <c r="I76" s="18">
        <v>0</v>
      </c>
    </row>
    <row r="77" spans="1:21" ht="15.75" hidden="1" customHeight="1">
      <c r="A77" s="49"/>
      <c r="B77" s="20" t="s">
        <v>203</v>
      </c>
      <c r="C77" s="22" t="s">
        <v>37</v>
      </c>
      <c r="D77" s="20" t="s">
        <v>88</v>
      </c>
      <c r="E77" s="25">
        <v>1</v>
      </c>
      <c r="F77" s="18">
        <v>1</v>
      </c>
      <c r="G77" s="18">
        <v>383.25</v>
      </c>
      <c r="H77" s="214">
        <f>G77*F77/1000</f>
        <v>0.38324999999999998</v>
      </c>
      <c r="I77" s="18">
        <v>0</v>
      </c>
    </row>
    <row r="78" spans="1:21" ht="15.75" hidden="1" customHeight="1">
      <c r="A78" s="49"/>
      <c r="B78" s="216" t="s">
        <v>97</v>
      </c>
      <c r="C78" s="22"/>
      <c r="D78" s="20"/>
      <c r="E78" s="25"/>
      <c r="F78" s="18"/>
      <c r="G78" s="18" t="s">
        <v>207</v>
      </c>
      <c r="H78" s="214" t="s">
        <v>207</v>
      </c>
      <c r="I78" s="18"/>
    </row>
    <row r="79" spans="1:21" ht="15.75" hidden="1" customHeight="1">
      <c r="A79" s="49"/>
      <c r="B79" s="86" t="s">
        <v>183</v>
      </c>
      <c r="C79" s="22" t="s">
        <v>98</v>
      </c>
      <c r="D79" s="20"/>
      <c r="E79" s="25"/>
      <c r="F79" s="18">
        <v>0.9</v>
      </c>
      <c r="G79" s="18">
        <v>2757.42</v>
      </c>
      <c r="H79" s="214">
        <f t="shared" si="5"/>
        <v>2.4816780000000005</v>
      </c>
      <c r="I79" s="18">
        <f>G79*F79</f>
        <v>2481.6780000000003</v>
      </c>
    </row>
    <row r="80" spans="1:21" ht="15.75" hidden="1" customHeight="1">
      <c r="A80" s="49"/>
      <c r="B80" s="193" t="s">
        <v>181</v>
      </c>
      <c r="C80" s="216"/>
      <c r="D80" s="54"/>
      <c r="E80" s="58"/>
      <c r="F80" s="205"/>
      <c r="G80" s="205"/>
      <c r="H80" s="217">
        <f>SUM(H58:H79)</f>
        <v>134.70632653799998</v>
      </c>
      <c r="I80" s="205"/>
    </row>
    <row r="81" spans="1:9" ht="15.75" hidden="1" customHeight="1">
      <c r="A81" s="226">
        <v>21</v>
      </c>
      <c r="B81" s="208" t="s">
        <v>182</v>
      </c>
      <c r="C81" s="227"/>
      <c r="D81" s="228"/>
      <c r="E81" s="195"/>
      <c r="F81" s="220">
        <v>1</v>
      </c>
      <c r="G81" s="220">
        <v>27901.200000000001</v>
      </c>
      <c r="H81" s="229">
        <f>G81*F81/1000</f>
        <v>27.901199999999999</v>
      </c>
      <c r="I81" s="220">
        <f>G81</f>
        <v>27901.200000000001</v>
      </c>
    </row>
    <row r="82" spans="1:9" ht="15.75" customHeight="1">
      <c r="A82" s="251" t="s">
        <v>239</v>
      </c>
      <c r="B82" s="252"/>
      <c r="C82" s="252"/>
      <c r="D82" s="252"/>
      <c r="E82" s="252"/>
      <c r="F82" s="252"/>
      <c r="G82" s="252"/>
      <c r="H82" s="252"/>
      <c r="I82" s="253"/>
    </row>
    <row r="83" spans="1:9" ht="15.75" customHeight="1">
      <c r="A83" s="230">
        <v>18</v>
      </c>
      <c r="B83" s="235" t="s">
        <v>184</v>
      </c>
      <c r="C83" s="231" t="s">
        <v>68</v>
      </c>
      <c r="D83" s="232" t="s">
        <v>69</v>
      </c>
      <c r="E83" s="233">
        <v>3945</v>
      </c>
      <c r="F83" s="233">
        <f>SUM(E83*12)</f>
        <v>47340</v>
      </c>
      <c r="G83" s="233">
        <v>2.2400000000000002</v>
      </c>
      <c r="H83" s="234">
        <f>SUM(F83*G83/1000)</f>
        <v>106.0416</v>
      </c>
      <c r="I83" s="233">
        <f>F83/12*G83</f>
        <v>8836.8000000000011</v>
      </c>
    </row>
    <row r="84" spans="1:9" ht="31.5" customHeight="1">
      <c r="A84" s="49">
        <v>19</v>
      </c>
      <c r="B84" s="20" t="s">
        <v>99</v>
      </c>
      <c r="C84" s="22"/>
      <c r="D84" s="232" t="s">
        <v>69</v>
      </c>
      <c r="E84" s="201">
        <f>E83</f>
        <v>3945</v>
      </c>
      <c r="F84" s="18">
        <f>E84*12</f>
        <v>47340</v>
      </c>
      <c r="G84" s="18">
        <v>1.74</v>
      </c>
      <c r="H84" s="214">
        <f>F84*G84/1000</f>
        <v>82.371600000000001</v>
      </c>
      <c r="I84" s="18">
        <f>F84/12*G84</f>
        <v>6864.3</v>
      </c>
    </row>
    <row r="85" spans="1:9" ht="15.75" customHeight="1">
      <c r="A85" s="49"/>
      <c r="B85" s="73" t="s">
        <v>105</v>
      </c>
      <c r="C85" s="75"/>
      <c r="D85" s="21"/>
      <c r="E85" s="21"/>
      <c r="F85" s="25"/>
      <c r="G85" s="31"/>
      <c r="H85" s="217">
        <f>H84</f>
        <v>82.371600000000001</v>
      </c>
      <c r="I85" s="58">
        <f>SUM(I16+I17+I18+I25+I26+I37+I38+I39+I41+I42+I43+I44+I50+I58+I59+I61+I64+I83+I84)</f>
        <v>67314.472257283327</v>
      </c>
    </row>
    <row r="86" spans="1:9" ht="15.75" customHeight="1">
      <c r="A86" s="49"/>
      <c r="B86" s="173" t="s">
        <v>76</v>
      </c>
      <c r="C86" s="173"/>
      <c r="D86" s="173"/>
      <c r="E86" s="173"/>
      <c r="F86" s="173"/>
      <c r="G86" s="31"/>
      <c r="H86" s="217" t="e">
        <f>SUM(H85+#REF!+H80+H56+#REF!+#REF!+H27)</f>
        <v>#REF!</v>
      </c>
      <c r="I86" s="173"/>
    </row>
    <row r="87" spans="1:9" ht="31.5" customHeight="1">
      <c r="A87" s="49">
        <v>20</v>
      </c>
      <c r="B87" s="218" t="s">
        <v>104</v>
      </c>
      <c r="C87" s="219" t="s">
        <v>144</v>
      </c>
      <c r="D87" s="20"/>
      <c r="E87" s="25"/>
      <c r="F87" s="18">
        <v>14</v>
      </c>
      <c r="G87" s="18">
        <v>79.09</v>
      </c>
      <c r="H87" s="18">
        <f t="shared" ref="H87:H92" si="6">G87*F87/1000</f>
        <v>1.1072599999999999</v>
      </c>
      <c r="I87" s="220">
        <f>G87</f>
        <v>79.09</v>
      </c>
    </row>
    <row r="88" spans="1:9" ht="15.75" customHeight="1">
      <c r="A88" s="49">
        <v>21</v>
      </c>
      <c r="B88" s="218" t="s">
        <v>221</v>
      </c>
      <c r="C88" s="219" t="s">
        <v>116</v>
      </c>
      <c r="D88" s="86"/>
      <c r="E88" s="18"/>
      <c r="F88" s="18">
        <v>2</v>
      </c>
      <c r="G88" s="18">
        <v>185.81</v>
      </c>
      <c r="H88" s="214">
        <f t="shared" si="6"/>
        <v>0.37162000000000001</v>
      </c>
      <c r="I88" s="220">
        <f t="shared" ref="I88:I90" si="7">G88</f>
        <v>185.81</v>
      </c>
    </row>
    <row r="89" spans="1:9" ht="31.5" customHeight="1">
      <c r="A89" s="49">
        <v>22</v>
      </c>
      <c r="B89" s="218" t="s">
        <v>132</v>
      </c>
      <c r="C89" s="219" t="s">
        <v>222</v>
      </c>
      <c r="D89" s="20"/>
      <c r="E89" s="25"/>
      <c r="F89" s="18">
        <v>2</v>
      </c>
      <c r="G89" s="18">
        <v>559.62</v>
      </c>
      <c r="H89" s="214">
        <f t="shared" si="6"/>
        <v>1.11924</v>
      </c>
      <c r="I89" s="220">
        <f t="shared" si="7"/>
        <v>559.62</v>
      </c>
    </row>
    <row r="90" spans="1:9" ht="15.75" customHeight="1">
      <c r="A90" s="49">
        <v>23</v>
      </c>
      <c r="B90" s="218" t="s">
        <v>223</v>
      </c>
      <c r="C90" s="219" t="s">
        <v>224</v>
      </c>
      <c r="D90" s="86"/>
      <c r="E90" s="18"/>
      <c r="F90" s="18">
        <v>1</v>
      </c>
      <c r="G90" s="18">
        <v>195.95</v>
      </c>
      <c r="H90" s="214">
        <f t="shared" si="6"/>
        <v>0.19594999999999999</v>
      </c>
      <c r="I90" s="220">
        <f t="shared" si="7"/>
        <v>195.95</v>
      </c>
    </row>
    <row r="91" spans="1:9" ht="31.5" customHeight="1">
      <c r="A91" s="49">
        <v>24</v>
      </c>
      <c r="B91" s="218" t="s">
        <v>114</v>
      </c>
      <c r="C91" s="219" t="s">
        <v>48</v>
      </c>
      <c r="D91" s="86"/>
      <c r="E91" s="18"/>
      <c r="F91" s="18">
        <v>0.09</v>
      </c>
      <c r="G91" s="18">
        <v>3397.65</v>
      </c>
      <c r="H91" s="214">
        <f t="shared" si="6"/>
        <v>0.30578850000000002</v>
      </c>
      <c r="I91" s="220">
        <f>G91*0.02</f>
        <v>67.953000000000003</v>
      </c>
    </row>
    <row r="92" spans="1:9" ht="15.75" customHeight="1">
      <c r="A92" s="49">
        <v>25</v>
      </c>
      <c r="B92" s="218" t="s">
        <v>225</v>
      </c>
      <c r="C92" s="219" t="s">
        <v>226</v>
      </c>
      <c r="D92" s="86"/>
      <c r="E92" s="18"/>
      <c r="F92" s="18">
        <f>1/100</f>
        <v>0.01</v>
      </c>
      <c r="G92" s="18">
        <v>7033.13</v>
      </c>
      <c r="H92" s="214">
        <f t="shared" si="6"/>
        <v>7.0331299999999999E-2</v>
      </c>
      <c r="I92" s="220">
        <f>G92*0.01</f>
        <v>70.331299999999999</v>
      </c>
    </row>
    <row r="93" spans="1:9">
      <c r="A93" s="49"/>
      <c r="B93" s="80" t="s">
        <v>64</v>
      </c>
      <c r="C93" s="76"/>
      <c r="D93" s="129"/>
      <c r="E93" s="76">
        <v>1</v>
      </c>
      <c r="F93" s="76"/>
      <c r="G93" s="76"/>
      <c r="H93" s="76"/>
      <c r="I93" s="58">
        <f>SUM(I87:I92)</f>
        <v>1158.7543000000001</v>
      </c>
    </row>
    <row r="94" spans="1:9" ht="16.5" customHeight="1">
      <c r="A94" s="49"/>
      <c r="B94" s="86" t="s">
        <v>100</v>
      </c>
      <c r="C94" s="21"/>
      <c r="D94" s="21"/>
      <c r="E94" s="77"/>
      <c r="F94" s="77"/>
      <c r="G94" s="78"/>
      <c r="H94" s="78"/>
      <c r="I94" s="24">
        <v>0</v>
      </c>
    </row>
    <row r="95" spans="1:9" ht="16.5" customHeight="1">
      <c r="A95" s="130"/>
      <c r="B95" s="81" t="s">
        <v>65</v>
      </c>
      <c r="C95" s="64"/>
      <c r="D95" s="64"/>
      <c r="E95" s="64"/>
      <c r="F95" s="64"/>
      <c r="G95" s="64"/>
      <c r="H95" s="64"/>
      <c r="I95" s="79">
        <f>I85+I93</f>
        <v>68473.226557283328</v>
      </c>
    </row>
    <row r="96" spans="1:9" ht="15.75" customHeight="1">
      <c r="A96" s="249" t="s">
        <v>243</v>
      </c>
      <c r="B96" s="249"/>
      <c r="C96" s="249"/>
      <c r="D96" s="249"/>
      <c r="E96" s="249"/>
      <c r="F96" s="249"/>
      <c r="G96" s="249"/>
      <c r="H96" s="249"/>
      <c r="I96" s="249"/>
    </row>
    <row r="97" spans="1:9" ht="15.75" customHeight="1">
      <c r="A97" s="190"/>
      <c r="B97" s="258" t="s">
        <v>244</v>
      </c>
      <c r="C97" s="258"/>
      <c r="D97" s="258"/>
      <c r="E97" s="258"/>
      <c r="F97" s="258"/>
      <c r="G97" s="258"/>
      <c r="H97" s="198"/>
      <c r="I97" s="3"/>
    </row>
    <row r="98" spans="1:9" ht="15.75" customHeight="1">
      <c r="A98" s="188"/>
      <c r="B98" s="255" t="s">
        <v>7</v>
      </c>
      <c r="C98" s="255"/>
      <c r="D98" s="255"/>
      <c r="E98" s="255"/>
      <c r="F98" s="255"/>
      <c r="G98" s="255"/>
      <c r="H98" s="39"/>
      <c r="I98" s="5"/>
    </row>
    <row r="99" spans="1:9" ht="15.75" customHeight="1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5.75">
      <c r="A100" s="259" t="s">
        <v>8</v>
      </c>
      <c r="B100" s="259"/>
      <c r="C100" s="259"/>
      <c r="D100" s="259"/>
      <c r="E100" s="259"/>
      <c r="F100" s="259"/>
      <c r="G100" s="259"/>
      <c r="H100" s="259"/>
      <c r="I100" s="259"/>
    </row>
    <row r="101" spans="1:9" ht="15.75">
      <c r="A101" s="259" t="s">
        <v>9</v>
      </c>
      <c r="B101" s="259"/>
      <c r="C101" s="259"/>
      <c r="D101" s="259"/>
      <c r="E101" s="259"/>
      <c r="F101" s="259"/>
      <c r="G101" s="259"/>
      <c r="H101" s="259"/>
      <c r="I101" s="259"/>
    </row>
    <row r="102" spans="1:9" ht="15.75">
      <c r="A102" s="242" t="s">
        <v>79</v>
      </c>
      <c r="B102" s="242"/>
      <c r="C102" s="242"/>
      <c r="D102" s="242"/>
      <c r="E102" s="242"/>
      <c r="F102" s="242"/>
      <c r="G102" s="242"/>
      <c r="H102" s="242"/>
      <c r="I102" s="242"/>
    </row>
    <row r="103" spans="1:9" ht="15.75">
      <c r="A103" s="12"/>
    </row>
    <row r="104" spans="1:9" ht="15.75">
      <c r="A104" s="243" t="s">
        <v>11</v>
      </c>
      <c r="B104" s="243"/>
      <c r="C104" s="243"/>
      <c r="D104" s="243"/>
      <c r="E104" s="243"/>
      <c r="F104" s="243"/>
      <c r="G104" s="243"/>
      <c r="H104" s="243"/>
      <c r="I104" s="243"/>
    </row>
    <row r="105" spans="1:9" ht="15.75">
      <c r="A105" s="4"/>
    </row>
    <row r="106" spans="1:9" ht="15.75">
      <c r="B106" s="189" t="s">
        <v>12</v>
      </c>
      <c r="C106" s="254" t="s">
        <v>187</v>
      </c>
      <c r="D106" s="254"/>
      <c r="E106" s="254"/>
      <c r="F106" s="196"/>
      <c r="I106" s="192"/>
    </row>
    <row r="107" spans="1:9">
      <c r="A107" s="188"/>
      <c r="C107" s="255" t="s">
        <v>13</v>
      </c>
      <c r="D107" s="255"/>
      <c r="E107" s="255"/>
      <c r="F107" s="39"/>
      <c r="I107" s="191" t="s">
        <v>14</v>
      </c>
    </row>
    <row r="108" spans="1:9" ht="15.75">
      <c r="A108" s="40"/>
      <c r="C108" s="13"/>
      <c r="D108" s="13"/>
      <c r="G108" s="13"/>
      <c r="H108" s="13"/>
    </row>
    <row r="109" spans="1:9" ht="15.75">
      <c r="B109" s="189" t="s">
        <v>15</v>
      </c>
      <c r="C109" s="256"/>
      <c r="D109" s="256"/>
      <c r="E109" s="256"/>
      <c r="F109" s="197"/>
      <c r="I109" s="192"/>
    </row>
    <row r="110" spans="1:9">
      <c r="A110" s="188"/>
      <c r="C110" s="248" t="s">
        <v>13</v>
      </c>
      <c r="D110" s="248"/>
      <c r="E110" s="248"/>
      <c r="F110" s="188"/>
      <c r="I110" s="191" t="s">
        <v>14</v>
      </c>
    </row>
    <row r="111" spans="1:9" ht="15.75">
      <c r="A111" s="4" t="s">
        <v>16</v>
      </c>
    </row>
    <row r="112" spans="1:9">
      <c r="A112" s="257" t="s">
        <v>17</v>
      </c>
      <c r="B112" s="257"/>
      <c r="C112" s="257"/>
      <c r="D112" s="257"/>
      <c r="E112" s="257"/>
      <c r="F112" s="257"/>
      <c r="G112" s="257"/>
      <c r="H112" s="257"/>
      <c r="I112" s="257"/>
    </row>
    <row r="113" spans="1:9" ht="47.25" customHeight="1">
      <c r="A113" s="250" t="s">
        <v>18</v>
      </c>
      <c r="B113" s="250"/>
      <c r="C113" s="250"/>
      <c r="D113" s="250"/>
      <c r="E113" s="250"/>
      <c r="F113" s="250"/>
      <c r="G113" s="250"/>
      <c r="H113" s="250"/>
      <c r="I113" s="250"/>
    </row>
    <row r="114" spans="1:9" ht="31.5" customHeight="1">
      <c r="A114" s="250" t="s">
        <v>19</v>
      </c>
      <c r="B114" s="250"/>
      <c r="C114" s="250"/>
      <c r="D114" s="250"/>
      <c r="E114" s="250"/>
      <c r="F114" s="250"/>
      <c r="G114" s="250"/>
      <c r="H114" s="250"/>
      <c r="I114" s="250"/>
    </row>
    <row r="115" spans="1:9" ht="31.5" customHeight="1">
      <c r="A115" s="250" t="s">
        <v>24</v>
      </c>
      <c r="B115" s="250"/>
      <c r="C115" s="250"/>
      <c r="D115" s="250"/>
      <c r="E115" s="250"/>
      <c r="F115" s="250"/>
      <c r="G115" s="250"/>
      <c r="H115" s="250"/>
      <c r="I115" s="250"/>
    </row>
    <row r="116" spans="1:9" ht="15.75">
      <c r="A116" s="250" t="s">
        <v>23</v>
      </c>
      <c r="B116" s="250"/>
      <c r="C116" s="250"/>
      <c r="D116" s="250"/>
      <c r="E116" s="250"/>
      <c r="F116" s="250"/>
      <c r="G116" s="250"/>
      <c r="H116" s="250"/>
      <c r="I116" s="250"/>
    </row>
  </sheetData>
  <autoFilter ref="I12:I67"/>
  <mergeCells count="28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7:I27"/>
    <mergeCell ref="A45:I45"/>
    <mergeCell ref="A56:I56"/>
    <mergeCell ref="A96:I96"/>
    <mergeCell ref="B97:G97"/>
    <mergeCell ref="B98:G98"/>
    <mergeCell ref="A100:I100"/>
    <mergeCell ref="A101:I101"/>
    <mergeCell ref="R71:U71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14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4" t="s">
        <v>122</v>
      </c>
      <c r="I1" s="43"/>
      <c r="J1" s="1"/>
      <c r="K1" s="1"/>
      <c r="L1" s="1"/>
      <c r="M1" s="1"/>
    </row>
    <row r="2" spans="1:13" ht="15.75">
      <c r="A2" s="45" t="s">
        <v>83</v>
      </c>
      <c r="J2" s="2"/>
      <c r="K2" s="2"/>
      <c r="L2" s="2"/>
      <c r="M2" s="2"/>
    </row>
    <row r="3" spans="1:13" ht="15.75" customHeight="1">
      <c r="A3" s="237" t="s">
        <v>245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188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108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187"/>
      <c r="C6" s="187"/>
      <c r="D6" s="187"/>
      <c r="E6" s="187"/>
      <c r="F6" s="187"/>
      <c r="G6" s="187"/>
      <c r="H6" s="187"/>
      <c r="I6" s="53">
        <v>42460</v>
      </c>
      <c r="J6" s="2"/>
      <c r="K6" s="2"/>
      <c r="L6" s="2"/>
      <c r="M6" s="2"/>
    </row>
    <row r="7" spans="1:13" ht="15.75">
      <c r="B7" s="189"/>
      <c r="C7" s="189"/>
      <c r="D7" s="18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271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189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6" t="s">
        <v>74</v>
      </c>
      <c r="B14" s="236"/>
      <c r="C14" s="236"/>
      <c r="D14" s="236"/>
      <c r="E14" s="236"/>
      <c r="F14" s="236"/>
      <c r="G14" s="236"/>
      <c r="H14" s="236"/>
      <c r="I14" s="236"/>
      <c r="J14" s="8"/>
      <c r="K14" s="8"/>
      <c r="L14" s="8"/>
      <c r="M14" s="8"/>
    </row>
    <row r="15" spans="1:13">
      <c r="A15" s="244" t="s">
        <v>4</v>
      </c>
      <c r="B15" s="244"/>
      <c r="C15" s="244"/>
      <c r="D15" s="244"/>
      <c r="E15" s="244"/>
      <c r="F15" s="244"/>
      <c r="G15" s="244"/>
      <c r="H15" s="244"/>
      <c r="I15" s="244"/>
      <c r="J15" s="8"/>
      <c r="K15" s="8"/>
      <c r="L15" s="8"/>
      <c r="M15" s="8"/>
    </row>
    <row r="16" spans="1:13" ht="31.5" customHeight="1">
      <c r="A16" s="49">
        <v>1</v>
      </c>
      <c r="B16" s="199" t="s">
        <v>124</v>
      </c>
      <c r="C16" s="200" t="s">
        <v>151</v>
      </c>
      <c r="D16" s="199" t="s">
        <v>190</v>
      </c>
      <c r="E16" s="201">
        <v>95.04</v>
      </c>
      <c r="F16" s="202">
        <f>SUM(E16*156/100)</f>
        <v>148.26240000000001</v>
      </c>
      <c r="G16" s="202">
        <v>187.48</v>
      </c>
      <c r="H16" s="203">
        <f t="shared" ref="H16:H24" si="0">SUM(F16*G16/1000)</f>
        <v>27.796234752</v>
      </c>
      <c r="I16" s="18">
        <f>F16/12*G16</f>
        <v>2316.3528960000003</v>
      </c>
      <c r="J16" s="8"/>
      <c r="K16" s="8"/>
      <c r="L16" s="8"/>
      <c r="M16" s="8"/>
    </row>
    <row r="17" spans="1:13" ht="31.5" customHeight="1">
      <c r="A17" s="49">
        <v>2</v>
      </c>
      <c r="B17" s="199" t="s">
        <v>147</v>
      </c>
      <c r="C17" s="200" t="s">
        <v>151</v>
      </c>
      <c r="D17" s="199" t="s">
        <v>191</v>
      </c>
      <c r="E17" s="201">
        <v>380.16</v>
      </c>
      <c r="F17" s="202">
        <f>SUM(E17*104/100)</f>
        <v>395.3664</v>
      </c>
      <c r="G17" s="202">
        <v>187.48</v>
      </c>
      <c r="H17" s="203">
        <f t="shared" si="0"/>
        <v>74.123292671999991</v>
      </c>
      <c r="I17" s="18">
        <f>F17/12*G17</f>
        <v>6176.9410559999997</v>
      </c>
      <c r="J17" s="34"/>
      <c r="K17" s="8"/>
      <c r="L17" s="8"/>
      <c r="M17" s="8"/>
    </row>
    <row r="18" spans="1:13" ht="31.5" customHeight="1">
      <c r="A18" s="49">
        <v>3</v>
      </c>
      <c r="B18" s="199" t="s">
        <v>148</v>
      </c>
      <c r="C18" s="200" t="s">
        <v>151</v>
      </c>
      <c r="D18" s="199" t="s">
        <v>192</v>
      </c>
      <c r="E18" s="201">
        <f>SUM(E16+E17)</f>
        <v>475.20000000000005</v>
      </c>
      <c r="F18" s="202">
        <f>SUM(E18*24/100)</f>
        <v>114.04800000000002</v>
      </c>
      <c r="G18" s="202">
        <v>539.30999999999995</v>
      </c>
      <c r="H18" s="203">
        <f t="shared" si="0"/>
        <v>61.507226880000005</v>
      </c>
      <c r="I18" s="18">
        <f>F18/12*G18</f>
        <v>5125.6022400000002</v>
      </c>
      <c r="J18" s="34"/>
      <c r="K18" s="8"/>
      <c r="L18" s="8"/>
      <c r="M18" s="8"/>
    </row>
    <row r="19" spans="1:13" ht="15.75" hidden="1" customHeight="1">
      <c r="A19" s="49">
        <v>4</v>
      </c>
      <c r="B19" s="199" t="s">
        <v>152</v>
      </c>
      <c r="C19" s="200" t="s">
        <v>153</v>
      </c>
      <c r="D19" s="199" t="s">
        <v>154</v>
      </c>
      <c r="E19" s="201">
        <v>93.4</v>
      </c>
      <c r="F19" s="202">
        <f>SUM(E19/10)</f>
        <v>9.34</v>
      </c>
      <c r="G19" s="202">
        <v>181.9</v>
      </c>
      <c r="H19" s="203">
        <f t="shared" si="0"/>
        <v>1.6989460000000001</v>
      </c>
      <c r="I19" s="18">
        <v>0</v>
      </c>
      <c r="J19" s="34"/>
      <c r="K19" s="8"/>
      <c r="L19" s="8"/>
      <c r="M19" s="8"/>
    </row>
    <row r="20" spans="1:13" ht="15.75" hidden="1" customHeight="1">
      <c r="A20" s="49"/>
      <c r="B20" s="199" t="s">
        <v>155</v>
      </c>
      <c r="C20" s="200" t="s">
        <v>151</v>
      </c>
      <c r="D20" s="199" t="s">
        <v>54</v>
      </c>
      <c r="E20" s="201">
        <v>43.2</v>
      </c>
      <c r="F20" s="202">
        <f>SUM(E20*2/100)</f>
        <v>0.8640000000000001</v>
      </c>
      <c r="G20" s="202">
        <v>232.91</v>
      </c>
      <c r="H20" s="203">
        <f t="shared" si="0"/>
        <v>0.20123424000000004</v>
      </c>
      <c r="I20" s="18">
        <v>0</v>
      </c>
      <c r="J20" s="34"/>
      <c r="K20" s="8"/>
      <c r="L20" s="8"/>
      <c r="M20" s="8"/>
    </row>
    <row r="21" spans="1:13" ht="15.75" hidden="1" customHeight="1">
      <c r="A21" s="49"/>
      <c r="B21" s="199" t="s">
        <v>156</v>
      </c>
      <c r="C21" s="200" t="s">
        <v>151</v>
      </c>
      <c r="D21" s="199" t="s">
        <v>54</v>
      </c>
      <c r="E21" s="201">
        <v>10.08</v>
      </c>
      <c r="F21" s="202">
        <f>SUM(E21*2/100)</f>
        <v>0.2016</v>
      </c>
      <c r="G21" s="202">
        <v>231.03</v>
      </c>
      <c r="H21" s="203">
        <f t="shared" si="0"/>
        <v>4.6575648000000004E-2</v>
      </c>
      <c r="I21" s="18">
        <v>0</v>
      </c>
      <c r="J21" s="34"/>
      <c r="K21" s="8"/>
      <c r="L21" s="8"/>
      <c r="M21" s="8"/>
    </row>
    <row r="22" spans="1:13" ht="15.75" hidden="1" customHeight="1">
      <c r="A22" s="49"/>
      <c r="B22" s="199" t="s">
        <v>157</v>
      </c>
      <c r="C22" s="200" t="s">
        <v>66</v>
      </c>
      <c r="D22" s="199" t="s">
        <v>154</v>
      </c>
      <c r="E22" s="201">
        <v>642.6</v>
      </c>
      <c r="F22" s="202">
        <f>SUM(E22/100)</f>
        <v>6.4260000000000002</v>
      </c>
      <c r="G22" s="202">
        <v>287.83999999999997</v>
      </c>
      <c r="H22" s="203">
        <f t="shared" si="0"/>
        <v>1.8496598399999997</v>
      </c>
      <c r="I22" s="18">
        <v>0</v>
      </c>
      <c r="J22" s="34"/>
      <c r="K22" s="8"/>
      <c r="L22" s="8"/>
      <c r="M22" s="8"/>
    </row>
    <row r="23" spans="1:13" ht="15.75" hidden="1" customHeight="1">
      <c r="A23" s="49"/>
      <c r="B23" s="199" t="s">
        <v>158</v>
      </c>
      <c r="C23" s="200" t="s">
        <v>66</v>
      </c>
      <c r="D23" s="199" t="s">
        <v>154</v>
      </c>
      <c r="E23" s="204">
        <v>35.28</v>
      </c>
      <c r="F23" s="202">
        <f>SUM(E23/100)</f>
        <v>0.3528</v>
      </c>
      <c r="G23" s="202">
        <v>47.35</v>
      </c>
      <c r="H23" s="203">
        <f t="shared" si="0"/>
        <v>1.6705080000000004E-2</v>
      </c>
      <c r="I23" s="18">
        <v>0</v>
      </c>
      <c r="J23" s="34"/>
      <c r="K23" s="8"/>
      <c r="L23" s="8"/>
      <c r="M23" s="8"/>
    </row>
    <row r="24" spans="1:13" ht="15.75" hidden="1" customHeight="1">
      <c r="A24" s="49"/>
      <c r="B24" s="199" t="s">
        <v>159</v>
      </c>
      <c r="C24" s="200" t="s">
        <v>66</v>
      </c>
      <c r="D24" s="199" t="s">
        <v>154</v>
      </c>
      <c r="E24" s="201">
        <v>28.8</v>
      </c>
      <c r="F24" s="202">
        <f>SUM(E24/100)</f>
        <v>0.28800000000000003</v>
      </c>
      <c r="G24" s="202">
        <v>556.74</v>
      </c>
      <c r="H24" s="203">
        <f t="shared" si="0"/>
        <v>0.16034112000000003</v>
      </c>
      <c r="I24" s="18">
        <v>0</v>
      </c>
      <c r="J24" s="34"/>
      <c r="K24" s="8"/>
      <c r="L24" s="8"/>
      <c r="M24" s="8"/>
    </row>
    <row r="25" spans="1:13" ht="15.75" customHeight="1">
      <c r="A25" s="49">
        <v>4</v>
      </c>
      <c r="B25" s="199" t="s">
        <v>85</v>
      </c>
      <c r="C25" s="200" t="s">
        <v>39</v>
      </c>
      <c r="D25" s="199" t="s">
        <v>219</v>
      </c>
      <c r="E25" s="201">
        <v>0.1</v>
      </c>
      <c r="F25" s="202">
        <f>SUM(E25*365)</f>
        <v>36.5</v>
      </c>
      <c r="G25" s="202">
        <v>157.18</v>
      </c>
      <c r="H25" s="203">
        <f>SUM(F25*G25/1000)</f>
        <v>5.737070000000001</v>
      </c>
      <c r="I25" s="18">
        <f>F25/12*G25</f>
        <v>478.08916666666664</v>
      </c>
      <c r="J25" s="34"/>
      <c r="K25" s="8"/>
      <c r="L25" s="8"/>
      <c r="M25" s="8"/>
    </row>
    <row r="26" spans="1:13" ht="15.75" customHeight="1">
      <c r="A26" s="49">
        <v>5</v>
      </c>
      <c r="B26" s="207" t="s">
        <v>26</v>
      </c>
      <c r="C26" s="200" t="s">
        <v>27</v>
      </c>
      <c r="D26" s="207" t="s">
        <v>207</v>
      </c>
      <c r="E26" s="201">
        <v>3945</v>
      </c>
      <c r="F26" s="202">
        <f>SUM(E26*12)</f>
        <v>47340</v>
      </c>
      <c r="G26" s="202">
        <v>5.33</v>
      </c>
      <c r="H26" s="203">
        <f>SUM(F26*G26/1000)</f>
        <v>252.32220000000001</v>
      </c>
      <c r="I26" s="18">
        <f>F26/12*G26</f>
        <v>21026.85</v>
      </c>
      <c r="J26" s="35"/>
    </row>
    <row r="27" spans="1:13" ht="15.75" customHeight="1">
      <c r="A27" s="245" t="s">
        <v>119</v>
      </c>
      <c r="B27" s="246"/>
      <c r="C27" s="246"/>
      <c r="D27" s="246"/>
      <c r="E27" s="246"/>
      <c r="F27" s="246"/>
      <c r="G27" s="246"/>
      <c r="H27" s="246"/>
      <c r="I27" s="247"/>
      <c r="J27" s="34"/>
      <c r="K27" s="8"/>
      <c r="L27" s="8"/>
      <c r="M27" s="8"/>
    </row>
    <row r="28" spans="1:13" ht="15.75" hidden="1" customHeight="1">
      <c r="A28" s="49"/>
      <c r="B28" s="224" t="s">
        <v>34</v>
      </c>
      <c r="C28" s="200"/>
      <c r="D28" s="199"/>
      <c r="E28" s="201"/>
      <c r="F28" s="202"/>
      <c r="G28" s="202"/>
      <c r="H28" s="203"/>
      <c r="I28" s="18"/>
      <c r="J28" s="34"/>
      <c r="K28" s="8"/>
      <c r="L28" s="8"/>
      <c r="M28" s="8"/>
    </row>
    <row r="29" spans="1:13" ht="31.5" hidden="1" customHeight="1">
      <c r="A29" s="49">
        <v>6</v>
      </c>
      <c r="B29" s="199" t="s">
        <v>160</v>
      </c>
      <c r="C29" s="200" t="s">
        <v>216</v>
      </c>
      <c r="D29" s="199" t="s">
        <v>217</v>
      </c>
      <c r="E29" s="202">
        <v>1044.6500000000001</v>
      </c>
      <c r="F29" s="202">
        <f>SUM(E29*52/1000)</f>
        <v>54.321800000000003</v>
      </c>
      <c r="G29" s="202">
        <v>166.65</v>
      </c>
      <c r="H29" s="203">
        <f t="shared" ref="H29:H35" si="1">SUM(F29*G29/1000)</f>
        <v>9.0527279700000012</v>
      </c>
      <c r="I29" s="18">
        <f>F29/6*G29</f>
        <v>1508.7879950000001</v>
      </c>
      <c r="J29" s="34"/>
      <c r="K29" s="8"/>
      <c r="L29" s="8"/>
      <c r="M29" s="8"/>
    </row>
    <row r="30" spans="1:13" ht="31.5" hidden="1" customHeight="1">
      <c r="A30" s="49">
        <v>7</v>
      </c>
      <c r="B30" s="199" t="s">
        <v>235</v>
      </c>
      <c r="C30" s="200" t="s">
        <v>161</v>
      </c>
      <c r="D30" s="199" t="s">
        <v>218</v>
      </c>
      <c r="E30" s="202">
        <v>116.93</v>
      </c>
      <c r="F30" s="202">
        <f>SUM(E30*78/1000)</f>
        <v>9.1205400000000001</v>
      </c>
      <c r="G30" s="202">
        <v>276.48</v>
      </c>
      <c r="H30" s="203">
        <f t="shared" si="1"/>
        <v>2.5216468991999998</v>
      </c>
      <c r="I30" s="18">
        <f t="shared" ref="I30:I33" si="2">F30/6*G30</f>
        <v>420.27448320000002</v>
      </c>
      <c r="J30" s="34"/>
      <c r="K30" s="8"/>
      <c r="L30" s="8"/>
      <c r="M30" s="8"/>
    </row>
    <row r="31" spans="1:13" ht="15.75" hidden="1" customHeight="1">
      <c r="A31" s="49"/>
      <c r="B31" s="199" t="s">
        <v>33</v>
      </c>
      <c r="C31" s="200" t="s">
        <v>161</v>
      </c>
      <c r="D31" s="199" t="s">
        <v>67</v>
      </c>
      <c r="E31" s="202">
        <v>1044.6500000000001</v>
      </c>
      <c r="F31" s="202">
        <f>SUM(E31/1000)</f>
        <v>1.0446500000000001</v>
      </c>
      <c r="G31" s="202">
        <v>3228.73</v>
      </c>
      <c r="H31" s="203">
        <f t="shared" si="1"/>
        <v>3.3728927945000007</v>
      </c>
      <c r="I31" s="18">
        <f>F31*G31</f>
        <v>3372.8927945000005</v>
      </c>
      <c r="J31" s="34"/>
      <c r="K31" s="8"/>
      <c r="L31" s="8"/>
      <c r="M31" s="8"/>
    </row>
    <row r="32" spans="1:13" ht="15.75" hidden="1" customHeight="1">
      <c r="A32" s="49">
        <v>8</v>
      </c>
      <c r="B32" s="199" t="s">
        <v>193</v>
      </c>
      <c r="C32" s="200" t="s">
        <v>50</v>
      </c>
      <c r="D32" s="199" t="s">
        <v>84</v>
      </c>
      <c r="E32" s="202">
        <v>6</v>
      </c>
      <c r="F32" s="202">
        <v>9.3000000000000007</v>
      </c>
      <c r="G32" s="202">
        <v>1391.86</v>
      </c>
      <c r="H32" s="203">
        <f>G32*F32/1000</f>
        <v>12.944298</v>
      </c>
      <c r="I32" s="18">
        <f t="shared" si="2"/>
        <v>2157.3829999999998</v>
      </c>
      <c r="J32" s="34"/>
      <c r="K32" s="8"/>
      <c r="L32" s="8"/>
      <c r="M32" s="8"/>
    </row>
    <row r="33" spans="1:14" ht="15.75" hidden="1" customHeight="1">
      <c r="A33" s="49">
        <v>9</v>
      </c>
      <c r="B33" s="199" t="s">
        <v>165</v>
      </c>
      <c r="C33" s="200" t="s">
        <v>37</v>
      </c>
      <c r="D33" s="199" t="s">
        <v>84</v>
      </c>
      <c r="E33" s="206">
        <v>0.33333333333333331</v>
      </c>
      <c r="F33" s="202">
        <f>155/3</f>
        <v>51.666666666666664</v>
      </c>
      <c r="G33" s="202">
        <v>60.6</v>
      </c>
      <c r="H33" s="203">
        <f>SUM(G33*155/3/1000)</f>
        <v>3.1309999999999998</v>
      </c>
      <c r="I33" s="18">
        <f t="shared" si="2"/>
        <v>521.83333333333337</v>
      </c>
      <c r="J33" s="34"/>
      <c r="K33" s="8"/>
      <c r="L33" s="8"/>
      <c r="M33" s="8"/>
    </row>
    <row r="34" spans="1:14" ht="15.75" hidden="1" customHeight="1">
      <c r="A34" s="49"/>
      <c r="B34" s="199" t="s">
        <v>86</v>
      </c>
      <c r="C34" s="200" t="s">
        <v>39</v>
      </c>
      <c r="D34" s="199" t="s">
        <v>88</v>
      </c>
      <c r="E34" s="201"/>
      <c r="F34" s="202">
        <v>3</v>
      </c>
      <c r="G34" s="202">
        <v>204.52</v>
      </c>
      <c r="H34" s="203">
        <f t="shared" si="1"/>
        <v>0.61356000000000011</v>
      </c>
      <c r="I34" s="18">
        <v>0</v>
      </c>
      <c r="J34" s="34"/>
      <c r="K34" s="8"/>
    </row>
    <row r="35" spans="1:14" ht="15.75" hidden="1" customHeight="1">
      <c r="A35" s="49"/>
      <c r="B35" s="199" t="s">
        <v>87</v>
      </c>
      <c r="C35" s="200" t="s">
        <v>38</v>
      </c>
      <c r="D35" s="199" t="s">
        <v>88</v>
      </c>
      <c r="E35" s="201"/>
      <c r="F35" s="202">
        <v>2</v>
      </c>
      <c r="G35" s="202">
        <v>1136.33</v>
      </c>
      <c r="H35" s="203">
        <f t="shared" si="1"/>
        <v>2.2726599999999997</v>
      </c>
      <c r="I35" s="18">
        <v>0</v>
      </c>
      <c r="J35" s="35"/>
    </row>
    <row r="36" spans="1:14" ht="15.75" customHeight="1">
      <c r="A36" s="49"/>
      <c r="B36" s="224" t="s">
        <v>5</v>
      </c>
      <c r="C36" s="200"/>
      <c r="D36" s="199"/>
      <c r="E36" s="201"/>
      <c r="F36" s="202"/>
      <c r="G36" s="202"/>
      <c r="H36" s="203" t="s">
        <v>207</v>
      </c>
      <c r="I36" s="18"/>
      <c r="J36" s="35"/>
    </row>
    <row r="37" spans="1:14" ht="15.75" customHeight="1">
      <c r="A37" s="49">
        <v>6</v>
      </c>
      <c r="B37" s="199" t="s">
        <v>31</v>
      </c>
      <c r="C37" s="200" t="s">
        <v>38</v>
      </c>
      <c r="D37" s="199"/>
      <c r="E37" s="201"/>
      <c r="F37" s="202">
        <v>8</v>
      </c>
      <c r="G37" s="202">
        <v>1632.6</v>
      </c>
      <c r="H37" s="203">
        <f t="shared" ref="H37:H44" si="3">SUM(F37*G37/1000)</f>
        <v>13.060799999999999</v>
      </c>
      <c r="I37" s="18">
        <f>F37/6*G37</f>
        <v>2176.7999999999997</v>
      </c>
      <c r="J37" s="35"/>
    </row>
    <row r="38" spans="1:14" ht="15.75" customHeight="1">
      <c r="A38" s="49">
        <v>7</v>
      </c>
      <c r="B38" s="199" t="s">
        <v>135</v>
      </c>
      <c r="C38" s="200" t="s">
        <v>35</v>
      </c>
      <c r="D38" s="199" t="s">
        <v>194</v>
      </c>
      <c r="E38" s="201">
        <v>477.19</v>
      </c>
      <c r="F38" s="202">
        <f>E38*12/1000</f>
        <v>5.72628</v>
      </c>
      <c r="G38" s="202">
        <v>2247.8000000000002</v>
      </c>
      <c r="H38" s="203">
        <f>G38*F38/1000</f>
        <v>12.871532184000001</v>
      </c>
      <c r="I38" s="18">
        <f>F38/6*G38</f>
        <v>2145.2553640000001</v>
      </c>
      <c r="J38" s="35"/>
    </row>
    <row r="39" spans="1:14" ht="15.75" customHeight="1">
      <c r="A39" s="49">
        <v>8</v>
      </c>
      <c r="B39" s="199" t="s">
        <v>167</v>
      </c>
      <c r="C39" s="200" t="s">
        <v>35</v>
      </c>
      <c r="D39" s="199" t="s">
        <v>166</v>
      </c>
      <c r="E39" s="201">
        <v>116.93</v>
      </c>
      <c r="F39" s="202">
        <f>E39*30/1000</f>
        <v>3.5079000000000002</v>
      </c>
      <c r="G39" s="202">
        <v>2247.8000000000002</v>
      </c>
      <c r="H39" s="203">
        <f>G39*F39/1000</f>
        <v>7.8850576200000013</v>
      </c>
      <c r="I39" s="18">
        <f>F39/6*G39</f>
        <v>1314.1762700000002</v>
      </c>
      <c r="J39" s="35"/>
    </row>
    <row r="40" spans="1:14" ht="15.75" hidden="1" customHeight="1">
      <c r="A40" s="49"/>
      <c r="B40" s="199" t="s">
        <v>169</v>
      </c>
      <c r="C40" s="200" t="s">
        <v>170</v>
      </c>
      <c r="D40" s="199" t="s">
        <v>88</v>
      </c>
      <c r="E40" s="201"/>
      <c r="F40" s="202">
        <v>135</v>
      </c>
      <c r="G40" s="202">
        <v>213.2</v>
      </c>
      <c r="H40" s="203">
        <f>G40*F40/1000</f>
        <v>28.782</v>
      </c>
      <c r="I40" s="18">
        <v>0</v>
      </c>
      <c r="J40" s="35"/>
      <c r="L40" s="27"/>
      <c r="M40" s="28"/>
      <c r="N40" s="29"/>
    </row>
    <row r="41" spans="1:14" ht="15.75" customHeight="1">
      <c r="A41" s="49">
        <v>9</v>
      </c>
      <c r="B41" s="199" t="s">
        <v>89</v>
      </c>
      <c r="C41" s="200" t="s">
        <v>35</v>
      </c>
      <c r="D41" s="199" t="s">
        <v>168</v>
      </c>
      <c r="E41" s="202">
        <v>116.93</v>
      </c>
      <c r="F41" s="202">
        <f>SUM(E41*155/1000)</f>
        <v>18.12415</v>
      </c>
      <c r="G41" s="202">
        <v>374.95</v>
      </c>
      <c r="H41" s="203">
        <f t="shared" si="3"/>
        <v>6.7956500424999993</v>
      </c>
      <c r="I41" s="18">
        <f>F41/6*G41</f>
        <v>1132.6083404166666</v>
      </c>
      <c r="J41" s="35"/>
      <c r="L41" s="27"/>
      <c r="M41" s="28"/>
      <c r="N41" s="29"/>
    </row>
    <row r="42" spans="1:14" ht="47.25" customHeight="1">
      <c r="A42" s="49">
        <v>10</v>
      </c>
      <c r="B42" s="199" t="s">
        <v>115</v>
      </c>
      <c r="C42" s="200" t="s">
        <v>161</v>
      </c>
      <c r="D42" s="199" t="s">
        <v>196</v>
      </c>
      <c r="E42" s="202">
        <v>116.93</v>
      </c>
      <c r="F42" s="202">
        <f>SUM(E42*24/1000)</f>
        <v>2.8063200000000004</v>
      </c>
      <c r="G42" s="202">
        <v>6203.71</v>
      </c>
      <c r="H42" s="203">
        <f t="shared" si="3"/>
        <v>17.409595447200001</v>
      </c>
      <c r="I42" s="18">
        <f>F42/6*G42</f>
        <v>2901.5992412000005</v>
      </c>
      <c r="J42" s="35"/>
      <c r="L42" s="27"/>
      <c r="M42" s="28"/>
      <c r="N42" s="29"/>
    </row>
    <row r="43" spans="1:14" ht="15.75" customHeight="1">
      <c r="A43" s="49">
        <v>11</v>
      </c>
      <c r="B43" s="199" t="s">
        <v>171</v>
      </c>
      <c r="C43" s="200" t="s">
        <v>161</v>
      </c>
      <c r="D43" s="199" t="s">
        <v>90</v>
      </c>
      <c r="E43" s="202">
        <v>116.93</v>
      </c>
      <c r="F43" s="202">
        <f>SUM(E43*45/1000)</f>
        <v>5.2618500000000008</v>
      </c>
      <c r="G43" s="202">
        <v>458.28</v>
      </c>
      <c r="H43" s="203">
        <f t="shared" si="3"/>
        <v>2.4114006180000001</v>
      </c>
      <c r="I43" s="18">
        <f>F43/6*G43</f>
        <v>401.90010300000006</v>
      </c>
      <c r="J43" s="35"/>
      <c r="L43" s="27"/>
      <c r="M43" s="28"/>
      <c r="N43" s="29"/>
    </row>
    <row r="44" spans="1:14" ht="15.75" customHeight="1">
      <c r="A44" s="49">
        <v>12</v>
      </c>
      <c r="B44" s="199" t="s">
        <v>91</v>
      </c>
      <c r="C44" s="200" t="s">
        <v>39</v>
      </c>
      <c r="D44" s="199"/>
      <c r="E44" s="201"/>
      <c r="F44" s="202">
        <v>0.9</v>
      </c>
      <c r="G44" s="202">
        <v>798</v>
      </c>
      <c r="H44" s="203">
        <f t="shared" si="3"/>
        <v>0.71820000000000006</v>
      </c>
      <c r="I44" s="18">
        <f>F44/6*G44</f>
        <v>119.69999999999999</v>
      </c>
      <c r="J44" s="35"/>
      <c r="L44" s="27"/>
      <c r="M44" s="28"/>
      <c r="N44" s="29"/>
    </row>
    <row r="45" spans="1:14" ht="15.75" customHeight="1">
      <c r="A45" s="245" t="s">
        <v>236</v>
      </c>
      <c r="B45" s="246"/>
      <c r="C45" s="246"/>
      <c r="D45" s="246"/>
      <c r="E45" s="246"/>
      <c r="F45" s="246"/>
      <c r="G45" s="246"/>
      <c r="H45" s="246"/>
      <c r="I45" s="247"/>
      <c r="J45" s="35"/>
      <c r="L45" s="27"/>
      <c r="M45" s="28"/>
      <c r="N45" s="29"/>
    </row>
    <row r="46" spans="1:14" ht="15.75" hidden="1" customHeight="1">
      <c r="A46" s="49"/>
      <c r="B46" s="199" t="s">
        <v>198</v>
      </c>
      <c r="C46" s="200" t="s">
        <v>161</v>
      </c>
      <c r="D46" s="199" t="s">
        <v>54</v>
      </c>
      <c r="E46" s="201">
        <v>1030.4000000000001</v>
      </c>
      <c r="F46" s="202">
        <f>SUM(E46*2/1000)</f>
        <v>2.0608</v>
      </c>
      <c r="G46" s="18">
        <v>908.1</v>
      </c>
      <c r="H46" s="203">
        <f t="shared" ref="H46:H55" si="4">SUM(F46*G46/1000)</f>
        <v>1.87141248</v>
      </c>
      <c r="I46" s="18">
        <v>0</v>
      </c>
      <c r="J46" s="35"/>
      <c r="L46" s="27"/>
      <c r="M46" s="28"/>
      <c r="N46" s="29"/>
    </row>
    <row r="47" spans="1:14" ht="15.75" hidden="1" customHeight="1">
      <c r="A47" s="49"/>
      <c r="B47" s="199" t="s">
        <v>43</v>
      </c>
      <c r="C47" s="200" t="s">
        <v>161</v>
      </c>
      <c r="D47" s="199" t="s">
        <v>54</v>
      </c>
      <c r="E47" s="201">
        <v>132</v>
      </c>
      <c r="F47" s="202">
        <f>E47*2/1000</f>
        <v>0.26400000000000001</v>
      </c>
      <c r="G47" s="18">
        <v>619.46</v>
      </c>
      <c r="H47" s="203">
        <f t="shared" si="4"/>
        <v>0.16353744000000001</v>
      </c>
      <c r="I47" s="18">
        <v>0</v>
      </c>
      <c r="J47" s="35"/>
      <c r="L47" s="27"/>
      <c r="M47" s="28"/>
      <c r="N47" s="29"/>
    </row>
    <row r="48" spans="1:14" ht="15.75" hidden="1" customHeight="1">
      <c r="A48" s="49"/>
      <c r="B48" s="199" t="s">
        <v>44</v>
      </c>
      <c r="C48" s="200" t="s">
        <v>161</v>
      </c>
      <c r="D48" s="199" t="s">
        <v>54</v>
      </c>
      <c r="E48" s="201">
        <v>4248.22</v>
      </c>
      <c r="F48" s="202">
        <f>SUM(E48*2/1000)</f>
        <v>8.4964399999999998</v>
      </c>
      <c r="G48" s="18">
        <v>619.46</v>
      </c>
      <c r="H48" s="203">
        <f t="shared" si="4"/>
        <v>5.2632047223999994</v>
      </c>
      <c r="I48" s="18">
        <v>0</v>
      </c>
      <c r="J48" s="35"/>
      <c r="L48" s="27"/>
      <c r="M48" s="28"/>
      <c r="N48" s="29"/>
    </row>
    <row r="49" spans="1:14" ht="15.75" hidden="1" customHeight="1">
      <c r="A49" s="49"/>
      <c r="B49" s="199" t="s">
        <v>45</v>
      </c>
      <c r="C49" s="200" t="s">
        <v>161</v>
      </c>
      <c r="D49" s="199" t="s">
        <v>54</v>
      </c>
      <c r="E49" s="201">
        <v>2163.66</v>
      </c>
      <c r="F49" s="202">
        <f>SUM(E49*2/1000)</f>
        <v>4.3273199999999994</v>
      </c>
      <c r="G49" s="18">
        <v>648.64</v>
      </c>
      <c r="H49" s="203">
        <f t="shared" si="4"/>
        <v>2.8068728447999995</v>
      </c>
      <c r="I49" s="18">
        <v>0</v>
      </c>
      <c r="J49" s="35"/>
      <c r="L49" s="27"/>
      <c r="M49" s="28"/>
      <c r="N49" s="29"/>
    </row>
    <row r="50" spans="1:14" ht="31.5" hidden="1" customHeight="1">
      <c r="A50" s="49">
        <v>13</v>
      </c>
      <c r="B50" s="199" t="s">
        <v>71</v>
      </c>
      <c r="C50" s="200" t="s">
        <v>161</v>
      </c>
      <c r="D50" s="199" t="s">
        <v>237</v>
      </c>
      <c r="E50" s="201">
        <v>1015.4</v>
      </c>
      <c r="F50" s="202">
        <f>SUM(E50*5/1000)</f>
        <v>5.077</v>
      </c>
      <c r="G50" s="18">
        <v>1297.28</v>
      </c>
      <c r="H50" s="203">
        <f t="shared" si="4"/>
        <v>6.5862905599999992</v>
      </c>
      <c r="I50" s="18">
        <f>F50/5*G50</f>
        <v>1317.258112</v>
      </c>
      <c r="J50" s="35"/>
      <c r="L50" s="27"/>
      <c r="M50" s="28"/>
      <c r="N50" s="29"/>
    </row>
    <row r="51" spans="1:14" ht="31.5" hidden="1" customHeight="1">
      <c r="A51" s="49"/>
      <c r="B51" s="199" t="s">
        <v>173</v>
      </c>
      <c r="C51" s="200" t="s">
        <v>161</v>
      </c>
      <c r="D51" s="199" t="s">
        <v>54</v>
      </c>
      <c r="E51" s="201">
        <v>1015.4</v>
      </c>
      <c r="F51" s="202">
        <f>SUM(E51*2/1000)</f>
        <v>2.0308000000000002</v>
      </c>
      <c r="G51" s="18">
        <v>1297.28</v>
      </c>
      <c r="H51" s="203">
        <f t="shared" si="4"/>
        <v>2.634516224</v>
      </c>
      <c r="I51" s="18">
        <v>0</v>
      </c>
      <c r="J51" s="35"/>
      <c r="L51" s="27"/>
      <c r="M51" s="28"/>
      <c r="N51" s="29"/>
    </row>
    <row r="52" spans="1:14" ht="31.5" hidden="1" customHeight="1">
      <c r="A52" s="49"/>
      <c r="B52" s="199" t="s">
        <v>174</v>
      </c>
      <c r="C52" s="200" t="s">
        <v>48</v>
      </c>
      <c r="D52" s="199" t="s">
        <v>54</v>
      </c>
      <c r="E52" s="201">
        <v>30</v>
      </c>
      <c r="F52" s="202">
        <f>SUM(E52*2/100)</f>
        <v>0.6</v>
      </c>
      <c r="G52" s="18">
        <v>2918.89</v>
      </c>
      <c r="H52" s="203">
        <f t="shared" si="4"/>
        <v>1.7513339999999997</v>
      </c>
      <c r="I52" s="18">
        <v>0</v>
      </c>
      <c r="J52" s="35"/>
      <c r="L52" s="27"/>
      <c r="M52" s="28"/>
      <c r="N52" s="29"/>
    </row>
    <row r="53" spans="1:14" ht="15.75" customHeight="1">
      <c r="A53" s="49">
        <v>13</v>
      </c>
      <c r="B53" s="199" t="s">
        <v>49</v>
      </c>
      <c r="C53" s="200" t="s">
        <v>50</v>
      </c>
      <c r="D53" s="199" t="s">
        <v>54</v>
      </c>
      <c r="E53" s="201">
        <v>1</v>
      </c>
      <c r="F53" s="202">
        <v>0.02</v>
      </c>
      <c r="G53" s="18">
        <v>6042.13</v>
      </c>
      <c r="H53" s="203">
        <f t="shared" si="4"/>
        <v>0.12084260000000001</v>
      </c>
      <c r="I53" s="18">
        <f>F53/2*G53</f>
        <v>60.421300000000002</v>
      </c>
      <c r="J53" s="35"/>
      <c r="L53" s="27"/>
      <c r="M53" s="28"/>
      <c r="N53" s="29"/>
    </row>
    <row r="54" spans="1:14" ht="15.75" hidden="1" customHeight="1">
      <c r="A54" s="49">
        <v>14</v>
      </c>
      <c r="B54" s="199" t="s">
        <v>197</v>
      </c>
      <c r="C54" s="200" t="s">
        <v>144</v>
      </c>
      <c r="D54" s="199" t="s">
        <v>52</v>
      </c>
      <c r="E54" s="201">
        <v>90</v>
      </c>
      <c r="F54" s="202">
        <f>E54*4</f>
        <v>360</v>
      </c>
      <c r="G54" s="18">
        <v>150.86000000000001</v>
      </c>
      <c r="H54" s="203">
        <f>F54*G54/1000</f>
        <v>54.309600000000003</v>
      </c>
      <c r="I54" s="18">
        <f>G54*E54</f>
        <v>13577.400000000001</v>
      </c>
      <c r="J54" s="35"/>
      <c r="L54" s="27"/>
      <c r="M54" s="28"/>
      <c r="N54" s="29"/>
    </row>
    <row r="55" spans="1:14" ht="15.75" hidden="1" customHeight="1">
      <c r="A55" s="49">
        <v>15</v>
      </c>
      <c r="B55" s="199" t="s">
        <v>53</v>
      </c>
      <c r="C55" s="200" t="s">
        <v>144</v>
      </c>
      <c r="D55" s="199" t="s">
        <v>92</v>
      </c>
      <c r="E55" s="201">
        <v>180</v>
      </c>
      <c r="F55" s="202">
        <f>SUM(E55)*3</f>
        <v>540</v>
      </c>
      <c r="G55" s="18">
        <v>70.2</v>
      </c>
      <c r="H55" s="203">
        <f t="shared" si="4"/>
        <v>37.908000000000001</v>
      </c>
      <c r="I55" s="18">
        <f>G55*E55</f>
        <v>12636</v>
      </c>
      <c r="J55" s="35"/>
      <c r="L55" s="27"/>
      <c r="M55" s="28"/>
      <c r="N55" s="29"/>
    </row>
    <row r="56" spans="1:14" ht="15.75" customHeight="1">
      <c r="A56" s="245" t="s">
        <v>238</v>
      </c>
      <c r="B56" s="246"/>
      <c r="C56" s="246"/>
      <c r="D56" s="246"/>
      <c r="E56" s="246"/>
      <c r="F56" s="246"/>
      <c r="G56" s="246"/>
      <c r="H56" s="246"/>
      <c r="I56" s="247"/>
      <c r="J56" s="35"/>
      <c r="L56" s="27"/>
      <c r="M56" s="28"/>
      <c r="N56" s="29"/>
    </row>
    <row r="57" spans="1:14" ht="15.75" customHeight="1">
      <c r="A57" s="49"/>
      <c r="B57" s="224" t="s">
        <v>55</v>
      </c>
      <c r="C57" s="200"/>
      <c r="D57" s="199"/>
      <c r="E57" s="201"/>
      <c r="F57" s="202"/>
      <c r="G57" s="202"/>
      <c r="H57" s="203"/>
      <c r="I57" s="18"/>
      <c r="J57" s="35"/>
      <c r="L57" s="27"/>
      <c r="M57" s="28"/>
      <c r="N57" s="29"/>
    </row>
    <row r="58" spans="1:14" ht="31.5" customHeight="1">
      <c r="A58" s="49">
        <v>14</v>
      </c>
      <c r="B58" s="199" t="s">
        <v>199</v>
      </c>
      <c r="C58" s="200" t="s">
        <v>151</v>
      </c>
      <c r="D58" s="199" t="s">
        <v>175</v>
      </c>
      <c r="E58" s="201">
        <v>148.04</v>
      </c>
      <c r="F58" s="202">
        <f>SUM(E58*6/100)</f>
        <v>8.8824000000000005</v>
      </c>
      <c r="G58" s="18">
        <v>1654.04</v>
      </c>
      <c r="H58" s="203">
        <f>SUM(F58*G58/1000)</f>
        <v>14.691844896000001</v>
      </c>
      <c r="I58" s="18">
        <f>F58/6*G58</f>
        <v>2448.6408160000001</v>
      </c>
      <c r="J58" s="35"/>
      <c r="L58" s="27"/>
      <c r="M58" s="28"/>
      <c r="N58" s="29"/>
    </row>
    <row r="59" spans="1:14" ht="31.5" customHeight="1">
      <c r="A59" s="49">
        <v>15</v>
      </c>
      <c r="B59" s="199" t="s">
        <v>142</v>
      </c>
      <c r="C59" s="200" t="s">
        <v>151</v>
      </c>
      <c r="D59" s="199" t="s">
        <v>143</v>
      </c>
      <c r="E59" s="201">
        <v>39.700000000000003</v>
      </c>
      <c r="F59" s="202">
        <f>SUM(E59*12/100)</f>
        <v>4.7640000000000002</v>
      </c>
      <c r="G59" s="18">
        <v>1654.04</v>
      </c>
      <c r="H59" s="203">
        <f>SUM(F59*G59/1000)</f>
        <v>7.8798465599999998</v>
      </c>
      <c r="I59" s="18">
        <f>F59/6*G59</f>
        <v>1313.3077600000001</v>
      </c>
      <c r="J59" s="35"/>
      <c r="L59" s="27"/>
      <c r="M59" s="28"/>
      <c r="N59" s="29"/>
    </row>
    <row r="60" spans="1:14" ht="15.75" hidden="1" customHeight="1">
      <c r="A60" s="49">
        <v>18</v>
      </c>
      <c r="B60" s="208" t="s">
        <v>200</v>
      </c>
      <c r="C60" s="209" t="s">
        <v>201</v>
      </c>
      <c r="D60" s="208" t="s">
        <v>54</v>
      </c>
      <c r="E60" s="210">
        <v>8</v>
      </c>
      <c r="F60" s="211">
        <v>16</v>
      </c>
      <c r="G60" s="18">
        <v>193.25</v>
      </c>
      <c r="H60" s="212">
        <f>F60*G60/1000</f>
        <v>3.0920000000000001</v>
      </c>
      <c r="I60" s="18">
        <f>F60/2*G60</f>
        <v>1546</v>
      </c>
      <c r="J60" s="35"/>
      <c r="L60" s="27"/>
      <c r="M60" s="28"/>
      <c r="N60" s="29"/>
    </row>
    <row r="61" spans="1:14" ht="15.75" customHeight="1">
      <c r="A61" s="49">
        <v>16</v>
      </c>
      <c r="B61" s="199" t="s">
        <v>202</v>
      </c>
      <c r="C61" s="200" t="s">
        <v>151</v>
      </c>
      <c r="D61" s="199" t="s">
        <v>175</v>
      </c>
      <c r="E61" s="201">
        <v>41.73</v>
      </c>
      <c r="F61" s="202">
        <f>SUM(E61*6/100)</f>
        <v>2.5038</v>
      </c>
      <c r="G61" s="18">
        <v>1654.04</v>
      </c>
      <c r="H61" s="203">
        <f>SUM(F61*G61/1000)</f>
        <v>4.1413853520000004</v>
      </c>
      <c r="I61" s="18">
        <f>F61/6*G61</f>
        <v>690.23089200000004</v>
      </c>
      <c r="J61" s="35"/>
      <c r="L61" s="27"/>
      <c r="M61" s="28"/>
      <c r="N61" s="29"/>
    </row>
    <row r="62" spans="1:14" ht="15.75" customHeight="1">
      <c r="A62" s="49"/>
      <c r="B62" s="225" t="s">
        <v>56</v>
      </c>
      <c r="C62" s="209"/>
      <c r="D62" s="208"/>
      <c r="E62" s="210"/>
      <c r="F62" s="211"/>
      <c r="G62" s="18"/>
      <c r="H62" s="212"/>
      <c r="I62" s="18"/>
      <c r="J62" s="35"/>
      <c r="L62" s="27"/>
      <c r="M62" s="28"/>
      <c r="N62" s="29"/>
    </row>
    <row r="63" spans="1:14" ht="15.75" hidden="1" customHeight="1">
      <c r="A63" s="49"/>
      <c r="B63" s="208" t="s">
        <v>57</v>
      </c>
      <c r="C63" s="209" t="s">
        <v>66</v>
      </c>
      <c r="D63" s="208" t="s">
        <v>67</v>
      </c>
      <c r="E63" s="210">
        <v>1015.4</v>
      </c>
      <c r="F63" s="211">
        <v>10.154</v>
      </c>
      <c r="G63" s="18">
        <v>848.37</v>
      </c>
      <c r="H63" s="212">
        <f>F63*G63/1000</f>
        <v>8.6143489800000008</v>
      </c>
      <c r="I63" s="18">
        <v>0</v>
      </c>
      <c r="J63" s="35"/>
      <c r="L63" s="27"/>
      <c r="M63" s="28"/>
      <c r="N63" s="29"/>
    </row>
    <row r="64" spans="1:14" ht="15.75" customHeight="1">
      <c r="A64" s="49">
        <v>17</v>
      </c>
      <c r="B64" s="208" t="s">
        <v>146</v>
      </c>
      <c r="C64" s="209" t="s">
        <v>29</v>
      </c>
      <c r="D64" s="208" t="s">
        <v>36</v>
      </c>
      <c r="E64" s="210">
        <v>203.1</v>
      </c>
      <c r="F64" s="213">
        <f>E64*12</f>
        <v>2437.1999999999998</v>
      </c>
      <c r="G64" s="194">
        <v>2.6</v>
      </c>
      <c r="H64" s="211">
        <f>F64*G64/1000</f>
        <v>6.3367199999999997</v>
      </c>
      <c r="I64" s="18">
        <f>F64/12*G64</f>
        <v>528.06000000000006</v>
      </c>
      <c r="J64" s="35"/>
      <c r="L64" s="27"/>
      <c r="M64" s="28"/>
      <c r="N64" s="29"/>
    </row>
    <row r="65" spans="1:21" ht="15.75" hidden="1" customHeight="1">
      <c r="A65" s="49"/>
      <c r="B65" s="225" t="s">
        <v>58</v>
      </c>
      <c r="C65" s="209"/>
      <c r="D65" s="208"/>
      <c r="E65" s="210"/>
      <c r="F65" s="213"/>
      <c r="G65" s="213"/>
      <c r="H65" s="211" t="s">
        <v>207</v>
      </c>
      <c r="I65" s="18"/>
      <c r="J65" s="35"/>
      <c r="L65" s="27"/>
    </row>
    <row r="66" spans="1:21" ht="15.75" hidden="1" customHeight="1">
      <c r="A66" s="49"/>
      <c r="B66" s="20" t="s">
        <v>59</v>
      </c>
      <c r="C66" s="22" t="s">
        <v>144</v>
      </c>
      <c r="D66" s="20" t="s">
        <v>88</v>
      </c>
      <c r="E66" s="25">
        <v>10</v>
      </c>
      <c r="F66" s="202">
        <v>10</v>
      </c>
      <c r="G66" s="18">
        <v>237.75</v>
      </c>
      <c r="H66" s="214">
        <f t="shared" ref="H66:H79" si="5">SUM(F66*G66/1000)</f>
        <v>2.3774999999999999</v>
      </c>
      <c r="I66" s="18">
        <v>0</v>
      </c>
      <c r="J66" s="35"/>
      <c r="L66" s="27"/>
    </row>
    <row r="67" spans="1:21" ht="15.75" hidden="1" customHeight="1">
      <c r="A67" s="49"/>
      <c r="B67" s="20" t="s">
        <v>60</v>
      </c>
      <c r="C67" s="22" t="s">
        <v>144</v>
      </c>
      <c r="D67" s="20" t="s">
        <v>88</v>
      </c>
      <c r="E67" s="25">
        <v>5</v>
      </c>
      <c r="F67" s="202">
        <v>5</v>
      </c>
      <c r="G67" s="18">
        <v>81.510000000000005</v>
      </c>
      <c r="H67" s="214">
        <f t="shared" si="5"/>
        <v>0.40755000000000002</v>
      </c>
      <c r="I67" s="18">
        <v>0</v>
      </c>
      <c r="J67" s="35"/>
      <c r="L67" s="27"/>
    </row>
    <row r="68" spans="1:21" ht="15.75" hidden="1" customHeight="1">
      <c r="A68" s="49"/>
      <c r="B68" s="20" t="s">
        <v>61</v>
      </c>
      <c r="C68" s="22" t="s">
        <v>177</v>
      </c>
      <c r="D68" s="20" t="s">
        <v>67</v>
      </c>
      <c r="E68" s="201">
        <v>14205</v>
      </c>
      <c r="F68" s="18">
        <f>SUM(E68/100)</f>
        <v>142.05000000000001</v>
      </c>
      <c r="G68" s="18">
        <v>226.79</v>
      </c>
      <c r="H68" s="214">
        <f t="shared" si="5"/>
        <v>32.215519499999999</v>
      </c>
      <c r="I68" s="18">
        <v>0</v>
      </c>
    </row>
    <row r="69" spans="1:21" ht="15.75" hidden="1" customHeight="1">
      <c r="A69" s="49"/>
      <c r="B69" s="20" t="s">
        <v>62</v>
      </c>
      <c r="C69" s="22" t="s">
        <v>178</v>
      </c>
      <c r="D69" s="20" t="s">
        <v>67</v>
      </c>
      <c r="E69" s="201">
        <v>14205</v>
      </c>
      <c r="F69" s="18">
        <f>SUM(E69/1000)</f>
        <v>14.205</v>
      </c>
      <c r="G69" s="18">
        <v>176.61</v>
      </c>
      <c r="H69" s="214">
        <f t="shared" si="5"/>
        <v>2.5087450499999999</v>
      </c>
      <c r="I69" s="18">
        <v>0</v>
      </c>
      <c r="J69" s="40"/>
      <c r="K69" s="40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49"/>
      <c r="B70" s="20" t="s">
        <v>63</v>
      </c>
      <c r="C70" s="22" t="s">
        <v>98</v>
      </c>
      <c r="D70" s="20" t="s">
        <v>67</v>
      </c>
      <c r="E70" s="201">
        <v>2131</v>
      </c>
      <c r="F70" s="18">
        <f>SUM(E70/100)</f>
        <v>21.31</v>
      </c>
      <c r="G70" s="18">
        <v>2217.7800000000002</v>
      </c>
      <c r="H70" s="214">
        <f t="shared" si="5"/>
        <v>47.260891800000003</v>
      </c>
      <c r="I70" s="18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49"/>
      <c r="B71" s="215" t="s">
        <v>179</v>
      </c>
      <c r="C71" s="22" t="s">
        <v>39</v>
      </c>
      <c r="D71" s="20" t="s">
        <v>67</v>
      </c>
      <c r="E71" s="201">
        <v>12.48</v>
      </c>
      <c r="F71" s="18">
        <f>SUM(E71)</f>
        <v>12.48</v>
      </c>
      <c r="G71" s="18">
        <v>42.67</v>
      </c>
      <c r="H71" s="214">
        <f t="shared" si="5"/>
        <v>0.53252160000000004</v>
      </c>
      <c r="I71" s="18">
        <v>0</v>
      </c>
      <c r="J71" s="5"/>
      <c r="K71" s="5"/>
      <c r="L71" s="5"/>
      <c r="M71" s="5"/>
      <c r="N71" s="5"/>
      <c r="O71" s="5"/>
      <c r="P71" s="5"/>
      <c r="Q71" s="5"/>
      <c r="R71" s="248"/>
      <c r="S71" s="248"/>
      <c r="T71" s="248"/>
      <c r="U71" s="248"/>
    </row>
    <row r="72" spans="1:21" ht="15.75" hidden="1" customHeight="1">
      <c r="A72" s="49"/>
      <c r="B72" s="215" t="s">
        <v>180</v>
      </c>
      <c r="C72" s="22" t="s">
        <v>39</v>
      </c>
      <c r="D72" s="20" t="s">
        <v>67</v>
      </c>
      <c r="E72" s="201">
        <v>12.48</v>
      </c>
      <c r="F72" s="18">
        <f>SUM(E72)</f>
        <v>12.48</v>
      </c>
      <c r="G72" s="18">
        <v>39.81</v>
      </c>
      <c r="H72" s="214">
        <f t="shared" si="5"/>
        <v>0.49682880000000007</v>
      </c>
      <c r="I72" s="18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hidden="1" customHeight="1">
      <c r="A73" s="49"/>
      <c r="B73" s="20" t="s">
        <v>72</v>
      </c>
      <c r="C73" s="22" t="s">
        <v>73</v>
      </c>
      <c r="D73" s="20" t="s">
        <v>67</v>
      </c>
      <c r="E73" s="25">
        <v>5</v>
      </c>
      <c r="F73" s="202">
        <v>5</v>
      </c>
      <c r="G73" s="18">
        <v>53.32</v>
      </c>
      <c r="H73" s="214">
        <f t="shared" si="5"/>
        <v>0.2666</v>
      </c>
      <c r="I73" s="18">
        <v>0</v>
      </c>
    </row>
    <row r="74" spans="1:21" ht="15.75" customHeight="1">
      <c r="A74" s="49"/>
      <c r="B74" s="193" t="s">
        <v>93</v>
      </c>
      <c r="C74" s="22"/>
      <c r="D74" s="20"/>
      <c r="E74" s="25"/>
      <c r="F74" s="18"/>
      <c r="G74" s="18"/>
      <c r="H74" s="214" t="s">
        <v>207</v>
      </c>
      <c r="I74" s="18"/>
    </row>
    <row r="75" spans="1:21" ht="15.75" customHeight="1">
      <c r="A75" s="49">
        <v>18</v>
      </c>
      <c r="B75" s="20" t="s">
        <v>94</v>
      </c>
      <c r="C75" s="22" t="s">
        <v>96</v>
      </c>
      <c r="D75" s="20" t="s">
        <v>88</v>
      </c>
      <c r="E75" s="25">
        <v>2</v>
      </c>
      <c r="F75" s="18">
        <v>0.2</v>
      </c>
      <c r="G75" s="18">
        <v>536.23</v>
      </c>
      <c r="H75" s="214">
        <f t="shared" si="5"/>
        <v>0.10724600000000001</v>
      </c>
      <c r="I75" s="18">
        <f>G75*0.1</f>
        <v>53.623000000000005</v>
      </c>
    </row>
    <row r="76" spans="1:21" ht="15.75" hidden="1" customHeight="1">
      <c r="A76" s="49"/>
      <c r="B76" s="20" t="s">
        <v>95</v>
      </c>
      <c r="C76" s="22" t="s">
        <v>37</v>
      </c>
      <c r="D76" s="20" t="s">
        <v>88</v>
      </c>
      <c r="E76" s="25">
        <v>1</v>
      </c>
      <c r="F76" s="194">
        <v>1</v>
      </c>
      <c r="G76" s="18">
        <v>911.85</v>
      </c>
      <c r="H76" s="214">
        <f>F76*G76/1000</f>
        <v>0.91185000000000005</v>
      </c>
      <c r="I76" s="18">
        <f t="shared" ref="I76" si="6">G76*0.1</f>
        <v>91.185000000000002</v>
      </c>
    </row>
    <row r="77" spans="1:21" ht="15.75" customHeight="1">
      <c r="A77" s="49">
        <v>19</v>
      </c>
      <c r="B77" s="20" t="s">
        <v>203</v>
      </c>
      <c r="C77" s="22" t="s">
        <v>37</v>
      </c>
      <c r="D77" s="20" t="s">
        <v>88</v>
      </c>
      <c r="E77" s="25">
        <v>1</v>
      </c>
      <c r="F77" s="18">
        <v>1</v>
      </c>
      <c r="G77" s="18">
        <v>383.25</v>
      </c>
      <c r="H77" s="214">
        <f>G77*F77/1000</f>
        <v>0.38324999999999998</v>
      </c>
      <c r="I77" s="18">
        <f>G77</f>
        <v>383.25</v>
      </c>
    </row>
    <row r="78" spans="1:21" ht="15.75" hidden="1" customHeight="1">
      <c r="A78" s="49"/>
      <c r="B78" s="216" t="s">
        <v>97</v>
      </c>
      <c r="C78" s="22"/>
      <c r="D78" s="20"/>
      <c r="E78" s="25"/>
      <c r="F78" s="18"/>
      <c r="G78" s="18" t="s">
        <v>207</v>
      </c>
      <c r="H78" s="214" t="s">
        <v>207</v>
      </c>
      <c r="I78" s="18"/>
    </row>
    <row r="79" spans="1:21" ht="15.75" hidden="1" customHeight="1">
      <c r="A79" s="49"/>
      <c r="B79" s="86" t="s">
        <v>183</v>
      </c>
      <c r="C79" s="22" t="s">
        <v>98</v>
      </c>
      <c r="D79" s="20"/>
      <c r="E79" s="25"/>
      <c r="F79" s="18">
        <v>0.9</v>
      </c>
      <c r="G79" s="18">
        <v>2757.42</v>
      </c>
      <c r="H79" s="214">
        <f t="shared" si="5"/>
        <v>2.4816780000000005</v>
      </c>
      <c r="I79" s="18">
        <f>G79*F79</f>
        <v>2481.6780000000003</v>
      </c>
    </row>
    <row r="80" spans="1:21" ht="15.75" hidden="1" customHeight="1">
      <c r="A80" s="49"/>
      <c r="B80" s="193" t="s">
        <v>181</v>
      </c>
      <c r="C80" s="216"/>
      <c r="D80" s="54"/>
      <c r="E80" s="58"/>
      <c r="F80" s="205"/>
      <c r="G80" s="205"/>
      <c r="H80" s="217">
        <f>SUM(H58:H79)</f>
        <v>134.70632653799998</v>
      </c>
      <c r="I80" s="205"/>
    </row>
    <row r="81" spans="1:9" ht="15.75" hidden="1" customHeight="1">
      <c r="A81" s="226">
        <v>21</v>
      </c>
      <c r="B81" s="208" t="s">
        <v>182</v>
      </c>
      <c r="C81" s="227"/>
      <c r="D81" s="228"/>
      <c r="E81" s="195"/>
      <c r="F81" s="220">
        <v>1</v>
      </c>
      <c r="G81" s="220">
        <v>27901.200000000001</v>
      </c>
      <c r="H81" s="229">
        <f>G81*F81/1000</f>
        <v>27.901199999999999</v>
      </c>
      <c r="I81" s="220">
        <f>G81</f>
        <v>27901.200000000001</v>
      </c>
    </row>
    <row r="82" spans="1:9" ht="15.75" customHeight="1">
      <c r="A82" s="251" t="s">
        <v>239</v>
      </c>
      <c r="B82" s="252"/>
      <c r="C82" s="252"/>
      <c r="D82" s="252"/>
      <c r="E82" s="252"/>
      <c r="F82" s="252"/>
      <c r="G82" s="252"/>
      <c r="H82" s="252"/>
      <c r="I82" s="253"/>
    </row>
    <row r="83" spans="1:9" ht="15.75" customHeight="1">
      <c r="A83" s="230">
        <v>20</v>
      </c>
      <c r="B83" s="235" t="s">
        <v>184</v>
      </c>
      <c r="C83" s="231" t="s">
        <v>68</v>
      </c>
      <c r="D83" s="232" t="s">
        <v>69</v>
      </c>
      <c r="E83" s="233">
        <v>3945</v>
      </c>
      <c r="F83" s="233">
        <f>SUM(E83*12)</f>
        <v>47340</v>
      </c>
      <c r="G83" s="233">
        <v>2.2400000000000002</v>
      </c>
      <c r="H83" s="234">
        <f>SUM(F83*G83/1000)</f>
        <v>106.0416</v>
      </c>
      <c r="I83" s="233">
        <f>F83/12*G83</f>
        <v>8836.8000000000011</v>
      </c>
    </row>
    <row r="84" spans="1:9" ht="31.5" customHeight="1">
      <c r="A84" s="49">
        <v>21</v>
      </c>
      <c r="B84" s="20" t="s">
        <v>99</v>
      </c>
      <c r="C84" s="22"/>
      <c r="D84" s="232" t="s">
        <v>69</v>
      </c>
      <c r="E84" s="201">
        <f>E83</f>
        <v>3945</v>
      </c>
      <c r="F84" s="18">
        <f>E84*12</f>
        <v>47340</v>
      </c>
      <c r="G84" s="18">
        <v>1.74</v>
      </c>
      <c r="H84" s="214">
        <f>F84*G84/1000</f>
        <v>82.371600000000001</v>
      </c>
      <c r="I84" s="18">
        <f>F84/12*G84</f>
        <v>6864.3</v>
      </c>
    </row>
    <row r="85" spans="1:9" ht="15.75" customHeight="1">
      <c r="A85" s="49"/>
      <c r="B85" s="73" t="s">
        <v>105</v>
      </c>
      <c r="C85" s="75"/>
      <c r="D85" s="21"/>
      <c r="E85" s="21"/>
      <c r="F85" s="25"/>
      <c r="G85" s="31"/>
      <c r="H85" s="217">
        <f>H84</f>
        <v>82.371600000000001</v>
      </c>
      <c r="I85" s="58">
        <f>SUM(I16+I17+I18+I25+I26+I37+I38+I39+I41+I42+I43+I44+I53+I58+I59+I61+I64+I75+I77+I83+I84)</f>
        <v>66494.508445283325</v>
      </c>
    </row>
    <row r="86" spans="1:9" ht="15.75" customHeight="1">
      <c r="A86" s="49"/>
      <c r="B86" s="173" t="s">
        <v>76</v>
      </c>
      <c r="C86" s="173"/>
      <c r="D86" s="173"/>
      <c r="E86" s="173"/>
      <c r="F86" s="173"/>
      <c r="G86" s="31"/>
      <c r="H86" s="217" t="e">
        <f>SUM(H85+#REF!+H80+H56+#REF!+#REF!+H27)</f>
        <v>#REF!</v>
      </c>
      <c r="I86" s="173"/>
    </row>
    <row r="87" spans="1:9" ht="31.5" customHeight="1">
      <c r="A87" s="49">
        <v>22</v>
      </c>
      <c r="B87" s="218" t="s">
        <v>114</v>
      </c>
      <c r="C87" s="219" t="s">
        <v>48</v>
      </c>
      <c r="D87" s="86"/>
      <c r="E87" s="18"/>
      <c r="F87" s="18">
        <v>0.09</v>
      </c>
      <c r="G87" s="18">
        <v>3397.65</v>
      </c>
      <c r="H87" s="214">
        <f t="shared" ref="H87" si="7">G87*F87/1000</f>
        <v>0.30578850000000002</v>
      </c>
      <c r="I87" s="220">
        <f>G87*0.01</f>
        <v>33.976500000000001</v>
      </c>
    </row>
    <row r="88" spans="1:9" ht="15.75" customHeight="1">
      <c r="A88" s="49">
        <v>23</v>
      </c>
      <c r="B88" s="221" t="s">
        <v>227</v>
      </c>
      <c r="C88" s="222" t="s">
        <v>144</v>
      </c>
      <c r="D88" s="86"/>
      <c r="E88" s="18"/>
      <c r="F88" s="18">
        <v>1</v>
      </c>
      <c r="G88" s="18">
        <v>295.58999999999997</v>
      </c>
      <c r="H88" s="214">
        <f>G88*F88/1000</f>
        <v>0.29558999999999996</v>
      </c>
      <c r="I88" s="220">
        <f>G88</f>
        <v>295.58999999999997</v>
      </c>
    </row>
    <row r="89" spans="1:9" ht="15.75" customHeight="1">
      <c r="A89" s="49">
        <v>24</v>
      </c>
      <c r="B89" s="218" t="s">
        <v>204</v>
      </c>
      <c r="C89" s="219" t="s">
        <v>144</v>
      </c>
      <c r="D89" s="86"/>
      <c r="E89" s="18"/>
      <c r="F89" s="18">
        <v>2</v>
      </c>
      <c r="G89" s="18">
        <v>1072.21</v>
      </c>
      <c r="H89" s="214">
        <f>G89*F89/1000</f>
        <v>2.1444200000000002</v>
      </c>
      <c r="I89" s="220">
        <f t="shared" ref="I89" si="8">G89</f>
        <v>1072.21</v>
      </c>
    </row>
    <row r="90" spans="1:9" ht="15.75" customHeight="1">
      <c r="A90" s="49">
        <v>25</v>
      </c>
      <c r="B90" s="20" t="s">
        <v>176</v>
      </c>
      <c r="C90" s="22" t="s">
        <v>206</v>
      </c>
      <c r="D90" s="20"/>
      <c r="E90" s="25"/>
      <c r="F90" s="18">
        <v>1</v>
      </c>
      <c r="G90" s="18">
        <v>1501</v>
      </c>
      <c r="H90" s="18">
        <f t="shared" ref="H90" si="9">G90*F90/1000</f>
        <v>1.5009999999999999</v>
      </c>
      <c r="I90" s="220">
        <f>G90*0.66666</f>
        <v>1000.6566600000001</v>
      </c>
    </row>
    <row r="91" spans="1:9">
      <c r="A91" s="49"/>
      <c r="B91" s="80" t="s">
        <v>64</v>
      </c>
      <c r="C91" s="76"/>
      <c r="D91" s="129"/>
      <c r="E91" s="76">
        <v>1</v>
      </c>
      <c r="F91" s="76"/>
      <c r="G91" s="76"/>
      <c r="H91" s="76"/>
      <c r="I91" s="58">
        <f>SUM(I87:I90)</f>
        <v>2402.43316</v>
      </c>
    </row>
    <row r="92" spans="1:9" ht="16.5" customHeight="1">
      <c r="A92" s="49"/>
      <c r="B92" s="86" t="s">
        <v>100</v>
      </c>
      <c r="C92" s="21"/>
      <c r="D92" s="21"/>
      <c r="E92" s="77"/>
      <c r="F92" s="77"/>
      <c r="G92" s="78"/>
      <c r="H92" s="78"/>
      <c r="I92" s="24">
        <v>0</v>
      </c>
    </row>
    <row r="93" spans="1:9" ht="16.5" customHeight="1">
      <c r="A93" s="130"/>
      <c r="B93" s="81" t="s">
        <v>65</v>
      </c>
      <c r="C93" s="64"/>
      <c r="D93" s="64"/>
      <c r="E93" s="64"/>
      <c r="F93" s="64"/>
      <c r="G93" s="64"/>
      <c r="H93" s="64"/>
      <c r="I93" s="79">
        <f>I85+I91</f>
        <v>68896.941605283326</v>
      </c>
    </row>
    <row r="94" spans="1:9" ht="15.75" customHeight="1">
      <c r="A94" s="249" t="s">
        <v>265</v>
      </c>
      <c r="B94" s="249"/>
      <c r="C94" s="249"/>
      <c r="D94" s="249"/>
      <c r="E94" s="249"/>
      <c r="F94" s="249"/>
      <c r="G94" s="249"/>
      <c r="H94" s="249"/>
      <c r="I94" s="249"/>
    </row>
    <row r="95" spans="1:9" ht="15.75" customHeight="1">
      <c r="A95" s="190"/>
      <c r="B95" s="258" t="s">
        <v>266</v>
      </c>
      <c r="C95" s="258"/>
      <c r="D95" s="258"/>
      <c r="E95" s="258"/>
      <c r="F95" s="258"/>
      <c r="G95" s="258"/>
      <c r="H95" s="198"/>
      <c r="I95" s="3"/>
    </row>
    <row r="96" spans="1:9" ht="15.75" customHeight="1">
      <c r="A96" s="188"/>
      <c r="B96" s="255" t="s">
        <v>7</v>
      </c>
      <c r="C96" s="255"/>
      <c r="D96" s="255"/>
      <c r="E96" s="255"/>
      <c r="F96" s="255"/>
      <c r="G96" s="255"/>
      <c r="H96" s="39"/>
      <c r="I96" s="5"/>
    </row>
    <row r="97" spans="1:9" ht="15.7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>
      <c r="A98" s="259" t="s">
        <v>8</v>
      </c>
      <c r="B98" s="259"/>
      <c r="C98" s="259"/>
      <c r="D98" s="259"/>
      <c r="E98" s="259"/>
      <c r="F98" s="259"/>
      <c r="G98" s="259"/>
      <c r="H98" s="259"/>
      <c r="I98" s="259"/>
    </row>
    <row r="99" spans="1:9" ht="15.75">
      <c r="A99" s="259" t="s">
        <v>9</v>
      </c>
      <c r="B99" s="259"/>
      <c r="C99" s="259"/>
      <c r="D99" s="259"/>
      <c r="E99" s="259"/>
      <c r="F99" s="259"/>
      <c r="G99" s="259"/>
      <c r="H99" s="259"/>
      <c r="I99" s="259"/>
    </row>
    <row r="100" spans="1:9" ht="15.75">
      <c r="A100" s="242" t="s">
        <v>79</v>
      </c>
      <c r="B100" s="242"/>
      <c r="C100" s="242"/>
      <c r="D100" s="242"/>
      <c r="E100" s="242"/>
      <c r="F100" s="242"/>
      <c r="G100" s="242"/>
      <c r="H100" s="242"/>
      <c r="I100" s="242"/>
    </row>
    <row r="101" spans="1:9" ht="15.75">
      <c r="A101" s="12"/>
    </row>
    <row r="102" spans="1:9" ht="15.75">
      <c r="A102" s="243" t="s">
        <v>11</v>
      </c>
      <c r="B102" s="243"/>
      <c r="C102" s="243"/>
      <c r="D102" s="243"/>
      <c r="E102" s="243"/>
      <c r="F102" s="243"/>
      <c r="G102" s="243"/>
      <c r="H102" s="243"/>
      <c r="I102" s="243"/>
    </row>
    <row r="103" spans="1:9" ht="15.75">
      <c r="A103" s="4"/>
    </row>
    <row r="104" spans="1:9" ht="15.75">
      <c r="B104" s="189" t="s">
        <v>12</v>
      </c>
      <c r="C104" s="254" t="s">
        <v>187</v>
      </c>
      <c r="D104" s="254"/>
      <c r="E104" s="254"/>
      <c r="F104" s="196"/>
      <c r="I104" s="192"/>
    </row>
    <row r="105" spans="1:9">
      <c r="A105" s="188"/>
      <c r="C105" s="255" t="s">
        <v>13</v>
      </c>
      <c r="D105" s="255"/>
      <c r="E105" s="255"/>
      <c r="F105" s="39"/>
      <c r="I105" s="191" t="s">
        <v>14</v>
      </c>
    </row>
    <row r="106" spans="1:9" ht="15.75">
      <c r="A106" s="40"/>
      <c r="C106" s="13"/>
      <c r="D106" s="13"/>
      <c r="G106" s="13"/>
      <c r="H106" s="13"/>
    </row>
    <row r="107" spans="1:9" ht="15.75">
      <c r="B107" s="189" t="s">
        <v>15</v>
      </c>
      <c r="C107" s="256"/>
      <c r="D107" s="256"/>
      <c r="E107" s="256"/>
      <c r="F107" s="197"/>
      <c r="I107" s="192"/>
    </row>
    <row r="108" spans="1:9">
      <c r="A108" s="188"/>
      <c r="C108" s="248" t="s">
        <v>13</v>
      </c>
      <c r="D108" s="248"/>
      <c r="E108" s="248"/>
      <c r="F108" s="188"/>
      <c r="I108" s="191" t="s">
        <v>14</v>
      </c>
    </row>
    <row r="109" spans="1:9" ht="15.75">
      <c r="A109" s="4" t="s">
        <v>16</v>
      </c>
    </row>
    <row r="110" spans="1:9">
      <c r="A110" s="257" t="s">
        <v>17</v>
      </c>
      <c r="B110" s="257"/>
      <c r="C110" s="257"/>
      <c r="D110" s="257"/>
      <c r="E110" s="257"/>
      <c r="F110" s="257"/>
      <c r="G110" s="257"/>
      <c r="H110" s="257"/>
      <c r="I110" s="257"/>
    </row>
    <row r="111" spans="1:9" ht="47.25" customHeight="1">
      <c r="A111" s="250" t="s">
        <v>18</v>
      </c>
      <c r="B111" s="250"/>
      <c r="C111" s="250"/>
      <c r="D111" s="250"/>
      <c r="E111" s="250"/>
      <c r="F111" s="250"/>
      <c r="G111" s="250"/>
      <c r="H111" s="250"/>
      <c r="I111" s="250"/>
    </row>
    <row r="112" spans="1:9" ht="31.5" customHeight="1">
      <c r="A112" s="250" t="s">
        <v>19</v>
      </c>
      <c r="B112" s="250"/>
      <c r="C112" s="250"/>
      <c r="D112" s="250"/>
      <c r="E112" s="250"/>
      <c r="F112" s="250"/>
      <c r="G112" s="250"/>
      <c r="H112" s="250"/>
      <c r="I112" s="250"/>
    </row>
    <row r="113" spans="1:9" ht="31.5" customHeight="1">
      <c r="A113" s="250" t="s">
        <v>24</v>
      </c>
      <c r="B113" s="250"/>
      <c r="C113" s="250"/>
      <c r="D113" s="250"/>
      <c r="E113" s="250"/>
      <c r="F113" s="250"/>
      <c r="G113" s="250"/>
      <c r="H113" s="250"/>
      <c r="I113" s="250"/>
    </row>
    <row r="114" spans="1:9" ht="15.75">
      <c r="A114" s="250" t="s">
        <v>23</v>
      </c>
      <c r="B114" s="250"/>
      <c r="C114" s="250"/>
      <c r="D114" s="250"/>
      <c r="E114" s="250"/>
      <c r="F114" s="250"/>
      <c r="G114" s="250"/>
      <c r="H114" s="250"/>
      <c r="I114" s="250"/>
    </row>
  </sheetData>
  <autoFilter ref="I12:I67"/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7:I27"/>
    <mergeCell ref="A45:I45"/>
    <mergeCell ref="A56:I56"/>
    <mergeCell ref="A94:I94"/>
    <mergeCell ref="B95:G95"/>
    <mergeCell ref="B96:G96"/>
    <mergeCell ref="A98:I98"/>
    <mergeCell ref="A99:I99"/>
    <mergeCell ref="R71:U71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112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4" t="s">
        <v>122</v>
      </c>
      <c r="I1" s="43"/>
      <c r="J1" s="1"/>
      <c r="K1" s="1"/>
      <c r="L1" s="1"/>
      <c r="M1" s="1"/>
    </row>
    <row r="2" spans="1:13" ht="15.75">
      <c r="A2" s="45" t="s">
        <v>83</v>
      </c>
      <c r="J2" s="2"/>
      <c r="K2" s="2"/>
      <c r="L2" s="2"/>
      <c r="M2" s="2"/>
    </row>
    <row r="3" spans="1:13" ht="15.75" customHeight="1">
      <c r="A3" s="237" t="s">
        <v>246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188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109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187"/>
      <c r="C6" s="187"/>
      <c r="D6" s="187"/>
      <c r="E6" s="187"/>
      <c r="F6" s="187"/>
      <c r="G6" s="187"/>
      <c r="H6" s="187"/>
      <c r="I6" s="53">
        <v>42490</v>
      </c>
      <c r="J6" s="2"/>
      <c r="K6" s="2"/>
      <c r="L6" s="2"/>
      <c r="M6" s="2"/>
    </row>
    <row r="7" spans="1:13" ht="15.75">
      <c r="B7" s="189"/>
      <c r="C7" s="189"/>
      <c r="D7" s="18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271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189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6" t="s">
        <v>74</v>
      </c>
      <c r="B14" s="236"/>
      <c r="C14" s="236"/>
      <c r="D14" s="236"/>
      <c r="E14" s="236"/>
      <c r="F14" s="236"/>
      <c r="G14" s="236"/>
      <c r="H14" s="236"/>
      <c r="I14" s="236"/>
      <c r="J14" s="8"/>
      <c r="K14" s="8"/>
      <c r="L14" s="8"/>
      <c r="M14" s="8"/>
    </row>
    <row r="15" spans="1:13">
      <c r="A15" s="244" t="s">
        <v>4</v>
      </c>
      <c r="B15" s="244"/>
      <c r="C15" s="244"/>
      <c r="D15" s="244"/>
      <c r="E15" s="244"/>
      <c r="F15" s="244"/>
      <c r="G15" s="244"/>
      <c r="H15" s="244"/>
      <c r="I15" s="244"/>
      <c r="J15" s="8"/>
      <c r="K15" s="8"/>
      <c r="L15" s="8"/>
      <c r="M15" s="8"/>
    </row>
    <row r="16" spans="1:13" ht="31.5" customHeight="1">
      <c r="A16" s="49">
        <v>1</v>
      </c>
      <c r="B16" s="199" t="s">
        <v>124</v>
      </c>
      <c r="C16" s="200" t="s">
        <v>151</v>
      </c>
      <c r="D16" s="199" t="s">
        <v>190</v>
      </c>
      <c r="E16" s="201">
        <v>95.04</v>
      </c>
      <c r="F16" s="202">
        <f>SUM(E16*156/100)</f>
        <v>148.26240000000001</v>
      </c>
      <c r="G16" s="202">
        <v>187.48</v>
      </c>
      <c r="H16" s="203">
        <f t="shared" ref="H16:H24" si="0">SUM(F16*G16/1000)</f>
        <v>27.796234752</v>
      </c>
      <c r="I16" s="18">
        <f>F16/12*G16</f>
        <v>2316.3528960000003</v>
      </c>
      <c r="J16" s="8"/>
      <c r="K16" s="8"/>
      <c r="L16" s="8"/>
      <c r="M16" s="8"/>
    </row>
    <row r="17" spans="1:13" ht="31.5" customHeight="1">
      <c r="A17" s="49">
        <v>2</v>
      </c>
      <c r="B17" s="199" t="s">
        <v>147</v>
      </c>
      <c r="C17" s="200" t="s">
        <v>151</v>
      </c>
      <c r="D17" s="199" t="s">
        <v>191</v>
      </c>
      <c r="E17" s="201">
        <v>380.16</v>
      </c>
      <c r="F17" s="202">
        <f>SUM(E17*104/100)</f>
        <v>395.3664</v>
      </c>
      <c r="G17" s="202">
        <v>187.48</v>
      </c>
      <c r="H17" s="203">
        <f t="shared" si="0"/>
        <v>74.123292671999991</v>
      </c>
      <c r="I17" s="18">
        <f>F17/12*G17</f>
        <v>6176.9410559999997</v>
      </c>
      <c r="J17" s="34"/>
      <c r="K17" s="8"/>
      <c r="L17" s="8"/>
      <c r="M17" s="8"/>
    </row>
    <row r="18" spans="1:13" ht="31.5" customHeight="1">
      <c r="A18" s="49">
        <v>3</v>
      </c>
      <c r="B18" s="199" t="s">
        <v>148</v>
      </c>
      <c r="C18" s="200" t="s">
        <v>151</v>
      </c>
      <c r="D18" s="199" t="s">
        <v>192</v>
      </c>
      <c r="E18" s="201">
        <f>SUM(E16+E17)</f>
        <v>475.20000000000005</v>
      </c>
      <c r="F18" s="202">
        <f>SUM(E18*24/100)</f>
        <v>114.04800000000002</v>
      </c>
      <c r="G18" s="202">
        <v>539.30999999999995</v>
      </c>
      <c r="H18" s="203">
        <f t="shared" si="0"/>
        <v>61.507226880000005</v>
      </c>
      <c r="I18" s="18">
        <f>F18/12*G18</f>
        <v>5125.6022400000002</v>
      </c>
      <c r="J18" s="34"/>
      <c r="K18" s="8"/>
      <c r="L18" s="8"/>
      <c r="M18" s="8"/>
    </row>
    <row r="19" spans="1:13" ht="15.75" hidden="1" customHeight="1">
      <c r="A19" s="49">
        <v>4</v>
      </c>
      <c r="B19" s="199" t="s">
        <v>152</v>
      </c>
      <c r="C19" s="200" t="s">
        <v>153</v>
      </c>
      <c r="D19" s="199" t="s">
        <v>154</v>
      </c>
      <c r="E19" s="201">
        <v>93.4</v>
      </c>
      <c r="F19" s="202">
        <f>SUM(E19/10)</f>
        <v>9.34</v>
      </c>
      <c r="G19" s="202">
        <v>181.9</v>
      </c>
      <c r="H19" s="203">
        <f t="shared" si="0"/>
        <v>1.6989460000000001</v>
      </c>
      <c r="I19" s="18">
        <v>0</v>
      </c>
      <c r="J19" s="34"/>
      <c r="K19" s="8"/>
      <c r="L19" s="8"/>
      <c r="M19" s="8"/>
    </row>
    <row r="20" spans="1:13" ht="15.75" hidden="1" customHeight="1">
      <c r="A20" s="49"/>
      <c r="B20" s="199" t="s">
        <v>155</v>
      </c>
      <c r="C20" s="200" t="s">
        <v>151</v>
      </c>
      <c r="D20" s="199" t="s">
        <v>54</v>
      </c>
      <c r="E20" s="201">
        <v>43.2</v>
      </c>
      <c r="F20" s="202">
        <f>SUM(E20*2/100)</f>
        <v>0.8640000000000001</v>
      </c>
      <c r="G20" s="202">
        <v>232.91</v>
      </c>
      <c r="H20" s="203">
        <f t="shared" si="0"/>
        <v>0.20123424000000004</v>
      </c>
      <c r="I20" s="18">
        <v>0</v>
      </c>
      <c r="J20" s="34"/>
      <c r="K20" s="8"/>
      <c r="L20" s="8"/>
      <c r="M20" s="8"/>
    </row>
    <row r="21" spans="1:13" ht="15.75" hidden="1" customHeight="1">
      <c r="A21" s="49"/>
      <c r="B21" s="199" t="s">
        <v>156</v>
      </c>
      <c r="C21" s="200" t="s">
        <v>151</v>
      </c>
      <c r="D21" s="199" t="s">
        <v>54</v>
      </c>
      <c r="E21" s="201">
        <v>10.08</v>
      </c>
      <c r="F21" s="202">
        <f>SUM(E21*2/100)</f>
        <v>0.2016</v>
      </c>
      <c r="G21" s="202">
        <v>231.03</v>
      </c>
      <c r="H21" s="203">
        <f t="shared" si="0"/>
        <v>4.6575648000000004E-2</v>
      </c>
      <c r="I21" s="18">
        <v>0</v>
      </c>
      <c r="J21" s="34"/>
      <c r="K21" s="8"/>
      <c r="L21" s="8"/>
      <c r="M21" s="8"/>
    </row>
    <row r="22" spans="1:13" ht="15.75" hidden="1" customHeight="1">
      <c r="A22" s="49"/>
      <c r="B22" s="199" t="s">
        <v>157</v>
      </c>
      <c r="C22" s="200" t="s">
        <v>66</v>
      </c>
      <c r="D22" s="199" t="s">
        <v>154</v>
      </c>
      <c r="E22" s="201">
        <v>642.6</v>
      </c>
      <c r="F22" s="202">
        <f>SUM(E22/100)</f>
        <v>6.4260000000000002</v>
      </c>
      <c r="G22" s="202">
        <v>287.83999999999997</v>
      </c>
      <c r="H22" s="203">
        <f t="shared" si="0"/>
        <v>1.8496598399999997</v>
      </c>
      <c r="I22" s="18">
        <v>0</v>
      </c>
      <c r="J22" s="34"/>
      <c r="K22" s="8"/>
      <c r="L22" s="8"/>
      <c r="M22" s="8"/>
    </row>
    <row r="23" spans="1:13" ht="15.75" hidden="1" customHeight="1">
      <c r="A23" s="49"/>
      <c r="B23" s="199" t="s">
        <v>158</v>
      </c>
      <c r="C23" s="200" t="s">
        <v>66</v>
      </c>
      <c r="D23" s="199" t="s">
        <v>154</v>
      </c>
      <c r="E23" s="204">
        <v>35.28</v>
      </c>
      <c r="F23" s="202">
        <f>SUM(E23/100)</f>
        <v>0.3528</v>
      </c>
      <c r="G23" s="202">
        <v>47.35</v>
      </c>
      <c r="H23" s="203">
        <f t="shared" si="0"/>
        <v>1.6705080000000004E-2</v>
      </c>
      <c r="I23" s="18">
        <v>0</v>
      </c>
      <c r="J23" s="34"/>
      <c r="K23" s="8"/>
      <c r="L23" s="8"/>
      <c r="M23" s="8"/>
    </row>
    <row r="24" spans="1:13" ht="15.75" hidden="1" customHeight="1">
      <c r="A24" s="49"/>
      <c r="B24" s="199" t="s">
        <v>159</v>
      </c>
      <c r="C24" s="200" t="s">
        <v>66</v>
      </c>
      <c r="D24" s="199" t="s">
        <v>154</v>
      </c>
      <c r="E24" s="201">
        <v>28.8</v>
      </c>
      <c r="F24" s="202">
        <f>SUM(E24/100)</f>
        <v>0.28800000000000003</v>
      </c>
      <c r="G24" s="202">
        <v>556.74</v>
      </c>
      <c r="H24" s="203">
        <f t="shared" si="0"/>
        <v>0.16034112000000003</v>
      </c>
      <c r="I24" s="18">
        <v>0</v>
      </c>
      <c r="J24" s="34"/>
      <c r="K24" s="8"/>
      <c r="L24" s="8"/>
      <c r="M24" s="8"/>
    </row>
    <row r="25" spans="1:13" ht="15.75" customHeight="1">
      <c r="A25" s="49">
        <v>4</v>
      </c>
      <c r="B25" s="199" t="s">
        <v>85</v>
      </c>
      <c r="C25" s="200" t="s">
        <v>39</v>
      </c>
      <c r="D25" s="199" t="s">
        <v>219</v>
      </c>
      <c r="E25" s="201">
        <v>0.1</v>
      </c>
      <c r="F25" s="202">
        <f>SUM(E25*365)</f>
        <v>36.5</v>
      </c>
      <c r="G25" s="202">
        <v>157.18</v>
      </c>
      <c r="H25" s="203">
        <f>SUM(F25*G25/1000)</f>
        <v>5.737070000000001</v>
      </c>
      <c r="I25" s="18">
        <f>F25/12*G25</f>
        <v>478.08916666666664</v>
      </c>
      <c r="J25" s="34"/>
      <c r="K25" s="8"/>
      <c r="L25" s="8"/>
      <c r="M25" s="8"/>
    </row>
    <row r="26" spans="1:13" ht="15.75" customHeight="1">
      <c r="A26" s="49">
        <v>5</v>
      </c>
      <c r="B26" s="207" t="s">
        <v>26</v>
      </c>
      <c r="C26" s="200" t="s">
        <v>27</v>
      </c>
      <c r="D26" s="207" t="s">
        <v>207</v>
      </c>
      <c r="E26" s="201">
        <v>3945</v>
      </c>
      <c r="F26" s="202">
        <f>SUM(E26*12)</f>
        <v>47340</v>
      </c>
      <c r="G26" s="202">
        <v>5.33</v>
      </c>
      <c r="H26" s="203">
        <f>SUM(F26*G26/1000)</f>
        <v>252.32220000000001</v>
      </c>
      <c r="I26" s="18">
        <f>F26/12*G26</f>
        <v>21026.85</v>
      </c>
      <c r="J26" s="35"/>
    </row>
    <row r="27" spans="1:13" ht="15.75" customHeight="1">
      <c r="A27" s="245" t="s">
        <v>119</v>
      </c>
      <c r="B27" s="246"/>
      <c r="C27" s="246"/>
      <c r="D27" s="246"/>
      <c r="E27" s="246"/>
      <c r="F27" s="246"/>
      <c r="G27" s="246"/>
      <c r="H27" s="246"/>
      <c r="I27" s="247"/>
      <c r="J27" s="34"/>
      <c r="K27" s="8"/>
      <c r="L27" s="8"/>
      <c r="M27" s="8"/>
    </row>
    <row r="28" spans="1:13" ht="15.75" hidden="1" customHeight="1">
      <c r="A28" s="49"/>
      <c r="B28" s="224" t="s">
        <v>34</v>
      </c>
      <c r="C28" s="200"/>
      <c r="D28" s="199"/>
      <c r="E28" s="201"/>
      <c r="F28" s="202"/>
      <c r="G28" s="202"/>
      <c r="H28" s="203"/>
      <c r="I28" s="18"/>
      <c r="J28" s="34"/>
      <c r="K28" s="8"/>
      <c r="L28" s="8"/>
      <c r="M28" s="8"/>
    </row>
    <row r="29" spans="1:13" ht="31.5" hidden="1" customHeight="1">
      <c r="A29" s="49">
        <v>6</v>
      </c>
      <c r="B29" s="199" t="s">
        <v>160</v>
      </c>
      <c r="C29" s="200" t="s">
        <v>216</v>
      </c>
      <c r="D29" s="199" t="s">
        <v>217</v>
      </c>
      <c r="E29" s="202">
        <v>1044.6500000000001</v>
      </c>
      <c r="F29" s="202">
        <f>SUM(E29*52/1000)</f>
        <v>54.321800000000003</v>
      </c>
      <c r="G29" s="202">
        <v>166.65</v>
      </c>
      <c r="H29" s="203">
        <f t="shared" ref="H29:H35" si="1">SUM(F29*G29/1000)</f>
        <v>9.0527279700000012</v>
      </c>
      <c r="I29" s="18">
        <f>F29/6*G29</f>
        <v>1508.7879950000001</v>
      </c>
      <c r="J29" s="34"/>
      <c r="K29" s="8"/>
      <c r="L29" s="8"/>
      <c r="M29" s="8"/>
    </row>
    <row r="30" spans="1:13" ht="31.5" hidden="1" customHeight="1">
      <c r="A30" s="49">
        <v>7</v>
      </c>
      <c r="B30" s="199" t="s">
        <v>235</v>
      </c>
      <c r="C30" s="200" t="s">
        <v>161</v>
      </c>
      <c r="D30" s="199" t="s">
        <v>218</v>
      </c>
      <c r="E30" s="202">
        <v>116.93</v>
      </c>
      <c r="F30" s="202">
        <f>SUM(E30*78/1000)</f>
        <v>9.1205400000000001</v>
      </c>
      <c r="G30" s="202">
        <v>276.48</v>
      </c>
      <c r="H30" s="203">
        <f t="shared" si="1"/>
        <v>2.5216468991999998</v>
      </c>
      <c r="I30" s="18">
        <f t="shared" ref="I30:I33" si="2">F30/6*G30</f>
        <v>420.27448320000002</v>
      </c>
      <c r="J30" s="34"/>
      <c r="K30" s="8"/>
      <c r="L30" s="8"/>
      <c r="M30" s="8"/>
    </row>
    <row r="31" spans="1:13" ht="15.75" hidden="1" customHeight="1">
      <c r="A31" s="49"/>
      <c r="B31" s="199" t="s">
        <v>33</v>
      </c>
      <c r="C31" s="200" t="s">
        <v>161</v>
      </c>
      <c r="D31" s="199" t="s">
        <v>67</v>
      </c>
      <c r="E31" s="202">
        <v>1044.6500000000001</v>
      </c>
      <c r="F31" s="202">
        <f>SUM(E31/1000)</f>
        <v>1.0446500000000001</v>
      </c>
      <c r="G31" s="202">
        <v>3228.73</v>
      </c>
      <c r="H31" s="203">
        <f t="shared" si="1"/>
        <v>3.3728927945000007</v>
      </c>
      <c r="I31" s="18">
        <f>F31*G31</f>
        <v>3372.8927945000005</v>
      </c>
      <c r="J31" s="34"/>
      <c r="K31" s="8"/>
      <c r="L31" s="8"/>
      <c r="M31" s="8"/>
    </row>
    <row r="32" spans="1:13" ht="15.75" hidden="1" customHeight="1">
      <c r="A32" s="49">
        <v>8</v>
      </c>
      <c r="B32" s="199" t="s">
        <v>193</v>
      </c>
      <c r="C32" s="200" t="s">
        <v>50</v>
      </c>
      <c r="D32" s="199" t="s">
        <v>84</v>
      </c>
      <c r="E32" s="202">
        <v>6</v>
      </c>
      <c r="F32" s="202">
        <v>9.3000000000000007</v>
      </c>
      <c r="G32" s="202">
        <v>1391.86</v>
      </c>
      <c r="H32" s="203">
        <f>G32*F32/1000</f>
        <v>12.944298</v>
      </c>
      <c r="I32" s="18">
        <f t="shared" si="2"/>
        <v>2157.3829999999998</v>
      </c>
      <c r="J32" s="34"/>
      <c r="K32" s="8"/>
      <c r="L32" s="8"/>
      <c r="M32" s="8"/>
    </row>
    <row r="33" spans="1:14" ht="15.75" hidden="1" customHeight="1">
      <c r="A33" s="49">
        <v>9</v>
      </c>
      <c r="B33" s="199" t="s">
        <v>165</v>
      </c>
      <c r="C33" s="200" t="s">
        <v>37</v>
      </c>
      <c r="D33" s="199" t="s">
        <v>84</v>
      </c>
      <c r="E33" s="206">
        <v>0.33333333333333331</v>
      </c>
      <c r="F33" s="202">
        <f>155/3</f>
        <v>51.666666666666664</v>
      </c>
      <c r="G33" s="202">
        <v>60.6</v>
      </c>
      <c r="H33" s="203">
        <f>SUM(G33*155/3/1000)</f>
        <v>3.1309999999999998</v>
      </c>
      <c r="I33" s="18">
        <f t="shared" si="2"/>
        <v>521.83333333333337</v>
      </c>
      <c r="J33" s="34"/>
      <c r="K33" s="8"/>
      <c r="L33" s="8"/>
      <c r="M33" s="8"/>
    </row>
    <row r="34" spans="1:14" ht="15.75" hidden="1" customHeight="1">
      <c r="A34" s="49"/>
      <c r="B34" s="199" t="s">
        <v>86</v>
      </c>
      <c r="C34" s="200" t="s">
        <v>39</v>
      </c>
      <c r="D34" s="199" t="s">
        <v>88</v>
      </c>
      <c r="E34" s="201"/>
      <c r="F34" s="202">
        <v>3</v>
      </c>
      <c r="G34" s="202">
        <v>204.52</v>
      </c>
      <c r="H34" s="203">
        <f t="shared" si="1"/>
        <v>0.61356000000000011</v>
      </c>
      <c r="I34" s="18">
        <v>0</v>
      </c>
      <c r="J34" s="34"/>
      <c r="K34" s="8"/>
    </row>
    <row r="35" spans="1:14" ht="15.75" hidden="1" customHeight="1">
      <c r="A35" s="49"/>
      <c r="B35" s="199" t="s">
        <v>87</v>
      </c>
      <c r="C35" s="200" t="s">
        <v>38</v>
      </c>
      <c r="D35" s="199" t="s">
        <v>88</v>
      </c>
      <c r="E35" s="201"/>
      <c r="F35" s="202">
        <v>2</v>
      </c>
      <c r="G35" s="202">
        <v>1136.33</v>
      </c>
      <c r="H35" s="203">
        <f t="shared" si="1"/>
        <v>2.2726599999999997</v>
      </c>
      <c r="I35" s="18">
        <v>0</v>
      </c>
      <c r="J35" s="35"/>
    </row>
    <row r="36" spans="1:14" ht="15.75" customHeight="1">
      <c r="A36" s="49"/>
      <c r="B36" s="224" t="s">
        <v>5</v>
      </c>
      <c r="C36" s="200"/>
      <c r="D36" s="199"/>
      <c r="E36" s="201"/>
      <c r="F36" s="202"/>
      <c r="G36" s="202"/>
      <c r="H36" s="203" t="s">
        <v>207</v>
      </c>
      <c r="I36" s="18"/>
      <c r="J36" s="35"/>
    </row>
    <row r="37" spans="1:14" ht="15.75" customHeight="1">
      <c r="A37" s="49">
        <v>6</v>
      </c>
      <c r="B37" s="199" t="s">
        <v>31</v>
      </c>
      <c r="C37" s="200" t="s">
        <v>38</v>
      </c>
      <c r="D37" s="199"/>
      <c r="E37" s="201"/>
      <c r="F37" s="202">
        <v>8</v>
      </c>
      <c r="G37" s="202">
        <v>1632.6</v>
      </c>
      <c r="H37" s="203">
        <f t="shared" ref="H37:H44" si="3">SUM(F37*G37/1000)</f>
        <v>13.060799999999999</v>
      </c>
      <c r="I37" s="18">
        <f>F37/6*G37</f>
        <v>2176.7999999999997</v>
      </c>
      <c r="J37" s="35"/>
    </row>
    <row r="38" spans="1:14" ht="15.75" customHeight="1">
      <c r="A38" s="49">
        <v>7</v>
      </c>
      <c r="B38" s="199" t="s">
        <v>135</v>
      </c>
      <c r="C38" s="200" t="s">
        <v>35</v>
      </c>
      <c r="D38" s="199" t="s">
        <v>194</v>
      </c>
      <c r="E38" s="201">
        <v>477.19</v>
      </c>
      <c r="F38" s="202">
        <f>E38*12/1000</f>
        <v>5.72628</v>
      </c>
      <c r="G38" s="202">
        <v>2247.8000000000002</v>
      </c>
      <c r="H38" s="203">
        <f>G38*F38/1000</f>
        <v>12.871532184000001</v>
      </c>
      <c r="I38" s="18">
        <f>F38/6*G38</f>
        <v>2145.2553640000001</v>
      </c>
      <c r="J38" s="35"/>
    </row>
    <row r="39" spans="1:14" ht="15.75" customHeight="1">
      <c r="A39" s="49">
        <v>8</v>
      </c>
      <c r="B39" s="199" t="s">
        <v>167</v>
      </c>
      <c r="C39" s="200" t="s">
        <v>35</v>
      </c>
      <c r="D39" s="199" t="s">
        <v>166</v>
      </c>
      <c r="E39" s="201">
        <v>116.93</v>
      </c>
      <c r="F39" s="202">
        <f>E39*30/1000</f>
        <v>3.5079000000000002</v>
      </c>
      <c r="G39" s="202">
        <v>2247.8000000000002</v>
      </c>
      <c r="H39" s="203">
        <f>G39*F39/1000</f>
        <v>7.8850576200000013</v>
      </c>
      <c r="I39" s="18">
        <f>F39/6*G39</f>
        <v>1314.1762700000002</v>
      </c>
      <c r="J39" s="35"/>
    </row>
    <row r="40" spans="1:14" ht="15.75" hidden="1" customHeight="1">
      <c r="A40" s="49"/>
      <c r="B40" s="199" t="s">
        <v>169</v>
      </c>
      <c r="C40" s="200" t="s">
        <v>170</v>
      </c>
      <c r="D40" s="199" t="s">
        <v>88</v>
      </c>
      <c r="E40" s="201"/>
      <c r="F40" s="202">
        <v>135</v>
      </c>
      <c r="G40" s="202">
        <v>213.2</v>
      </c>
      <c r="H40" s="203">
        <f>G40*F40/1000</f>
        <v>28.782</v>
      </c>
      <c r="I40" s="18">
        <v>0</v>
      </c>
      <c r="J40" s="35"/>
      <c r="L40" s="27"/>
      <c r="M40" s="28"/>
      <c r="N40" s="29"/>
    </row>
    <row r="41" spans="1:14" ht="15.75" customHeight="1">
      <c r="A41" s="49">
        <v>9</v>
      </c>
      <c r="B41" s="199" t="s">
        <v>89</v>
      </c>
      <c r="C41" s="200" t="s">
        <v>35</v>
      </c>
      <c r="D41" s="199" t="s">
        <v>168</v>
      </c>
      <c r="E41" s="202">
        <v>116.93</v>
      </c>
      <c r="F41" s="202">
        <f>SUM(E41*155/1000)</f>
        <v>18.12415</v>
      </c>
      <c r="G41" s="202">
        <v>374.95</v>
      </c>
      <c r="H41" s="203">
        <f t="shared" si="3"/>
        <v>6.7956500424999993</v>
      </c>
      <c r="I41" s="18">
        <f>F41/6*G41</f>
        <v>1132.6083404166666</v>
      </c>
      <c r="J41" s="35"/>
      <c r="L41" s="27"/>
      <c r="M41" s="28"/>
      <c r="N41" s="29"/>
    </row>
    <row r="42" spans="1:14" ht="47.25" customHeight="1">
      <c r="A42" s="49">
        <v>10</v>
      </c>
      <c r="B42" s="199" t="s">
        <v>115</v>
      </c>
      <c r="C42" s="200" t="s">
        <v>161</v>
      </c>
      <c r="D42" s="199" t="s">
        <v>196</v>
      </c>
      <c r="E42" s="202">
        <v>116.93</v>
      </c>
      <c r="F42" s="202">
        <f>SUM(E42*24/1000)</f>
        <v>2.8063200000000004</v>
      </c>
      <c r="G42" s="202">
        <v>6203.71</v>
      </c>
      <c r="H42" s="203">
        <f t="shared" si="3"/>
        <v>17.409595447200001</v>
      </c>
      <c r="I42" s="18">
        <f>F42/6*G42</f>
        <v>2901.5992412000005</v>
      </c>
      <c r="J42" s="35"/>
      <c r="L42" s="27"/>
      <c r="M42" s="28"/>
      <c r="N42" s="29"/>
    </row>
    <row r="43" spans="1:14" ht="15.75" customHeight="1">
      <c r="A43" s="49">
        <v>11</v>
      </c>
      <c r="B43" s="199" t="s">
        <v>171</v>
      </c>
      <c r="C43" s="200" t="s">
        <v>161</v>
      </c>
      <c r="D43" s="199" t="s">
        <v>90</v>
      </c>
      <c r="E43" s="202">
        <v>116.93</v>
      </c>
      <c r="F43" s="202">
        <f>SUM(E43*45/1000)</f>
        <v>5.2618500000000008</v>
      </c>
      <c r="G43" s="202">
        <v>458.28</v>
      </c>
      <c r="H43" s="203">
        <f t="shared" si="3"/>
        <v>2.4114006180000001</v>
      </c>
      <c r="I43" s="18">
        <f>F43/6*G43</f>
        <v>401.90010300000006</v>
      </c>
      <c r="J43" s="35"/>
      <c r="L43" s="27"/>
      <c r="M43" s="28"/>
      <c r="N43" s="29"/>
    </row>
    <row r="44" spans="1:14" ht="15.75" customHeight="1">
      <c r="A44" s="49">
        <v>12</v>
      </c>
      <c r="B44" s="199" t="s">
        <v>91</v>
      </c>
      <c r="C44" s="200" t="s">
        <v>39</v>
      </c>
      <c r="D44" s="199"/>
      <c r="E44" s="201"/>
      <c r="F44" s="202">
        <v>0.9</v>
      </c>
      <c r="G44" s="202">
        <v>798</v>
      </c>
      <c r="H44" s="203">
        <f t="shared" si="3"/>
        <v>0.71820000000000006</v>
      </c>
      <c r="I44" s="18">
        <f>F44/6*G44</f>
        <v>119.69999999999999</v>
      </c>
      <c r="J44" s="35"/>
      <c r="L44" s="27"/>
      <c r="M44" s="28"/>
      <c r="N44" s="29"/>
    </row>
    <row r="45" spans="1:14" ht="15.75" customHeight="1">
      <c r="A45" s="245" t="s">
        <v>236</v>
      </c>
      <c r="B45" s="246"/>
      <c r="C45" s="246"/>
      <c r="D45" s="246"/>
      <c r="E45" s="246"/>
      <c r="F45" s="246"/>
      <c r="G45" s="246"/>
      <c r="H45" s="246"/>
      <c r="I45" s="247"/>
      <c r="J45" s="35"/>
      <c r="L45" s="27"/>
      <c r="M45" s="28"/>
      <c r="N45" s="29"/>
    </row>
    <row r="46" spans="1:14" ht="15.75" hidden="1" customHeight="1">
      <c r="A46" s="49"/>
      <c r="B46" s="199" t="s">
        <v>198</v>
      </c>
      <c r="C46" s="200" t="s">
        <v>161</v>
      </c>
      <c r="D46" s="199" t="s">
        <v>54</v>
      </c>
      <c r="E46" s="201">
        <v>1030.4000000000001</v>
      </c>
      <c r="F46" s="202">
        <f>SUM(E46*2/1000)</f>
        <v>2.0608</v>
      </c>
      <c r="G46" s="18">
        <v>908.1</v>
      </c>
      <c r="H46" s="203">
        <f t="shared" ref="H46:H55" si="4">SUM(F46*G46/1000)</f>
        <v>1.87141248</v>
      </c>
      <c r="I46" s="18">
        <v>0</v>
      </c>
      <c r="J46" s="35"/>
      <c r="L46" s="27"/>
      <c r="M46" s="28"/>
      <c r="N46" s="29"/>
    </row>
    <row r="47" spans="1:14" ht="15.75" hidden="1" customHeight="1">
      <c r="A47" s="49"/>
      <c r="B47" s="199" t="s">
        <v>43</v>
      </c>
      <c r="C47" s="200" t="s">
        <v>161</v>
      </c>
      <c r="D47" s="199" t="s">
        <v>54</v>
      </c>
      <c r="E47" s="201">
        <v>132</v>
      </c>
      <c r="F47" s="202">
        <f>E47*2/1000</f>
        <v>0.26400000000000001</v>
      </c>
      <c r="G47" s="18">
        <v>619.46</v>
      </c>
      <c r="H47" s="203">
        <f t="shared" si="4"/>
        <v>0.16353744000000001</v>
      </c>
      <c r="I47" s="18">
        <v>0</v>
      </c>
      <c r="J47" s="35"/>
      <c r="L47" s="27"/>
      <c r="M47" s="28"/>
      <c r="N47" s="29"/>
    </row>
    <row r="48" spans="1:14" ht="15.75" hidden="1" customHeight="1">
      <c r="A48" s="49"/>
      <c r="B48" s="199" t="s">
        <v>44</v>
      </c>
      <c r="C48" s="200" t="s">
        <v>161</v>
      </c>
      <c r="D48" s="199" t="s">
        <v>54</v>
      </c>
      <c r="E48" s="201">
        <v>4248.22</v>
      </c>
      <c r="F48" s="202">
        <f>SUM(E48*2/1000)</f>
        <v>8.4964399999999998</v>
      </c>
      <c r="G48" s="18">
        <v>619.46</v>
      </c>
      <c r="H48" s="203">
        <f t="shared" si="4"/>
        <v>5.2632047223999994</v>
      </c>
      <c r="I48" s="18">
        <v>0</v>
      </c>
      <c r="J48" s="35"/>
      <c r="L48" s="27"/>
      <c r="M48" s="28"/>
      <c r="N48" s="29"/>
    </row>
    <row r="49" spans="1:14" ht="15.75" hidden="1" customHeight="1">
      <c r="A49" s="49"/>
      <c r="B49" s="199" t="s">
        <v>45</v>
      </c>
      <c r="C49" s="200" t="s">
        <v>161</v>
      </c>
      <c r="D49" s="199" t="s">
        <v>54</v>
      </c>
      <c r="E49" s="201">
        <v>2163.66</v>
      </c>
      <c r="F49" s="202">
        <f>SUM(E49*2/1000)</f>
        <v>4.3273199999999994</v>
      </c>
      <c r="G49" s="18">
        <v>648.64</v>
      </c>
      <c r="H49" s="203">
        <f t="shared" si="4"/>
        <v>2.8068728447999995</v>
      </c>
      <c r="I49" s="18">
        <v>0</v>
      </c>
      <c r="J49" s="35"/>
      <c r="L49" s="27"/>
      <c r="M49" s="28"/>
      <c r="N49" s="29"/>
    </row>
    <row r="50" spans="1:14" ht="31.5" hidden="1" customHeight="1">
      <c r="A50" s="49">
        <v>13</v>
      </c>
      <c r="B50" s="199" t="s">
        <v>71</v>
      </c>
      <c r="C50" s="200" t="s">
        <v>161</v>
      </c>
      <c r="D50" s="199" t="s">
        <v>237</v>
      </c>
      <c r="E50" s="201">
        <v>1015.4</v>
      </c>
      <c r="F50" s="202">
        <f>SUM(E50*5/1000)</f>
        <v>5.077</v>
      </c>
      <c r="G50" s="18">
        <v>1297.28</v>
      </c>
      <c r="H50" s="203">
        <f t="shared" si="4"/>
        <v>6.5862905599999992</v>
      </c>
      <c r="I50" s="18">
        <f>F50/5*G50</f>
        <v>1317.258112</v>
      </c>
      <c r="J50" s="35"/>
      <c r="L50" s="27"/>
      <c r="M50" s="28"/>
      <c r="N50" s="29"/>
    </row>
    <row r="51" spans="1:14" ht="31.5" customHeight="1">
      <c r="A51" s="49">
        <v>13</v>
      </c>
      <c r="B51" s="199" t="s">
        <v>173</v>
      </c>
      <c r="C51" s="200" t="s">
        <v>161</v>
      </c>
      <c r="D51" s="199" t="s">
        <v>54</v>
      </c>
      <c r="E51" s="201">
        <v>1015.4</v>
      </c>
      <c r="F51" s="202">
        <f>SUM(E51*2/1000)</f>
        <v>2.0308000000000002</v>
      </c>
      <c r="G51" s="18">
        <v>1297.28</v>
      </c>
      <c r="H51" s="203">
        <f t="shared" si="4"/>
        <v>2.634516224</v>
      </c>
      <c r="I51" s="18">
        <f>F51/2*G51</f>
        <v>1317.258112</v>
      </c>
      <c r="J51" s="35"/>
      <c r="L51" s="27"/>
      <c r="M51" s="28"/>
      <c r="N51" s="29"/>
    </row>
    <row r="52" spans="1:14" ht="31.5" customHeight="1">
      <c r="A52" s="49">
        <v>14</v>
      </c>
      <c r="B52" s="199" t="s">
        <v>174</v>
      </c>
      <c r="C52" s="200" t="s">
        <v>48</v>
      </c>
      <c r="D52" s="199" t="s">
        <v>54</v>
      </c>
      <c r="E52" s="201">
        <v>30</v>
      </c>
      <c r="F52" s="202">
        <f>SUM(E52*2/100)</f>
        <v>0.6</v>
      </c>
      <c r="G52" s="18">
        <v>2918.89</v>
      </c>
      <c r="H52" s="203">
        <f t="shared" si="4"/>
        <v>1.7513339999999997</v>
      </c>
      <c r="I52" s="18">
        <f>F52/2*G52</f>
        <v>875.66699999999992</v>
      </c>
      <c r="J52" s="35"/>
      <c r="L52" s="27"/>
      <c r="M52" s="28"/>
      <c r="N52" s="29"/>
    </row>
    <row r="53" spans="1:14" ht="15.75" hidden="1" customHeight="1">
      <c r="A53" s="49"/>
      <c r="B53" s="199" t="s">
        <v>49</v>
      </c>
      <c r="C53" s="200" t="s">
        <v>50</v>
      </c>
      <c r="D53" s="199" t="s">
        <v>54</v>
      </c>
      <c r="E53" s="201">
        <v>1</v>
      </c>
      <c r="F53" s="202">
        <v>0.02</v>
      </c>
      <c r="G53" s="18">
        <v>6042.13</v>
      </c>
      <c r="H53" s="203">
        <f t="shared" si="4"/>
        <v>0.12084260000000001</v>
      </c>
      <c r="I53" s="18">
        <v>0</v>
      </c>
      <c r="J53" s="35"/>
      <c r="L53" s="27"/>
      <c r="M53" s="28"/>
      <c r="N53" s="29"/>
    </row>
    <row r="54" spans="1:14" ht="15.75" customHeight="1">
      <c r="A54" s="49">
        <v>15</v>
      </c>
      <c r="B54" s="199" t="s">
        <v>197</v>
      </c>
      <c r="C54" s="200" t="s">
        <v>144</v>
      </c>
      <c r="D54" s="199" t="s">
        <v>92</v>
      </c>
      <c r="E54" s="201">
        <v>90</v>
      </c>
      <c r="F54" s="202">
        <f>E54*4</f>
        <v>360</v>
      </c>
      <c r="G54" s="18">
        <v>150.86000000000001</v>
      </c>
      <c r="H54" s="203">
        <f>F54*G54/1000</f>
        <v>54.309600000000003</v>
      </c>
      <c r="I54" s="18">
        <f>G54*E54</f>
        <v>13577.400000000001</v>
      </c>
      <c r="J54" s="35"/>
      <c r="L54" s="27"/>
      <c r="M54" s="28"/>
      <c r="N54" s="29"/>
    </row>
    <row r="55" spans="1:14" ht="15.75" customHeight="1">
      <c r="A55" s="49">
        <v>16</v>
      </c>
      <c r="B55" s="199" t="s">
        <v>53</v>
      </c>
      <c r="C55" s="200" t="s">
        <v>144</v>
      </c>
      <c r="D55" s="199" t="s">
        <v>92</v>
      </c>
      <c r="E55" s="201">
        <v>180</v>
      </c>
      <c r="F55" s="202">
        <f>SUM(E55)*3</f>
        <v>540</v>
      </c>
      <c r="G55" s="18">
        <v>70.2</v>
      </c>
      <c r="H55" s="203">
        <f t="shared" si="4"/>
        <v>37.908000000000001</v>
      </c>
      <c r="I55" s="18">
        <f>G55*E55</f>
        <v>12636</v>
      </c>
      <c r="J55" s="35"/>
      <c r="L55" s="27"/>
      <c r="M55" s="28"/>
      <c r="N55" s="29"/>
    </row>
    <row r="56" spans="1:14" ht="15.75" customHeight="1">
      <c r="A56" s="245" t="s">
        <v>238</v>
      </c>
      <c r="B56" s="246"/>
      <c r="C56" s="246"/>
      <c r="D56" s="246"/>
      <c r="E56" s="246"/>
      <c r="F56" s="246"/>
      <c r="G56" s="246"/>
      <c r="H56" s="246"/>
      <c r="I56" s="247"/>
      <c r="J56" s="35"/>
      <c r="L56" s="27"/>
      <c r="M56" s="28"/>
      <c r="N56" s="29"/>
    </row>
    <row r="57" spans="1:14" ht="15.75" customHeight="1">
      <c r="A57" s="49"/>
      <c r="B57" s="224" t="s">
        <v>55</v>
      </c>
      <c r="C57" s="200"/>
      <c r="D57" s="199"/>
      <c r="E57" s="201"/>
      <c r="F57" s="202"/>
      <c r="G57" s="202"/>
      <c r="H57" s="203"/>
      <c r="I57" s="18"/>
      <c r="J57" s="35"/>
      <c r="L57" s="27"/>
      <c r="M57" s="28"/>
      <c r="N57" s="29"/>
    </row>
    <row r="58" spans="1:14" ht="31.5" customHeight="1">
      <c r="A58" s="49">
        <v>17</v>
      </c>
      <c r="B58" s="199" t="s">
        <v>199</v>
      </c>
      <c r="C58" s="200" t="s">
        <v>151</v>
      </c>
      <c r="D58" s="199" t="s">
        <v>175</v>
      </c>
      <c r="E58" s="201">
        <v>148.04</v>
      </c>
      <c r="F58" s="202">
        <f>SUM(E58*6/100)</f>
        <v>8.8824000000000005</v>
      </c>
      <c r="G58" s="18">
        <v>1654.04</v>
      </c>
      <c r="H58" s="203">
        <f>SUM(F58*G58/1000)</f>
        <v>14.691844896000001</v>
      </c>
      <c r="I58" s="18">
        <f>F58/6*G58</f>
        <v>2448.6408160000001</v>
      </c>
      <c r="J58" s="35"/>
      <c r="L58" s="27"/>
      <c r="M58" s="28"/>
      <c r="N58" s="29"/>
    </row>
    <row r="59" spans="1:14" ht="31.5" customHeight="1">
      <c r="A59" s="49">
        <v>18</v>
      </c>
      <c r="B59" s="199" t="s">
        <v>142</v>
      </c>
      <c r="C59" s="200" t="s">
        <v>151</v>
      </c>
      <c r="D59" s="199" t="s">
        <v>143</v>
      </c>
      <c r="E59" s="201">
        <v>39.700000000000003</v>
      </c>
      <c r="F59" s="202">
        <f>SUM(E59*12/100)</f>
        <v>4.7640000000000002</v>
      </c>
      <c r="G59" s="18">
        <v>1654.04</v>
      </c>
      <c r="H59" s="203">
        <f>SUM(F59*G59/1000)</f>
        <v>7.8798465599999998</v>
      </c>
      <c r="I59" s="18">
        <f>F59/6*G59</f>
        <v>1313.3077600000001</v>
      </c>
      <c r="J59" s="35"/>
      <c r="L59" s="27"/>
      <c r="M59" s="28"/>
      <c r="N59" s="29"/>
    </row>
    <row r="60" spans="1:14" ht="15.75" hidden="1" customHeight="1">
      <c r="A60" s="49">
        <v>18</v>
      </c>
      <c r="B60" s="208" t="s">
        <v>200</v>
      </c>
      <c r="C60" s="209" t="s">
        <v>201</v>
      </c>
      <c r="D60" s="208" t="s">
        <v>54</v>
      </c>
      <c r="E60" s="210">
        <v>8</v>
      </c>
      <c r="F60" s="211">
        <v>16</v>
      </c>
      <c r="G60" s="18">
        <v>193.25</v>
      </c>
      <c r="H60" s="212">
        <f>F60*G60/1000</f>
        <v>3.0920000000000001</v>
      </c>
      <c r="I60" s="18">
        <f>F60/2*G60</f>
        <v>1546</v>
      </c>
      <c r="J60" s="35"/>
      <c r="L60" s="27"/>
      <c r="M60" s="28"/>
      <c r="N60" s="29"/>
    </row>
    <row r="61" spans="1:14" ht="15.75" customHeight="1">
      <c r="A61" s="49">
        <v>19</v>
      </c>
      <c r="B61" s="199" t="s">
        <v>202</v>
      </c>
      <c r="C61" s="200" t="s">
        <v>151</v>
      </c>
      <c r="D61" s="199" t="s">
        <v>175</v>
      </c>
      <c r="E61" s="201">
        <v>41.73</v>
      </c>
      <c r="F61" s="202">
        <f>SUM(E61*6/100)</f>
        <v>2.5038</v>
      </c>
      <c r="G61" s="18">
        <v>1654.04</v>
      </c>
      <c r="H61" s="203">
        <f>SUM(F61*G61/1000)</f>
        <v>4.1413853520000004</v>
      </c>
      <c r="I61" s="18">
        <f>F61/6*G61</f>
        <v>690.23089200000004</v>
      </c>
      <c r="J61" s="35"/>
      <c r="L61" s="27"/>
      <c r="M61" s="28"/>
      <c r="N61" s="29"/>
    </row>
    <row r="62" spans="1:14" ht="15.75" customHeight="1">
      <c r="A62" s="49"/>
      <c r="B62" s="225" t="s">
        <v>56</v>
      </c>
      <c r="C62" s="209"/>
      <c r="D62" s="208"/>
      <c r="E62" s="210"/>
      <c r="F62" s="211"/>
      <c r="G62" s="18"/>
      <c r="H62" s="212"/>
      <c r="I62" s="18"/>
      <c r="J62" s="35"/>
      <c r="L62" s="27"/>
      <c r="M62" s="28"/>
      <c r="N62" s="29"/>
    </row>
    <row r="63" spans="1:14" ht="15.75" hidden="1" customHeight="1">
      <c r="A63" s="49"/>
      <c r="B63" s="208" t="s">
        <v>57</v>
      </c>
      <c r="C63" s="209" t="s">
        <v>66</v>
      </c>
      <c r="D63" s="208" t="s">
        <v>67</v>
      </c>
      <c r="E63" s="210">
        <v>1015.4</v>
      </c>
      <c r="F63" s="211">
        <v>10.154</v>
      </c>
      <c r="G63" s="18">
        <v>848.37</v>
      </c>
      <c r="H63" s="212">
        <f>F63*G63/1000</f>
        <v>8.6143489800000008</v>
      </c>
      <c r="I63" s="18">
        <v>0</v>
      </c>
      <c r="J63" s="35"/>
      <c r="L63" s="27"/>
      <c r="M63" s="28"/>
      <c r="N63" s="29"/>
    </row>
    <row r="64" spans="1:14" ht="15.75" customHeight="1">
      <c r="A64" s="49">
        <v>20</v>
      </c>
      <c r="B64" s="208" t="s">
        <v>146</v>
      </c>
      <c r="C64" s="209" t="s">
        <v>29</v>
      </c>
      <c r="D64" s="208" t="s">
        <v>36</v>
      </c>
      <c r="E64" s="210">
        <v>203.1</v>
      </c>
      <c r="F64" s="213">
        <f>E64*12</f>
        <v>2437.1999999999998</v>
      </c>
      <c r="G64" s="194">
        <v>2.6</v>
      </c>
      <c r="H64" s="211">
        <f>F64*G64/1000</f>
        <v>6.3367199999999997</v>
      </c>
      <c r="I64" s="18">
        <f>F64/12*G64</f>
        <v>528.06000000000006</v>
      </c>
      <c r="J64" s="35"/>
      <c r="L64" s="27"/>
      <c r="M64" s="28"/>
      <c r="N64" s="29"/>
    </row>
    <row r="65" spans="1:21" ht="15.75" hidden="1" customHeight="1">
      <c r="A65" s="49"/>
      <c r="B65" s="225" t="s">
        <v>58</v>
      </c>
      <c r="C65" s="209"/>
      <c r="D65" s="208"/>
      <c r="E65" s="210"/>
      <c r="F65" s="213"/>
      <c r="G65" s="213"/>
      <c r="H65" s="211" t="s">
        <v>207</v>
      </c>
      <c r="I65" s="18"/>
      <c r="J65" s="35"/>
      <c r="L65" s="27"/>
    </row>
    <row r="66" spans="1:21" ht="15.75" hidden="1" customHeight="1">
      <c r="A66" s="49"/>
      <c r="B66" s="20" t="s">
        <v>59</v>
      </c>
      <c r="C66" s="22" t="s">
        <v>144</v>
      </c>
      <c r="D66" s="20" t="s">
        <v>88</v>
      </c>
      <c r="E66" s="25">
        <v>10</v>
      </c>
      <c r="F66" s="202">
        <v>10</v>
      </c>
      <c r="G66" s="18">
        <v>237.75</v>
      </c>
      <c r="H66" s="214">
        <f t="shared" ref="H66:H79" si="5">SUM(F66*G66/1000)</f>
        <v>2.3774999999999999</v>
      </c>
      <c r="I66" s="18">
        <v>0</v>
      </c>
      <c r="J66" s="35"/>
      <c r="L66" s="27"/>
    </row>
    <row r="67" spans="1:21" ht="15.75" hidden="1" customHeight="1">
      <c r="A67" s="49"/>
      <c r="B67" s="20" t="s">
        <v>60</v>
      </c>
      <c r="C67" s="22" t="s">
        <v>144</v>
      </c>
      <c r="D67" s="20" t="s">
        <v>88</v>
      </c>
      <c r="E67" s="25">
        <v>5</v>
      </c>
      <c r="F67" s="202">
        <v>5</v>
      </c>
      <c r="G67" s="18">
        <v>81.510000000000005</v>
      </c>
      <c r="H67" s="214">
        <f t="shared" si="5"/>
        <v>0.40755000000000002</v>
      </c>
      <c r="I67" s="18">
        <v>0</v>
      </c>
      <c r="J67" s="35"/>
      <c r="L67" s="27"/>
    </row>
    <row r="68" spans="1:21" ht="15.75" hidden="1" customHeight="1">
      <c r="A68" s="49"/>
      <c r="B68" s="20" t="s">
        <v>61</v>
      </c>
      <c r="C68" s="22" t="s">
        <v>177</v>
      </c>
      <c r="D68" s="20" t="s">
        <v>67</v>
      </c>
      <c r="E68" s="201">
        <v>14205</v>
      </c>
      <c r="F68" s="18">
        <f>SUM(E68/100)</f>
        <v>142.05000000000001</v>
      </c>
      <c r="G68" s="18">
        <v>226.79</v>
      </c>
      <c r="H68" s="214">
        <f t="shared" si="5"/>
        <v>32.215519499999999</v>
      </c>
      <c r="I68" s="18">
        <v>0</v>
      </c>
    </row>
    <row r="69" spans="1:21" ht="15.75" hidden="1" customHeight="1">
      <c r="A69" s="49"/>
      <c r="B69" s="20" t="s">
        <v>62</v>
      </c>
      <c r="C69" s="22" t="s">
        <v>178</v>
      </c>
      <c r="D69" s="20" t="s">
        <v>67</v>
      </c>
      <c r="E69" s="201">
        <v>14205</v>
      </c>
      <c r="F69" s="18">
        <f>SUM(E69/1000)</f>
        <v>14.205</v>
      </c>
      <c r="G69" s="18">
        <v>176.61</v>
      </c>
      <c r="H69" s="214">
        <f t="shared" si="5"/>
        <v>2.5087450499999999</v>
      </c>
      <c r="I69" s="18">
        <v>0</v>
      </c>
      <c r="J69" s="40"/>
      <c r="K69" s="40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49"/>
      <c r="B70" s="20" t="s">
        <v>63</v>
      </c>
      <c r="C70" s="22" t="s">
        <v>98</v>
      </c>
      <c r="D70" s="20" t="s">
        <v>67</v>
      </c>
      <c r="E70" s="201">
        <v>2131</v>
      </c>
      <c r="F70" s="18">
        <f>SUM(E70/100)</f>
        <v>21.31</v>
      </c>
      <c r="G70" s="18">
        <v>2217.7800000000002</v>
      </c>
      <c r="H70" s="214">
        <f t="shared" si="5"/>
        <v>47.260891800000003</v>
      </c>
      <c r="I70" s="18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49"/>
      <c r="B71" s="215" t="s">
        <v>179</v>
      </c>
      <c r="C71" s="22" t="s">
        <v>39</v>
      </c>
      <c r="D71" s="20" t="s">
        <v>67</v>
      </c>
      <c r="E71" s="201">
        <v>12.48</v>
      </c>
      <c r="F71" s="18">
        <f>SUM(E71)</f>
        <v>12.48</v>
      </c>
      <c r="G71" s="18">
        <v>42.67</v>
      </c>
      <c r="H71" s="214">
        <f t="shared" si="5"/>
        <v>0.53252160000000004</v>
      </c>
      <c r="I71" s="18">
        <v>0</v>
      </c>
      <c r="J71" s="5"/>
      <c r="K71" s="5"/>
      <c r="L71" s="5"/>
      <c r="M71" s="5"/>
      <c r="N71" s="5"/>
      <c r="O71" s="5"/>
      <c r="P71" s="5"/>
      <c r="Q71" s="5"/>
      <c r="R71" s="248"/>
      <c r="S71" s="248"/>
      <c r="T71" s="248"/>
      <c r="U71" s="248"/>
    </row>
    <row r="72" spans="1:21" ht="15.75" hidden="1" customHeight="1">
      <c r="A72" s="49"/>
      <c r="B72" s="215" t="s">
        <v>180</v>
      </c>
      <c r="C72" s="22" t="s">
        <v>39</v>
      </c>
      <c r="D72" s="20" t="s">
        <v>67</v>
      </c>
      <c r="E72" s="201">
        <v>12.48</v>
      </c>
      <c r="F72" s="18">
        <f>SUM(E72)</f>
        <v>12.48</v>
      </c>
      <c r="G72" s="18">
        <v>39.81</v>
      </c>
      <c r="H72" s="214">
        <f t="shared" si="5"/>
        <v>0.49682880000000007</v>
      </c>
      <c r="I72" s="18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hidden="1" customHeight="1">
      <c r="A73" s="49"/>
      <c r="B73" s="20" t="s">
        <v>72</v>
      </c>
      <c r="C73" s="22" t="s">
        <v>73</v>
      </c>
      <c r="D73" s="20" t="s">
        <v>67</v>
      </c>
      <c r="E73" s="25">
        <v>5</v>
      </c>
      <c r="F73" s="202">
        <v>5</v>
      </c>
      <c r="G73" s="18">
        <v>53.32</v>
      </c>
      <c r="H73" s="214">
        <f t="shared" si="5"/>
        <v>0.2666</v>
      </c>
      <c r="I73" s="18">
        <v>0</v>
      </c>
    </row>
    <row r="74" spans="1:21" ht="15.75" customHeight="1">
      <c r="A74" s="49"/>
      <c r="B74" s="193" t="s">
        <v>93</v>
      </c>
      <c r="C74" s="22"/>
      <c r="D74" s="20"/>
      <c r="E74" s="25"/>
      <c r="F74" s="18"/>
      <c r="G74" s="18"/>
      <c r="H74" s="214" t="s">
        <v>207</v>
      </c>
      <c r="I74" s="18"/>
    </row>
    <row r="75" spans="1:21" ht="15.75" hidden="1" customHeight="1">
      <c r="A75" s="49">
        <v>21</v>
      </c>
      <c r="B75" s="20" t="s">
        <v>94</v>
      </c>
      <c r="C75" s="22" t="s">
        <v>96</v>
      </c>
      <c r="D75" s="20" t="s">
        <v>88</v>
      </c>
      <c r="E75" s="25">
        <v>2</v>
      </c>
      <c r="F75" s="18">
        <v>0.2</v>
      </c>
      <c r="G75" s="18">
        <v>536.23</v>
      </c>
      <c r="H75" s="214">
        <f t="shared" si="5"/>
        <v>0.10724600000000001</v>
      </c>
      <c r="I75" s="18">
        <f>G75*0.1</f>
        <v>53.623000000000005</v>
      </c>
    </row>
    <row r="76" spans="1:21" ht="15.75" hidden="1" customHeight="1">
      <c r="A76" s="49"/>
      <c r="B76" s="20" t="s">
        <v>95</v>
      </c>
      <c r="C76" s="22" t="s">
        <v>37</v>
      </c>
      <c r="D76" s="20" t="s">
        <v>88</v>
      </c>
      <c r="E76" s="25">
        <v>1</v>
      </c>
      <c r="F76" s="194">
        <v>1</v>
      </c>
      <c r="G76" s="18">
        <v>911.85</v>
      </c>
      <c r="H76" s="214">
        <f>F76*G76/1000</f>
        <v>0.91185000000000005</v>
      </c>
      <c r="I76" s="18">
        <v>0</v>
      </c>
    </row>
    <row r="77" spans="1:21" ht="15.75" customHeight="1">
      <c r="A77" s="49">
        <v>21</v>
      </c>
      <c r="B77" s="20" t="s">
        <v>203</v>
      </c>
      <c r="C77" s="22" t="s">
        <v>37</v>
      </c>
      <c r="D77" s="20" t="s">
        <v>88</v>
      </c>
      <c r="E77" s="25">
        <v>1</v>
      </c>
      <c r="F77" s="18">
        <v>1</v>
      </c>
      <c r="G77" s="18">
        <v>383.25</v>
      </c>
      <c r="H77" s="214">
        <f>G77*F77/1000</f>
        <v>0.38324999999999998</v>
      </c>
      <c r="I77" s="18">
        <f>G77</f>
        <v>383.25</v>
      </c>
    </row>
    <row r="78" spans="1:21" ht="15.75" hidden="1" customHeight="1">
      <c r="A78" s="49"/>
      <c r="B78" s="216" t="s">
        <v>97</v>
      </c>
      <c r="C78" s="22"/>
      <c r="D78" s="20"/>
      <c r="E78" s="25"/>
      <c r="F78" s="18"/>
      <c r="G78" s="18" t="s">
        <v>207</v>
      </c>
      <c r="H78" s="214" t="s">
        <v>207</v>
      </c>
      <c r="I78" s="18"/>
    </row>
    <row r="79" spans="1:21" ht="15.75" hidden="1" customHeight="1">
      <c r="A79" s="49">
        <v>22</v>
      </c>
      <c r="B79" s="86" t="s">
        <v>183</v>
      </c>
      <c r="C79" s="22" t="s">
        <v>98</v>
      </c>
      <c r="D79" s="20"/>
      <c r="E79" s="25"/>
      <c r="F79" s="18">
        <v>0.9</v>
      </c>
      <c r="G79" s="18">
        <v>2757.42</v>
      </c>
      <c r="H79" s="214">
        <f t="shared" si="5"/>
        <v>2.4816780000000005</v>
      </c>
      <c r="I79" s="18">
        <f>G79*F79</f>
        <v>2481.6780000000003</v>
      </c>
    </row>
    <row r="80" spans="1:21" ht="15.75" hidden="1" customHeight="1">
      <c r="A80" s="49"/>
      <c r="B80" s="193" t="s">
        <v>181</v>
      </c>
      <c r="C80" s="216"/>
      <c r="D80" s="54"/>
      <c r="E80" s="58"/>
      <c r="F80" s="205"/>
      <c r="G80" s="205"/>
      <c r="H80" s="217">
        <f>SUM(H58:H79)</f>
        <v>134.70632653799998</v>
      </c>
      <c r="I80" s="205"/>
    </row>
    <row r="81" spans="1:9" ht="15.75" hidden="1" customHeight="1">
      <c r="A81" s="226">
        <v>23</v>
      </c>
      <c r="B81" s="208" t="s">
        <v>182</v>
      </c>
      <c r="C81" s="227"/>
      <c r="D81" s="228"/>
      <c r="E81" s="195"/>
      <c r="F81" s="220">
        <v>1</v>
      </c>
      <c r="G81" s="220">
        <v>27901.200000000001</v>
      </c>
      <c r="H81" s="229">
        <f>G81*F81/1000</f>
        <v>27.901199999999999</v>
      </c>
      <c r="I81" s="220">
        <f>G81</f>
        <v>27901.200000000001</v>
      </c>
    </row>
    <row r="82" spans="1:9" ht="15.75" customHeight="1">
      <c r="A82" s="251" t="s">
        <v>239</v>
      </c>
      <c r="B82" s="252"/>
      <c r="C82" s="252"/>
      <c r="D82" s="252"/>
      <c r="E82" s="252"/>
      <c r="F82" s="252"/>
      <c r="G82" s="252"/>
      <c r="H82" s="252"/>
      <c r="I82" s="253"/>
    </row>
    <row r="83" spans="1:9" ht="15.75" customHeight="1">
      <c r="A83" s="230">
        <v>24</v>
      </c>
      <c r="B83" s="235" t="s">
        <v>184</v>
      </c>
      <c r="C83" s="231" t="s">
        <v>68</v>
      </c>
      <c r="D83" s="232" t="s">
        <v>69</v>
      </c>
      <c r="E83" s="233">
        <v>3945</v>
      </c>
      <c r="F83" s="233">
        <f>SUM(E83*12)</f>
        <v>47340</v>
      </c>
      <c r="G83" s="233">
        <v>2.2400000000000002</v>
      </c>
      <c r="H83" s="234">
        <f>SUM(F83*G83/1000)</f>
        <v>106.0416</v>
      </c>
      <c r="I83" s="233">
        <f>F83/12*G83</f>
        <v>8836.8000000000011</v>
      </c>
    </row>
    <row r="84" spans="1:9" ht="31.5" customHeight="1">
      <c r="A84" s="49">
        <v>25</v>
      </c>
      <c r="B84" s="20" t="s">
        <v>99</v>
      </c>
      <c r="C84" s="22"/>
      <c r="D84" s="232" t="s">
        <v>69</v>
      </c>
      <c r="E84" s="201">
        <f>E83</f>
        <v>3945</v>
      </c>
      <c r="F84" s="18">
        <f>E84*12</f>
        <v>47340</v>
      </c>
      <c r="G84" s="18">
        <v>1.74</v>
      </c>
      <c r="H84" s="214">
        <f>F84*G84/1000</f>
        <v>82.371600000000001</v>
      </c>
      <c r="I84" s="18">
        <f>F84/12*G84</f>
        <v>6864.3</v>
      </c>
    </row>
    <row r="85" spans="1:9" ht="15.75" customHeight="1">
      <c r="A85" s="49"/>
      <c r="B85" s="73" t="s">
        <v>105</v>
      </c>
      <c r="C85" s="75"/>
      <c r="D85" s="21"/>
      <c r="E85" s="21"/>
      <c r="F85" s="25"/>
      <c r="G85" s="31"/>
      <c r="H85" s="217">
        <f>H84</f>
        <v>82.371600000000001</v>
      </c>
      <c r="I85" s="58">
        <f>SUM(I16+I17+I18+I25+I26+I37+I38+I39+I41+I42+I43+I44+I51+I52+I54+I55+I58+I59+I61+I64+I77+I83+I84)</f>
        <v>94786.789257283337</v>
      </c>
    </row>
    <row r="86" spans="1:9" ht="15.75" customHeight="1">
      <c r="A86" s="49"/>
      <c r="B86" s="173" t="s">
        <v>76</v>
      </c>
      <c r="C86" s="173"/>
      <c r="D86" s="173"/>
      <c r="E86" s="173"/>
      <c r="F86" s="173"/>
      <c r="G86" s="31"/>
      <c r="H86" s="217" t="e">
        <f>SUM(H85+#REF!+H80+H56+#REF!+#REF!+H27)</f>
        <v>#REF!</v>
      </c>
      <c r="I86" s="173"/>
    </row>
    <row r="87" spans="1:9" ht="31.5" customHeight="1">
      <c r="A87" s="49">
        <v>26</v>
      </c>
      <c r="B87" s="218" t="s">
        <v>104</v>
      </c>
      <c r="C87" s="219" t="s">
        <v>144</v>
      </c>
      <c r="D87" s="20"/>
      <c r="E87" s="25"/>
      <c r="F87" s="18">
        <v>14</v>
      </c>
      <c r="G87" s="18">
        <v>79.09</v>
      </c>
      <c r="H87" s="18">
        <f t="shared" ref="H87" si="6">G87*F87/1000</f>
        <v>1.1072599999999999</v>
      </c>
      <c r="I87" s="220">
        <f>G87*2</f>
        <v>158.18</v>
      </c>
    </row>
    <row r="88" spans="1:9" ht="31.5" customHeight="1">
      <c r="A88" s="49">
        <v>27</v>
      </c>
      <c r="B88" s="223" t="s">
        <v>228</v>
      </c>
      <c r="C88" s="49" t="s">
        <v>229</v>
      </c>
      <c r="D88" s="20"/>
      <c r="E88" s="25"/>
      <c r="F88" s="18">
        <v>1</v>
      </c>
      <c r="G88" s="18">
        <v>1835.8</v>
      </c>
      <c r="H88" s="18">
        <f t="shared" ref="H88" si="7">G88*F88/1000</f>
        <v>1.8357999999999999</v>
      </c>
      <c r="I88" s="220">
        <f>G88</f>
        <v>1835.8</v>
      </c>
    </row>
    <row r="89" spans="1:9">
      <c r="A89" s="49"/>
      <c r="B89" s="80" t="s">
        <v>64</v>
      </c>
      <c r="C89" s="76"/>
      <c r="D89" s="129"/>
      <c r="E89" s="76">
        <v>1</v>
      </c>
      <c r="F89" s="76"/>
      <c r="G89" s="76"/>
      <c r="H89" s="76"/>
      <c r="I89" s="58">
        <f>SUM(I87:I88)</f>
        <v>1993.98</v>
      </c>
    </row>
    <row r="90" spans="1:9" ht="16.5" customHeight="1">
      <c r="A90" s="49"/>
      <c r="B90" s="86" t="s">
        <v>100</v>
      </c>
      <c r="C90" s="21"/>
      <c r="D90" s="21"/>
      <c r="E90" s="77"/>
      <c r="F90" s="77"/>
      <c r="G90" s="78"/>
      <c r="H90" s="78"/>
      <c r="I90" s="24">
        <v>0</v>
      </c>
    </row>
    <row r="91" spans="1:9" ht="16.5" customHeight="1">
      <c r="A91" s="130"/>
      <c r="B91" s="81" t="s">
        <v>65</v>
      </c>
      <c r="C91" s="64"/>
      <c r="D91" s="64"/>
      <c r="E91" s="64"/>
      <c r="F91" s="64"/>
      <c r="G91" s="64"/>
      <c r="H91" s="64"/>
      <c r="I91" s="79">
        <f>I85+I89</f>
        <v>96780.769257283333</v>
      </c>
    </row>
    <row r="92" spans="1:9" ht="15.75" customHeight="1">
      <c r="A92" s="249" t="s">
        <v>247</v>
      </c>
      <c r="B92" s="249"/>
      <c r="C92" s="249"/>
      <c r="D92" s="249"/>
      <c r="E92" s="249"/>
      <c r="F92" s="249"/>
      <c r="G92" s="249"/>
      <c r="H92" s="249"/>
      <c r="I92" s="249"/>
    </row>
    <row r="93" spans="1:9" ht="15.75" customHeight="1">
      <c r="A93" s="190"/>
      <c r="B93" s="258" t="s">
        <v>248</v>
      </c>
      <c r="C93" s="258"/>
      <c r="D93" s="258"/>
      <c r="E93" s="258"/>
      <c r="F93" s="258"/>
      <c r="G93" s="258"/>
      <c r="H93" s="198"/>
      <c r="I93" s="3"/>
    </row>
    <row r="94" spans="1:9" ht="15.75" customHeight="1">
      <c r="A94" s="188"/>
      <c r="B94" s="255" t="s">
        <v>7</v>
      </c>
      <c r="C94" s="255"/>
      <c r="D94" s="255"/>
      <c r="E94" s="255"/>
      <c r="F94" s="255"/>
      <c r="G94" s="255"/>
      <c r="H94" s="39"/>
      <c r="I94" s="5"/>
    </row>
    <row r="95" spans="1:9" ht="15.75" customHeight="1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5.75">
      <c r="A96" s="259" t="s">
        <v>8</v>
      </c>
      <c r="B96" s="259"/>
      <c r="C96" s="259"/>
      <c r="D96" s="259"/>
      <c r="E96" s="259"/>
      <c r="F96" s="259"/>
      <c r="G96" s="259"/>
      <c r="H96" s="259"/>
      <c r="I96" s="259"/>
    </row>
    <row r="97" spans="1:9" ht="15.75">
      <c r="A97" s="259" t="s">
        <v>9</v>
      </c>
      <c r="B97" s="259"/>
      <c r="C97" s="259"/>
      <c r="D97" s="259"/>
      <c r="E97" s="259"/>
      <c r="F97" s="259"/>
      <c r="G97" s="259"/>
      <c r="H97" s="259"/>
      <c r="I97" s="259"/>
    </row>
    <row r="98" spans="1:9" ht="15.75">
      <c r="A98" s="242" t="s">
        <v>79</v>
      </c>
      <c r="B98" s="242"/>
      <c r="C98" s="242"/>
      <c r="D98" s="242"/>
      <c r="E98" s="242"/>
      <c r="F98" s="242"/>
      <c r="G98" s="242"/>
      <c r="H98" s="242"/>
      <c r="I98" s="242"/>
    </row>
    <row r="99" spans="1:9" ht="15.75">
      <c r="A99" s="12"/>
    </row>
    <row r="100" spans="1:9" ht="15.75">
      <c r="A100" s="243" t="s">
        <v>11</v>
      </c>
      <c r="B100" s="243"/>
      <c r="C100" s="243"/>
      <c r="D100" s="243"/>
      <c r="E100" s="243"/>
      <c r="F100" s="243"/>
      <c r="G100" s="243"/>
      <c r="H100" s="243"/>
      <c r="I100" s="243"/>
    </row>
    <row r="101" spans="1:9" ht="15.75">
      <c r="A101" s="4"/>
    </row>
    <row r="102" spans="1:9" ht="15.75">
      <c r="B102" s="189" t="s">
        <v>12</v>
      </c>
      <c r="C102" s="254" t="s">
        <v>187</v>
      </c>
      <c r="D102" s="254"/>
      <c r="E102" s="254"/>
      <c r="F102" s="196"/>
      <c r="I102" s="192"/>
    </row>
    <row r="103" spans="1:9">
      <c r="A103" s="188"/>
      <c r="C103" s="255" t="s">
        <v>13</v>
      </c>
      <c r="D103" s="255"/>
      <c r="E103" s="255"/>
      <c r="F103" s="39"/>
      <c r="I103" s="191" t="s">
        <v>14</v>
      </c>
    </row>
    <row r="104" spans="1:9" ht="15.75">
      <c r="A104" s="40"/>
      <c r="C104" s="13"/>
      <c r="D104" s="13"/>
      <c r="G104" s="13"/>
      <c r="H104" s="13"/>
    </row>
    <row r="105" spans="1:9" ht="15.75">
      <c r="B105" s="189" t="s">
        <v>15</v>
      </c>
      <c r="C105" s="256"/>
      <c r="D105" s="256"/>
      <c r="E105" s="256"/>
      <c r="F105" s="197"/>
      <c r="I105" s="192"/>
    </row>
    <row r="106" spans="1:9">
      <c r="A106" s="188"/>
      <c r="C106" s="248" t="s">
        <v>13</v>
      </c>
      <c r="D106" s="248"/>
      <c r="E106" s="248"/>
      <c r="F106" s="188"/>
      <c r="I106" s="191" t="s">
        <v>14</v>
      </c>
    </row>
    <row r="107" spans="1:9" ht="15.75">
      <c r="A107" s="4" t="s">
        <v>16</v>
      </c>
    </row>
    <row r="108" spans="1:9">
      <c r="A108" s="257" t="s">
        <v>17</v>
      </c>
      <c r="B108" s="257"/>
      <c r="C108" s="257"/>
      <c r="D108" s="257"/>
      <c r="E108" s="257"/>
      <c r="F108" s="257"/>
      <c r="G108" s="257"/>
      <c r="H108" s="257"/>
      <c r="I108" s="257"/>
    </row>
    <row r="109" spans="1:9" ht="47.25" customHeight="1">
      <c r="A109" s="250" t="s">
        <v>18</v>
      </c>
      <c r="B109" s="250"/>
      <c r="C109" s="250"/>
      <c r="D109" s="250"/>
      <c r="E109" s="250"/>
      <c r="F109" s="250"/>
      <c r="G109" s="250"/>
      <c r="H109" s="250"/>
      <c r="I109" s="250"/>
    </row>
    <row r="110" spans="1:9" ht="31.5" customHeight="1">
      <c r="A110" s="250" t="s">
        <v>19</v>
      </c>
      <c r="B110" s="250"/>
      <c r="C110" s="250"/>
      <c r="D110" s="250"/>
      <c r="E110" s="250"/>
      <c r="F110" s="250"/>
      <c r="G110" s="250"/>
      <c r="H110" s="250"/>
      <c r="I110" s="250"/>
    </row>
    <row r="111" spans="1:9" ht="31.5" customHeight="1">
      <c r="A111" s="250" t="s">
        <v>24</v>
      </c>
      <c r="B111" s="250"/>
      <c r="C111" s="250"/>
      <c r="D111" s="250"/>
      <c r="E111" s="250"/>
      <c r="F111" s="250"/>
      <c r="G111" s="250"/>
      <c r="H111" s="250"/>
      <c r="I111" s="250"/>
    </row>
    <row r="112" spans="1:9" ht="15.75">
      <c r="A112" s="250" t="s">
        <v>23</v>
      </c>
      <c r="B112" s="250"/>
      <c r="C112" s="250"/>
      <c r="D112" s="250"/>
      <c r="E112" s="250"/>
      <c r="F112" s="250"/>
      <c r="G112" s="250"/>
      <c r="H112" s="250"/>
      <c r="I112" s="250"/>
    </row>
  </sheetData>
  <autoFilter ref="I12:I67"/>
  <mergeCells count="28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8:I98"/>
    <mergeCell ref="A15:I15"/>
    <mergeCell ref="A27:I27"/>
    <mergeCell ref="A45:I45"/>
    <mergeCell ref="A56:I56"/>
    <mergeCell ref="A92:I92"/>
    <mergeCell ref="B93:G93"/>
    <mergeCell ref="B94:G94"/>
    <mergeCell ref="A96:I96"/>
    <mergeCell ref="A97:I97"/>
    <mergeCell ref="R71:U71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114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4" t="s">
        <v>122</v>
      </c>
      <c r="I1" s="43"/>
      <c r="J1" s="1"/>
      <c r="K1" s="1"/>
      <c r="L1" s="1"/>
      <c r="M1" s="1"/>
    </row>
    <row r="2" spans="1:13" ht="15.75">
      <c r="A2" s="45" t="s">
        <v>83</v>
      </c>
      <c r="J2" s="2"/>
      <c r="K2" s="2"/>
      <c r="L2" s="2"/>
      <c r="M2" s="2"/>
    </row>
    <row r="3" spans="1:13" ht="15.75" customHeight="1">
      <c r="A3" s="237" t="s">
        <v>249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188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111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187"/>
      <c r="C6" s="187"/>
      <c r="D6" s="187"/>
      <c r="E6" s="187"/>
      <c r="F6" s="187"/>
      <c r="G6" s="187"/>
      <c r="H6" s="187"/>
      <c r="I6" s="53">
        <v>42521</v>
      </c>
      <c r="J6" s="2"/>
      <c r="K6" s="2"/>
      <c r="L6" s="2"/>
      <c r="M6" s="2"/>
    </row>
    <row r="7" spans="1:13" ht="15.75">
      <c r="B7" s="189"/>
      <c r="C7" s="189"/>
      <c r="D7" s="18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271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189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6" t="s">
        <v>74</v>
      </c>
      <c r="B14" s="236"/>
      <c r="C14" s="236"/>
      <c r="D14" s="236"/>
      <c r="E14" s="236"/>
      <c r="F14" s="236"/>
      <c r="G14" s="236"/>
      <c r="H14" s="236"/>
      <c r="I14" s="236"/>
      <c r="J14" s="8"/>
      <c r="K14" s="8"/>
      <c r="L14" s="8"/>
      <c r="M14" s="8"/>
    </row>
    <row r="15" spans="1:13">
      <c r="A15" s="244" t="s">
        <v>4</v>
      </c>
      <c r="B15" s="244"/>
      <c r="C15" s="244"/>
      <c r="D15" s="244"/>
      <c r="E15" s="244"/>
      <c r="F15" s="244"/>
      <c r="G15" s="244"/>
      <c r="H15" s="244"/>
      <c r="I15" s="244"/>
      <c r="J15" s="8"/>
      <c r="K15" s="8"/>
      <c r="L15" s="8"/>
      <c r="M15" s="8"/>
    </row>
    <row r="16" spans="1:13" ht="31.5" customHeight="1">
      <c r="A16" s="49">
        <v>1</v>
      </c>
      <c r="B16" s="199" t="s">
        <v>124</v>
      </c>
      <c r="C16" s="200" t="s">
        <v>151</v>
      </c>
      <c r="D16" s="199" t="s">
        <v>190</v>
      </c>
      <c r="E16" s="201">
        <v>95.04</v>
      </c>
      <c r="F16" s="202">
        <f>SUM(E16*156/100)</f>
        <v>148.26240000000001</v>
      </c>
      <c r="G16" s="202">
        <v>187.48</v>
      </c>
      <c r="H16" s="203">
        <f t="shared" ref="H16:H24" si="0">SUM(F16*G16/1000)</f>
        <v>27.796234752</v>
      </c>
      <c r="I16" s="18">
        <f>F16/12*G16</f>
        <v>2316.3528960000003</v>
      </c>
      <c r="J16" s="8"/>
      <c r="K16" s="8"/>
      <c r="L16" s="8"/>
      <c r="M16" s="8"/>
    </row>
    <row r="17" spans="1:13" ht="31.5" customHeight="1">
      <c r="A17" s="49">
        <v>2</v>
      </c>
      <c r="B17" s="199" t="s">
        <v>147</v>
      </c>
      <c r="C17" s="200" t="s">
        <v>151</v>
      </c>
      <c r="D17" s="199" t="s">
        <v>191</v>
      </c>
      <c r="E17" s="201">
        <v>380.16</v>
      </c>
      <c r="F17" s="202">
        <f>SUM(E17*104/100)</f>
        <v>395.3664</v>
      </c>
      <c r="G17" s="202">
        <v>187.48</v>
      </c>
      <c r="H17" s="203">
        <f t="shared" si="0"/>
        <v>74.123292671999991</v>
      </c>
      <c r="I17" s="18">
        <f>F17/12*G17</f>
        <v>6176.9410559999997</v>
      </c>
      <c r="J17" s="34"/>
      <c r="K17" s="8"/>
      <c r="L17" s="8"/>
      <c r="M17" s="8"/>
    </row>
    <row r="18" spans="1:13" ht="31.5" customHeight="1">
      <c r="A18" s="49">
        <v>3</v>
      </c>
      <c r="B18" s="199" t="s">
        <v>148</v>
      </c>
      <c r="C18" s="200" t="s">
        <v>151</v>
      </c>
      <c r="D18" s="199" t="s">
        <v>192</v>
      </c>
      <c r="E18" s="201">
        <f>SUM(E16+E17)</f>
        <v>475.20000000000005</v>
      </c>
      <c r="F18" s="202">
        <f>SUM(E18*24/100)</f>
        <v>114.04800000000002</v>
      </c>
      <c r="G18" s="202">
        <v>539.30999999999995</v>
      </c>
      <c r="H18" s="203">
        <f t="shared" si="0"/>
        <v>61.507226880000005</v>
      </c>
      <c r="I18" s="18">
        <f>F18/12*G18</f>
        <v>5125.6022400000002</v>
      </c>
      <c r="J18" s="34"/>
      <c r="K18" s="8"/>
      <c r="L18" s="8"/>
      <c r="M18" s="8"/>
    </row>
    <row r="19" spans="1:13" ht="15.75" customHeight="1">
      <c r="A19" s="49">
        <v>4</v>
      </c>
      <c r="B19" s="199" t="s">
        <v>152</v>
      </c>
      <c r="C19" s="200" t="s">
        <v>153</v>
      </c>
      <c r="D19" s="199" t="s">
        <v>154</v>
      </c>
      <c r="E19" s="201">
        <v>93.4</v>
      </c>
      <c r="F19" s="202">
        <f>SUM(E19/10)</f>
        <v>9.34</v>
      </c>
      <c r="G19" s="202">
        <v>181.9</v>
      </c>
      <c r="H19" s="203">
        <f t="shared" si="0"/>
        <v>1.6989460000000001</v>
      </c>
      <c r="I19" s="18">
        <f>F19/2*G19</f>
        <v>849.47300000000007</v>
      </c>
      <c r="J19" s="34"/>
      <c r="K19" s="8"/>
      <c r="L19" s="8"/>
      <c r="M19" s="8"/>
    </row>
    <row r="20" spans="1:13" ht="15.75" customHeight="1">
      <c r="A20" s="49">
        <v>5</v>
      </c>
      <c r="B20" s="199" t="s">
        <v>155</v>
      </c>
      <c r="C20" s="200" t="s">
        <v>151</v>
      </c>
      <c r="D20" s="199" t="s">
        <v>54</v>
      </c>
      <c r="E20" s="201">
        <v>43.2</v>
      </c>
      <c r="F20" s="202">
        <f>SUM(E20*2/100)</f>
        <v>0.8640000000000001</v>
      </c>
      <c r="G20" s="202">
        <v>232.91</v>
      </c>
      <c r="H20" s="203">
        <f t="shared" si="0"/>
        <v>0.20123424000000004</v>
      </c>
      <c r="I20" s="18">
        <f t="shared" ref="I20:I21" si="1">F20/2*G20</f>
        <v>100.61712000000001</v>
      </c>
      <c r="J20" s="34"/>
      <c r="K20" s="8"/>
      <c r="L20" s="8"/>
      <c r="M20" s="8"/>
    </row>
    <row r="21" spans="1:13" ht="15.75" customHeight="1">
      <c r="A21" s="49">
        <v>6</v>
      </c>
      <c r="B21" s="199" t="s">
        <v>156</v>
      </c>
      <c r="C21" s="200" t="s">
        <v>151</v>
      </c>
      <c r="D21" s="199" t="s">
        <v>54</v>
      </c>
      <c r="E21" s="201">
        <v>10.08</v>
      </c>
      <c r="F21" s="202">
        <f>SUM(E21*2/100)</f>
        <v>0.2016</v>
      </c>
      <c r="G21" s="202">
        <v>231.03</v>
      </c>
      <c r="H21" s="203">
        <f t="shared" si="0"/>
        <v>4.6575648000000004E-2</v>
      </c>
      <c r="I21" s="18">
        <f t="shared" si="1"/>
        <v>23.287824000000001</v>
      </c>
      <c r="J21" s="34"/>
      <c r="K21" s="8"/>
      <c r="L21" s="8"/>
      <c r="M21" s="8"/>
    </row>
    <row r="22" spans="1:13" ht="15.75" customHeight="1">
      <c r="A22" s="49">
        <v>7</v>
      </c>
      <c r="B22" s="199" t="s">
        <v>157</v>
      </c>
      <c r="C22" s="200" t="s">
        <v>66</v>
      </c>
      <c r="D22" s="199" t="s">
        <v>154</v>
      </c>
      <c r="E22" s="201">
        <v>642.6</v>
      </c>
      <c r="F22" s="202">
        <f>SUM(E22/100)</f>
        <v>6.4260000000000002</v>
      </c>
      <c r="G22" s="202">
        <v>287.83999999999997</v>
      </c>
      <c r="H22" s="203">
        <f t="shared" si="0"/>
        <v>1.8496598399999997</v>
      </c>
      <c r="I22" s="18">
        <f>F22*G22</f>
        <v>1849.6598399999998</v>
      </c>
      <c r="J22" s="34"/>
      <c r="K22" s="8"/>
      <c r="L22" s="8"/>
      <c r="M22" s="8"/>
    </row>
    <row r="23" spans="1:13" ht="15.75" customHeight="1">
      <c r="A23" s="49">
        <v>8</v>
      </c>
      <c r="B23" s="199" t="s">
        <v>158</v>
      </c>
      <c r="C23" s="200" t="s">
        <v>66</v>
      </c>
      <c r="D23" s="199" t="s">
        <v>154</v>
      </c>
      <c r="E23" s="204">
        <v>35.28</v>
      </c>
      <c r="F23" s="202">
        <f>SUM(E23/100)</f>
        <v>0.3528</v>
      </c>
      <c r="G23" s="202">
        <v>47.35</v>
      </c>
      <c r="H23" s="203">
        <f t="shared" si="0"/>
        <v>1.6705080000000004E-2</v>
      </c>
      <c r="I23" s="18">
        <f t="shared" ref="I23:I24" si="2">F23*G23</f>
        <v>16.705080000000002</v>
      </c>
      <c r="J23" s="34"/>
      <c r="K23" s="8"/>
      <c r="L23" s="8"/>
      <c r="M23" s="8"/>
    </row>
    <row r="24" spans="1:13" ht="15.75" customHeight="1">
      <c r="A24" s="49">
        <v>9</v>
      </c>
      <c r="B24" s="199" t="s">
        <v>159</v>
      </c>
      <c r="C24" s="200" t="s">
        <v>66</v>
      </c>
      <c r="D24" s="199" t="s">
        <v>154</v>
      </c>
      <c r="E24" s="201">
        <v>28.8</v>
      </c>
      <c r="F24" s="202">
        <f>SUM(E24/100)</f>
        <v>0.28800000000000003</v>
      </c>
      <c r="G24" s="202">
        <v>556.74</v>
      </c>
      <c r="H24" s="203">
        <f t="shared" si="0"/>
        <v>0.16034112000000003</v>
      </c>
      <c r="I24" s="18">
        <f t="shared" si="2"/>
        <v>160.34112000000002</v>
      </c>
      <c r="J24" s="34"/>
      <c r="K24" s="8"/>
      <c r="L24" s="8"/>
      <c r="M24" s="8"/>
    </row>
    <row r="25" spans="1:13" ht="15.75" customHeight="1">
      <c r="A25" s="49">
        <v>10</v>
      </c>
      <c r="B25" s="199" t="s">
        <v>85</v>
      </c>
      <c r="C25" s="200" t="s">
        <v>39</v>
      </c>
      <c r="D25" s="199" t="s">
        <v>219</v>
      </c>
      <c r="E25" s="201">
        <v>0.1</v>
      </c>
      <c r="F25" s="202">
        <f>SUM(E25*365)</f>
        <v>36.5</v>
      </c>
      <c r="G25" s="202">
        <v>157.18</v>
      </c>
      <c r="H25" s="203">
        <f>SUM(F25*G25/1000)</f>
        <v>5.737070000000001</v>
      </c>
      <c r="I25" s="18">
        <f>F25/12*G25</f>
        <v>478.08916666666664</v>
      </c>
      <c r="J25" s="34"/>
      <c r="K25" s="8"/>
      <c r="L25" s="8"/>
      <c r="M25" s="8"/>
    </row>
    <row r="26" spans="1:13" ht="15.75" customHeight="1">
      <c r="A26" s="49">
        <v>11</v>
      </c>
      <c r="B26" s="207" t="s">
        <v>26</v>
      </c>
      <c r="C26" s="200" t="s">
        <v>27</v>
      </c>
      <c r="D26" s="207" t="s">
        <v>207</v>
      </c>
      <c r="E26" s="201">
        <v>3945</v>
      </c>
      <c r="F26" s="202">
        <f>SUM(E26*12)</f>
        <v>47340</v>
      </c>
      <c r="G26" s="202">
        <v>5.33</v>
      </c>
      <c r="H26" s="203">
        <f>SUM(F26*G26/1000)</f>
        <v>252.32220000000001</v>
      </c>
      <c r="I26" s="18">
        <f>F26/12*G26</f>
        <v>21026.85</v>
      </c>
      <c r="J26" s="35"/>
    </row>
    <row r="27" spans="1:13" ht="15.75" customHeight="1">
      <c r="A27" s="245" t="s">
        <v>119</v>
      </c>
      <c r="B27" s="246"/>
      <c r="C27" s="246"/>
      <c r="D27" s="246"/>
      <c r="E27" s="246"/>
      <c r="F27" s="246"/>
      <c r="G27" s="246"/>
      <c r="H27" s="246"/>
      <c r="I27" s="247"/>
      <c r="J27" s="34"/>
      <c r="K27" s="8"/>
      <c r="L27" s="8"/>
      <c r="M27" s="8"/>
    </row>
    <row r="28" spans="1:13" ht="15.75" customHeight="1">
      <c r="A28" s="49"/>
      <c r="B28" s="224" t="s">
        <v>34</v>
      </c>
      <c r="C28" s="200"/>
      <c r="D28" s="199"/>
      <c r="E28" s="201"/>
      <c r="F28" s="202"/>
      <c r="G28" s="202"/>
      <c r="H28" s="203"/>
      <c r="I28" s="18"/>
      <c r="J28" s="34"/>
      <c r="K28" s="8"/>
      <c r="L28" s="8"/>
      <c r="M28" s="8"/>
    </row>
    <row r="29" spans="1:13" ht="31.5" customHeight="1">
      <c r="A29" s="49">
        <v>6</v>
      </c>
      <c r="B29" s="199" t="s">
        <v>160</v>
      </c>
      <c r="C29" s="200" t="s">
        <v>216</v>
      </c>
      <c r="D29" s="199" t="s">
        <v>217</v>
      </c>
      <c r="E29" s="202">
        <v>1044.6500000000001</v>
      </c>
      <c r="F29" s="202">
        <f>SUM(E29*52/1000)</f>
        <v>54.321800000000003</v>
      </c>
      <c r="G29" s="202">
        <v>166.65</v>
      </c>
      <c r="H29" s="203">
        <f t="shared" ref="H29:H35" si="3">SUM(F29*G29/1000)</f>
        <v>9.0527279700000012</v>
      </c>
      <c r="I29" s="18">
        <f>F29/6*G29</f>
        <v>1508.7879950000001</v>
      </c>
      <c r="J29" s="34"/>
      <c r="K29" s="8"/>
      <c r="L29" s="8"/>
      <c r="M29" s="8"/>
    </row>
    <row r="30" spans="1:13" ht="31.5" customHeight="1">
      <c r="A30" s="49">
        <v>7</v>
      </c>
      <c r="B30" s="199" t="s">
        <v>235</v>
      </c>
      <c r="C30" s="200" t="s">
        <v>161</v>
      </c>
      <c r="D30" s="199" t="s">
        <v>218</v>
      </c>
      <c r="E30" s="202">
        <v>116.93</v>
      </c>
      <c r="F30" s="202">
        <f>SUM(E30*78/1000)</f>
        <v>9.1205400000000001</v>
      </c>
      <c r="G30" s="202">
        <v>276.48</v>
      </c>
      <c r="H30" s="203">
        <f t="shared" si="3"/>
        <v>2.5216468991999998</v>
      </c>
      <c r="I30" s="18">
        <f t="shared" ref="I30:I33" si="4">F30/6*G30</f>
        <v>420.27448320000002</v>
      </c>
      <c r="J30" s="34"/>
      <c r="K30" s="8"/>
      <c r="L30" s="8"/>
      <c r="M30" s="8"/>
    </row>
    <row r="31" spans="1:13" ht="15.75" customHeight="1">
      <c r="A31" s="49">
        <v>8</v>
      </c>
      <c r="B31" s="199" t="s">
        <v>33</v>
      </c>
      <c r="C31" s="200" t="s">
        <v>161</v>
      </c>
      <c r="D31" s="199" t="s">
        <v>67</v>
      </c>
      <c r="E31" s="202">
        <v>1044.6500000000001</v>
      </c>
      <c r="F31" s="202">
        <f>SUM(E31/1000)</f>
        <v>1.0446500000000001</v>
      </c>
      <c r="G31" s="202">
        <v>3228.73</v>
      </c>
      <c r="H31" s="203">
        <f t="shared" si="3"/>
        <v>3.3728927945000007</v>
      </c>
      <c r="I31" s="18">
        <f>F31*G31</f>
        <v>3372.8927945000005</v>
      </c>
      <c r="J31" s="34"/>
      <c r="K31" s="8"/>
      <c r="L31" s="8"/>
      <c r="M31" s="8"/>
    </row>
    <row r="32" spans="1:13" ht="15.75" customHeight="1">
      <c r="A32" s="49">
        <v>9</v>
      </c>
      <c r="B32" s="199" t="s">
        <v>193</v>
      </c>
      <c r="C32" s="200" t="s">
        <v>50</v>
      </c>
      <c r="D32" s="199" t="s">
        <v>84</v>
      </c>
      <c r="E32" s="202">
        <v>6</v>
      </c>
      <c r="F32" s="202">
        <v>9.3000000000000007</v>
      </c>
      <c r="G32" s="202">
        <v>1391.86</v>
      </c>
      <c r="H32" s="203">
        <f>G32*F32/1000</f>
        <v>12.944298</v>
      </c>
      <c r="I32" s="18">
        <f t="shared" si="4"/>
        <v>2157.3829999999998</v>
      </c>
      <c r="J32" s="34"/>
      <c r="K32" s="8"/>
      <c r="L32" s="8"/>
      <c r="M32" s="8"/>
    </row>
    <row r="33" spans="1:14" ht="15.75" customHeight="1">
      <c r="A33" s="49">
        <v>10</v>
      </c>
      <c r="B33" s="199" t="s">
        <v>165</v>
      </c>
      <c r="C33" s="200" t="s">
        <v>37</v>
      </c>
      <c r="D33" s="199" t="s">
        <v>84</v>
      </c>
      <c r="E33" s="206">
        <v>0.33333333333333331</v>
      </c>
      <c r="F33" s="202">
        <f>155/3</f>
        <v>51.666666666666664</v>
      </c>
      <c r="G33" s="202">
        <v>60.6</v>
      </c>
      <c r="H33" s="203">
        <f>SUM(G33*155/3/1000)</f>
        <v>3.1309999999999998</v>
      </c>
      <c r="I33" s="18">
        <f t="shared" si="4"/>
        <v>521.83333333333337</v>
      </c>
      <c r="J33" s="34"/>
      <c r="K33" s="8"/>
      <c r="L33" s="8"/>
      <c r="M33" s="8"/>
    </row>
    <row r="34" spans="1:14" ht="15.75" hidden="1" customHeight="1">
      <c r="A34" s="49"/>
      <c r="B34" s="199" t="s">
        <v>86</v>
      </c>
      <c r="C34" s="200" t="s">
        <v>39</v>
      </c>
      <c r="D34" s="199" t="s">
        <v>88</v>
      </c>
      <c r="E34" s="201"/>
      <c r="F34" s="202">
        <v>3</v>
      </c>
      <c r="G34" s="202">
        <v>204.52</v>
      </c>
      <c r="H34" s="203">
        <f t="shared" si="3"/>
        <v>0.61356000000000011</v>
      </c>
      <c r="I34" s="18">
        <v>0</v>
      </c>
      <c r="J34" s="34"/>
      <c r="K34" s="8"/>
    </row>
    <row r="35" spans="1:14" ht="15.75" hidden="1" customHeight="1">
      <c r="A35" s="49"/>
      <c r="B35" s="199" t="s">
        <v>87</v>
      </c>
      <c r="C35" s="200" t="s">
        <v>38</v>
      </c>
      <c r="D35" s="199" t="s">
        <v>88</v>
      </c>
      <c r="E35" s="201"/>
      <c r="F35" s="202">
        <v>2</v>
      </c>
      <c r="G35" s="202">
        <v>1136.33</v>
      </c>
      <c r="H35" s="203">
        <f t="shared" si="3"/>
        <v>2.2726599999999997</v>
      </c>
      <c r="I35" s="18">
        <v>0</v>
      </c>
      <c r="J35" s="35"/>
    </row>
    <row r="36" spans="1:14" ht="15.75" hidden="1" customHeight="1">
      <c r="A36" s="49"/>
      <c r="B36" s="224" t="s">
        <v>5</v>
      </c>
      <c r="C36" s="200"/>
      <c r="D36" s="199"/>
      <c r="E36" s="201"/>
      <c r="F36" s="202"/>
      <c r="G36" s="202"/>
      <c r="H36" s="203" t="s">
        <v>207</v>
      </c>
      <c r="I36" s="18"/>
      <c r="J36" s="35"/>
    </row>
    <row r="37" spans="1:14" ht="15.75" hidden="1" customHeight="1">
      <c r="A37" s="49">
        <v>6</v>
      </c>
      <c r="B37" s="199" t="s">
        <v>31</v>
      </c>
      <c r="C37" s="200" t="s">
        <v>38</v>
      </c>
      <c r="D37" s="199"/>
      <c r="E37" s="201"/>
      <c r="F37" s="202">
        <v>8</v>
      </c>
      <c r="G37" s="202">
        <v>1632.6</v>
      </c>
      <c r="H37" s="203">
        <f t="shared" ref="H37:H44" si="5">SUM(F37*G37/1000)</f>
        <v>13.060799999999999</v>
      </c>
      <c r="I37" s="18">
        <f>F37/6*G37</f>
        <v>2176.7999999999997</v>
      </c>
      <c r="J37" s="35"/>
    </row>
    <row r="38" spans="1:14" ht="15.75" hidden="1" customHeight="1">
      <c r="A38" s="49">
        <v>7</v>
      </c>
      <c r="B38" s="199" t="s">
        <v>135</v>
      </c>
      <c r="C38" s="200" t="s">
        <v>35</v>
      </c>
      <c r="D38" s="199" t="s">
        <v>194</v>
      </c>
      <c r="E38" s="201">
        <v>477.19</v>
      </c>
      <c r="F38" s="202">
        <f>E38*12/1000</f>
        <v>5.72628</v>
      </c>
      <c r="G38" s="202">
        <v>2247.8000000000002</v>
      </c>
      <c r="H38" s="203">
        <f>G38*F38/1000</f>
        <v>12.871532184000001</v>
      </c>
      <c r="I38" s="18">
        <f>F38/6*G38</f>
        <v>2145.2553640000001</v>
      </c>
      <c r="J38" s="35"/>
    </row>
    <row r="39" spans="1:14" ht="15.75" hidden="1" customHeight="1">
      <c r="A39" s="49">
        <v>8</v>
      </c>
      <c r="B39" s="199" t="s">
        <v>167</v>
      </c>
      <c r="C39" s="200" t="s">
        <v>35</v>
      </c>
      <c r="D39" s="199" t="s">
        <v>166</v>
      </c>
      <c r="E39" s="201">
        <v>116.93</v>
      </c>
      <c r="F39" s="202">
        <f>E39*30/1000</f>
        <v>3.5079000000000002</v>
      </c>
      <c r="G39" s="202">
        <v>2247.8000000000002</v>
      </c>
      <c r="H39" s="203">
        <f>G39*F39/1000</f>
        <v>7.8850576200000013</v>
      </c>
      <c r="I39" s="18">
        <f>F39/6*G39</f>
        <v>1314.1762700000002</v>
      </c>
      <c r="J39" s="35"/>
    </row>
    <row r="40" spans="1:14" ht="15.75" hidden="1" customHeight="1">
      <c r="A40" s="49"/>
      <c r="B40" s="199" t="s">
        <v>169</v>
      </c>
      <c r="C40" s="200" t="s">
        <v>170</v>
      </c>
      <c r="D40" s="199" t="s">
        <v>88</v>
      </c>
      <c r="E40" s="201"/>
      <c r="F40" s="202">
        <v>135</v>
      </c>
      <c r="G40" s="202">
        <v>213.2</v>
      </c>
      <c r="H40" s="203">
        <f>G40*F40/1000</f>
        <v>28.782</v>
      </c>
      <c r="I40" s="18">
        <v>0</v>
      </c>
      <c r="J40" s="35"/>
      <c r="L40" s="27"/>
      <c r="M40" s="28"/>
      <c r="N40" s="29"/>
    </row>
    <row r="41" spans="1:14" ht="15.75" hidden="1" customHeight="1">
      <c r="A41" s="49">
        <v>9</v>
      </c>
      <c r="B41" s="199" t="s">
        <v>89</v>
      </c>
      <c r="C41" s="200" t="s">
        <v>35</v>
      </c>
      <c r="D41" s="199" t="s">
        <v>168</v>
      </c>
      <c r="E41" s="202">
        <v>116.93</v>
      </c>
      <c r="F41" s="202">
        <f>SUM(E41*155/1000)</f>
        <v>18.12415</v>
      </c>
      <c r="G41" s="202">
        <v>374.95</v>
      </c>
      <c r="H41" s="203">
        <f t="shared" si="5"/>
        <v>6.7956500424999993</v>
      </c>
      <c r="I41" s="18">
        <f>F41/6*G41</f>
        <v>1132.6083404166666</v>
      </c>
      <c r="J41" s="35"/>
      <c r="L41" s="27"/>
      <c r="M41" s="28"/>
      <c r="N41" s="29"/>
    </row>
    <row r="42" spans="1:14" ht="47.25" hidden="1" customHeight="1">
      <c r="A42" s="49">
        <v>10</v>
      </c>
      <c r="B42" s="199" t="s">
        <v>115</v>
      </c>
      <c r="C42" s="200" t="s">
        <v>161</v>
      </c>
      <c r="D42" s="199" t="s">
        <v>196</v>
      </c>
      <c r="E42" s="202">
        <v>116.93</v>
      </c>
      <c r="F42" s="202">
        <f>SUM(E42*24/1000)</f>
        <v>2.8063200000000004</v>
      </c>
      <c r="G42" s="202">
        <v>6203.71</v>
      </c>
      <c r="H42" s="203">
        <f t="shared" si="5"/>
        <v>17.409595447200001</v>
      </c>
      <c r="I42" s="18">
        <f>F42/6*G42</f>
        <v>2901.5992412000005</v>
      </c>
      <c r="J42" s="35"/>
      <c r="L42" s="27"/>
      <c r="M42" s="28"/>
      <c r="N42" s="29"/>
    </row>
    <row r="43" spans="1:14" ht="15.75" hidden="1" customHeight="1">
      <c r="A43" s="49">
        <v>11</v>
      </c>
      <c r="B43" s="199" t="s">
        <v>171</v>
      </c>
      <c r="C43" s="200" t="s">
        <v>161</v>
      </c>
      <c r="D43" s="199" t="s">
        <v>90</v>
      </c>
      <c r="E43" s="202">
        <v>116.93</v>
      </c>
      <c r="F43" s="202">
        <f>SUM(E43*45/1000)</f>
        <v>5.2618500000000008</v>
      </c>
      <c r="G43" s="202">
        <v>458.28</v>
      </c>
      <c r="H43" s="203">
        <f t="shared" si="5"/>
        <v>2.4114006180000001</v>
      </c>
      <c r="I43" s="18">
        <f>F43/6*G43</f>
        <v>401.90010300000006</v>
      </c>
      <c r="J43" s="35"/>
      <c r="L43" s="27"/>
      <c r="M43" s="28"/>
      <c r="N43" s="29"/>
    </row>
    <row r="44" spans="1:14" ht="15.75" hidden="1" customHeight="1">
      <c r="A44" s="49">
        <v>12</v>
      </c>
      <c r="B44" s="199" t="s">
        <v>91</v>
      </c>
      <c r="C44" s="200" t="s">
        <v>39</v>
      </c>
      <c r="D44" s="199"/>
      <c r="E44" s="201"/>
      <c r="F44" s="202">
        <v>0.9</v>
      </c>
      <c r="G44" s="202">
        <v>798</v>
      </c>
      <c r="H44" s="203">
        <f t="shared" si="5"/>
        <v>0.71820000000000006</v>
      </c>
      <c r="I44" s="18">
        <f>F44/6*G44</f>
        <v>119.69999999999999</v>
      </c>
      <c r="J44" s="35"/>
      <c r="L44" s="27"/>
      <c r="M44" s="28"/>
      <c r="N44" s="29"/>
    </row>
    <row r="45" spans="1:14" ht="15.75" customHeight="1">
      <c r="A45" s="245" t="s">
        <v>236</v>
      </c>
      <c r="B45" s="246"/>
      <c r="C45" s="246"/>
      <c r="D45" s="246"/>
      <c r="E45" s="246"/>
      <c r="F45" s="246"/>
      <c r="G45" s="246"/>
      <c r="H45" s="246"/>
      <c r="I45" s="247"/>
      <c r="J45" s="35"/>
      <c r="L45" s="27"/>
      <c r="M45" s="28"/>
      <c r="N45" s="29"/>
    </row>
    <row r="46" spans="1:14" ht="15.75" customHeight="1">
      <c r="A46" s="49">
        <v>11</v>
      </c>
      <c r="B46" s="199" t="s">
        <v>198</v>
      </c>
      <c r="C46" s="200" t="s">
        <v>161</v>
      </c>
      <c r="D46" s="199" t="s">
        <v>54</v>
      </c>
      <c r="E46" s="201">
        <v>1030.4000000000001</v>
      </c>
      <c r="F46" s="202">
        <f>SUM(E46*2/1000)</f>
        <v>2.0608</v>
      </c>
      <c r="G46" s="18">
        <v>908.1</v>
      </c>
      <c r="H46" s="203">
        <f t="shared" ref="H46:H55" si="6">SUM(F46*G46/1000)</f>
        <v>1.87141248</v>
      </c>
      <c r="I46" s="18">
        <f t="shared" ref="I46:I48" si="7">F46/2*G46</f>
        <v>935.70623999999998</v>
      </c>
      <c r="J46" s="35"/>
      <c r="L46" s="27"/>
      <c r="M46" s="28"/>
      <c r="N46" s="29"/>
    </row>
    <row r="47" spans="1:14" ht="15.75" customHeight="1">
      <c r="A47" s="49">
        <v>12</v>
      </c>
      <c r="B47" s="199" t="s">
        <v>43</v>
      </c>
      <c r="C47" s="200" t="s">
        <v>161</v>
      </c>
      <c r="D47" s="199" t="s">
        <v>54</v>
      </c>
      <c r="E47" s="201">
        <v>132</v>
      </c>
      <c r="F47" s="202">
        <f>E47*2/1000</f>
        <v>0.26400000000000001</v>
      </c>
      <c r="G47" s="18">
        <v>619.46</v>
      </c>
      <c r="H47" s="203">
        <f t="shared" si="6"/>
        <v>0.16353744000000001</v>
      </c>
      <c r="I47" s="18">
        <f t="shared" si="7"/>
        <v>81.768720000000002</v>
      </c>
      <c r="J47" s="35"/>
      <c r="L47" s="27"/>
      <c r="M47" s="28"/>
      <c r="N47" s="29"/>
    </row>
    <row r="48" spans="1:14" ht="15.75" customHeight="1">
      <c r="A48" s="49">
        <v>13</v>
      </c>
      <c r="B48" s="199" t="s">
        <v>44</v>
      </c>
      <c r="C48" s="200" t="s">
        <v>161</v>
      </c>
      <c r="D48" s="199" t="s">
        <v>54</v>
      </c>
      <c r="E48" s="201">
        <v>4248.22</v>
      </c>
      <c r="F48" s="202">
        <f>SUM(E48*2/1000)</f>
        <v>8.4964399999999998</v>
      </c>
      <c r="G48" s="18">
        <v>619.46</v>
      </c>
      <c r="H48" s="203">
        <f t="shared" si="6"/>
        <v>5.2632047223999994</v>
      </c>
      <c r="I48" s="18">
        <f t="shared" si="7"/>
        <v>2631.6023611999999</v>
      </c>
      <c r="J48" s="35"/>
      <c r="L48" s="27"/>
      <c r="M48" s="28"/>
      <c r="N48" s="29"/>
    </row>
    <row r="49" spans="1:14" ht="15.75" customHeight="1">
      <c r="A49" s="49">
        <v>14</v>
      </c>
      <c r="B49" s="199" t="s">
        <v>45</v>
      </c>
      <c r="C49" s="200" t="s">
        <v>161</v>
      </c>
      <c r="D49" s="199" t="s">
        <v>54</v>
      </c>
      <c r="E49" s="201">
        <v>2163.66</v>
      </c>
      <c r="F49" s="202">
        <f>SUM(E49*2/1000)</f>
        <v>4.3273199999999994</v>
      </c>
      <c r="G49" s="18">
        <v>648.64</v>
      </c>
      <c r="H49" s="203">
        <f t="shared" si="6"/>
        <v>2.8068728447999995</v>
      </c>
      <c r="I49" s="18">
        <f>F49/2*G49</f>
        <v>1403.4364223999999</v>
      </c>
      <c r="J49" s="35"/>
      <c r="L49" s="27"/>
      <c r="M49" s="28"/>
      <c r="N49" s="29"/>
    </row>
    <row r="50" spans="1:14" ht="31.5" customHeight="1">
      <c r="A50" s="49">
        <v>15</v>
      </c>
      <c r="B50" s="199" t="s">
        <v>71</v>
      </c>
      <c r="C50" s="200" t="s">
        <v>161</v>
      </c>
      <c r="D50" s="199" t="s">
        <v>237</v>
      </c>
      <c r="E50" s="201">
        <v>1015.4</v>
      </c>
      <c r="F50" s="202">
        <f>SUM(E50*5/1000)</f>
        <v>5.077</v>
      </c>
      <c r="G50" s="18">
        <v>1297.28</v>
      </c>
      <c r="H50" s="203">
        <f t="shared" si="6"/>
        <v>6.5862905599999992</v>
      </c>
      <c r="I50" s="18">
        <f>F50/5*G50</f>
        <v>1317.258112</v>
      </c>
      <c r="J50" s="35"/>
      <c r="L50" s="27"/>
      <c r="M50" s="28"/>
      <c r="N50" s="29"/>
    </row>
    <row r="51" spans="1:14" ht="31.5" hidden="1" customHeight="1">
      <c r="A51" s="49"/>
      <c r="B51" s="199" t="s">
        <v>173</v>
      </c>
      <c r="C51" s="200" t="s">
        <v>161</v>
      </c>
      <c r="D51" s="199" t="s">
        <v>54</v>
      </c>
      <c r="E51" s="201">
        <v>1015.4</v>
      </c>
      <c r="F51" s="202">
        <f>SUM(E51*2/1000)</f>
        <v>2.0308000000000002</v>
      </c>
      <c r="G51" s="18">
        <v>1297.28</v>
      </c>
      <c r="H51" s="203">
        <f t="shared" si="6"/>
        <v>2.634516224</v>
      </c>
      <c r="I51" s="18">
        <v>0</v>
      </c>
      <c r="J51" s="35"/>
      <c r="L51" s="27"/>
      <c r="M51" s="28"/>
      <c r="N51" s="29"/>
    </row>
    <row r="52" spans="1:14" ht="31.5" hidden="1" customHeight="1">
      <c r="A52" s="49"/>
      <c r="B52" s="199" t="s">
        <v>174</v>
      </c>
      <c r="C52" s="200" t="s">
        <v>48</v>
      </c>
      <c r="D52" s="199" t="s">
        <v>54</v>
      </c>
      <c r="E52" s="201">
        <v>30</v>
      </c>
      <c r="F52" s="202">
        <f>SUM(E52*2/100)</f>
        <v>0.6</v>
      </c>
      <c r="G52" s="18">
        <v>2918.89</v>
      </c>
      <c r="H52" s="203">
        <f t="shared" si="6"/>
        <v>1.7513339999999997</v>
      </c>
      <c r="I52" s="18">
        <v>0</v>
      </c>
      <c r="J52" s="35"/>
      <c r="L52" s="27"/>
      <c r="M52" s="28"/>
      <c r="N52" s="29"/>
    </row>
    <row r="53" spans="1:14" ht="15.75" hidden="1" customHeight="1">
      <c r="A53" s="49"/>
      <c r="B53" s="199" t="s">
        <v>49</v>
      </c>
      <c r="C53" s="200" t="s">
        <v>50</v>
      </c>
      <c r="D53" s="199" t="s">
        <v>54</v>
      </c>
      <c r="E53" s="201">
        <v>1</v>
      </c>
      <c r="F53" s="202">
        <v>0.02</v>
      </c>
      <c r="G53" s="18">
        <v>6042.13</v>
      </c>
      <c r="H53" s="203">
        <f t="shared" si="6"/>
        <v>0.12084260000000001</v>
      </c>
      <c r="I53" s="18">
        <v>0</v>
      </c>
      <c r="J53" s="35"/>
      <c r="L53" s="27"/>
      <c r="M53" s="28"/>
      <c r="N53" s="29"/>
    </row>
    <row r="54" spans="1:14" ht="15.75" hidden="1" customHeight="1">
      <c r="A54" s="49">
        <v>14</v>
      </c>
      <c r="B54" s="199" t="s">
        <v>197</v>
      </c>
      <c r="C54" s="200" t="s">
        <v>144</v>
      </c>
      <c r="D54" s="199" t="s">
        <v>52</v>
      </c>
      <c r="E54" s="201">
        <v>90</v>
      </c>
      <c r="F54" s="202">
        <f>E54*4</f>
        <v>360</v>
      </c>
      <c r="G54" s="18">
        <v>150.86000000000001</v>
      </c>
      <c r="H54" s="203">
        <f>F54*G54/1000</f>
        <v>54.309600000000003</v>
      </c>
      <c r="I54" s="18">
        <f>G54*E54</f>
        <v>13577.400000000001</v>
      </c>
      <c r="J54" s="35"/>
      <c r="L54" s="27"/>
      <c r="M54" s="28"/>
      <c r="N54" s="29"/>
    </row>
    <row r="55" spans="1:14" ht="15.75" hidden="1" customHeight="1">
      <c r="A55" s="49">
        <v>15</v>
      </c>
      <c r="B55" s="199" t="s">
        <v>53</v>
      </c>
      <c r="C55" s="200" t="s">
        <v>144</v>
      </c>
      <c r="D55" s="199" t="s">
        <v>92</v>
      </c>
      <c r="E55" s="201">
        <v>180</v>
      </c>
      <c r="F55" s="202">
        <f>SUM(E55)*3</f>
        <v>540</v>
      </c>
      <c r="G55" s="18">
        <v>70.2</v>
      </c>
      <c r="H55" s="203">
        <f t="shared" si="6"/>
        <v>37.908000000000001</v>
      </c>
      <c r="I55" s="18">
        <f>G55*E55</f>
        <v>12636</v>
      </c>
      <c r="J55" s="35"/>
      <c r="L55" s="27"/>
      <c r="M55" s="28"/>
      <c r="N55" s="29"/>
    </row>
    <row r="56" spans="1:14" ht="15.75" customHeight="1">
      <c r="A56" s="245" t="s">
        <v>238</v>
      </c>
      <c r="B56" s="246"/>
      <c r="C56" s="246"/>
      <c r="D56" s="246"/>
      <c r="E56" s="246"/>
      <c r="F56" s="246"/>
      <c r="G56" s="246"/>
      <c r="H56" s="246"/>
      <c r="I56" s="247"/>
      <c r="J56" s="35"/>
      <c r="L56" s="27"/>
      <c r="M56" s="28"/>
      <c r="N56" s="29"/>
    </row>
    <row r="57" spans="1:14" ht="15.75" hidden="1" customHeight="1">
      <c r="A57" s="49"/>
      <c r="B57" s="224" t="s">
        <v>55</v>
      </c>
      <c r="C57" s="200"/>
      <c r="D57" s="199"/>
      <c r="E57" s="201"/>
      <c r="F57" s="202"/>
      <c r="G57" s="202"/>
      <c r="H57" s="203"/>
      <c r="I57" s="18"/>
      <c r="J57" s="35"/>
      <c r="L57" s="27"/>
      <c r="M57" s="28"/>
      <c r="N57" s="29"/>
    </row>
    <row r="58" spans="1:14" ht="31.5" hidden="1" customHeight="1">
      <c r="A58" s="49">
        <v>16</v>
      </c>
      <c r="B58" s="199" t="s">
        <v>199</v>
      </c>
      <c r="C58" s="200" t="s">
        <v>151</v>
      </c>
      <c r="D58" s="199" t="s">
        <v>175</v>
      </c>
      <c r="E58" s="201">
        <v>148.04</v>
      </c>
      <c r="F58" s="202">
        <f>SUM(E58*6/100)</f>
        <v>8.8824000000000005</v>
      </c>
      <c r="G58" s="18">
        <v>1654.04</v>
      </c>
      <c r="H58" s="203">
        <f>SUM(F58*G58/1000)</f>
        <v>14.691844896000001</v>
      </c>
      <c r="I58" s="18">
        <f>F58/6*G58</f>
        <v>2448.6408160000001</v>
      </c>
      <c r="J58" s="35"/>
      <c r="L58" s="27"/>
      <c r="M58" s="28"/>
      <c r="N58" s="29"/>
    </row>
    <row r="59" spans="1:14" ht="31.5" hidden="1" customHeight="1">
      <c r="A59" s="49">
        <v>17</v>
      </c>
      <c r="B59" s="199" t="s">
        <v>142</v>
      </c>
      <c r="C59" s="200" t="s">
        <v>151</v>
      </c>
      <c r="D59" s="199" t="s">
        <v>143</v>
      </c>
      <c r="E59" s="201">
        <v>39.700000000000003</v>
      </c>
      <c r="F59" s="202">
        <f>SUM(E59*12/100)</f>
        <v>4.7640000000000002</v>
      </c>
      <c r="G59" s="18">
        <v>1654.04</v>
      </c>
      <c r="H59" s="203">
        <f>SUM(F59*G59/1000)</f>
        <v>7.8798465599999998</v>
      </c>
      <c r="I59" s="18">
        <f>F59/6*G59</f>
        <v>1313.3077600000001</v>
      </c>
      <c r="J59" s="35"/>
      <c r="L59" s="27"/>
      <c r="M59" s="28"/>
      <c r="N59" s="29"/>
    </row>
    <row r="60" spans="1:14" ht="15.75" hidden="1" customHeight="1">
      <c r="A60" s="49">
        <v>18</v>
      </c>
      <c r="B60" s="208" t="s">
        <v>200</v>
      </c>
      <c r="C60" s="209" t="s">
        <v>201</v>
      </c>
      <c r="D60" s="208" t="s">
        <v>54</v>
      </c>
      <c r="E60" s="210">
        <v>8</v>
      </c>
      <c r="F60" s="211">
        <v>16</v>
      </c>
      <c r="G60" s="18">
        <v>193.25</v>
      </c>
      <c r="H60" s="212">
        <f>F60*G60/1000</f>
        <v>3.0920000000000001</v>
      </c>
      <c r="I60" s="18">
        <f>F60/2*G60</f>
        <v>1546</v>
      </c>
      <c r="J60" s="35"/>
      <c r="L60" s="27"/>
      <c r="M60" s="28"/>
      <c r="N60" s="29"/>
    </row>
    <row r="61" spans="1:14" ht="15.75" hidden="1" customHeight="1">
      <c r="A61" s="49">
        <v>19</v>
      </c>
      <c r="B61" s="199" t="s">
        <v>202</v>
      </c>
      <c r="C61" s="200" t="s">
        <v>151</v>
      </c>
      <c r="D61" s="199" t="s">
        <v>175</v>
      </c>
      <c r="E61" s="201">
        <v>41.73</v>
      </c>
      <c r="F61" s="202">
        <f>SUM(E61*6/100)</f>
        <v>2.5038</v>
      </c>
      <c r="G61" s="18">
        <v>1654.04</v>
      </c>
      <c r="H61" s="203">
        <f>SUM(F61*G61/1000)</f>
        <v>4.1413853520000004</v>
      </c>
      <c r="I61" s="18">
        <f>F61/6*G61</f>
        <v>690.23089200000004</v>
      </c>
      <c r="J61" s="35"/>
      <c r="L61" s="27"/>
      <c r="M61" s="28"/>
      <c r="N61" s="29"/>
    </row>
    <row r="62" spans="1:14" ht="15.75" customHeight="1">
      <c r="A62" s="49"/>
      <c r="B62" s="225" t="s">
        <v>56</v>
      </c>
      <c r="C62" s="209"/>
      <c r="D62" s="208"/>
      <c r="E62" s="210"/>
      <c r="F62" s="211"/>
      <c r="G62" s="18"/>
      <c r="H62" s="212"/>
      <c r="I62" s="18"/>
      <c r="J62" s="35"/>
      <c r="L62" s="27"/>
      <c r="M62" s="28"/>
      <c r="N62" s="29"/>
    </row>
    <row r="63" spans="1:14" ht="15.75" hidden="1" customHeight="1">
      <c r="A63" s="49"/>
      <c r="B63" s="208" t="s">
        <v>57</v>
      </c>
      <c r="C63" s="209" t="s">
        <v>66</v>
      </c>
      <c r="D63" s="208" t="s">
        <v>67</v>
      </c>
      <c r="E63" s="210">
        <v>1015.4</v>
      </c>
      <c r="F63" s="211">
        <v>10.154</v>
      </c>
      <c r="G63" s="18">
        <v>848.37</v>
      </c>
      <c r="H63" s="212">
        <f>F63*G63/1000</f>
        <v>8.6143489800000008</v>
      </c>
      <c r="I63" s="18">
        <v>0</v>
      </c>
      <c r="J63" s="35"/>
      <c r="L63" s="27"/>
      <c r="M63" s="28"/>
      <c r="N63" s="29"/>
    </row>
    <row r="64" spans="1:14" ht="15.75" customHeight="1">
      <c r="A64" s="49">
        <v>16</v>
      </c>
      <c r="B64" s="208" t="s">
        <v>146</v>
      </c>
      <c r="C64" s="209" t="s">
        <v>29</v>
      </c>
      <c r="D64" s="208" t="s">
        <v>36</v>
      </c>
      <c r="E64" s="210">
        <v>203.1</v>
      </c>
      <c r="F64" s="213">
        <f>E64*12</f>
        <v>2437.1999999999998</v>
      </c>
      <c r="G64" s="194">
        <v>2.6</v>
      </c>
      <c r="H64" s="211">
        <f>F64*G64/1000</f>
        <v>6.3367199999999997</v>
      </c>
      <c r="I64" s="18">
        <f>F64/12*G64</f>
        <v>528.06000000000006</v>
      </c>
      <c r="J64" s="35"/>
      <c r="L64" s="27"/>
      <c r="M64" s="28"/>
      <c r="N64" s="29"/>
    </row>
    <row r="65" spans="1:21" ht="15.75" customHeight="1">
      <c r="A65" s="49"/>
      <c r="B65" s="225" t="s">
        <v>58</v>
      </c>
      <c r="C65" s="209"/>
      <c r="D65" s="208"/>
      <c r="E65" s="210"/>
      <c r="F65" s="213"/>
      <c r="G65" s="213"/>
      <c r="H65" s="211" t="s">
        <v>207</v>
      </c>
      <c r="I65" s="18"/>
      <c r="J65" s="35"/>
      <c r="L65" s="27"/>
    </row>
    <row r="66" spans="1:21" ht="15.75" hidden="1" customHeight="1">
      <c r="A66" s="49"/>
      <c r="B66" s="20" t="s">
        <v>59</v>
      </c>
      <c r="C66" s="22" t="s">
        <v>144</v>
      </c>
      <c r="D66" s="20" t="s">
        <v>88</v>
      </c>
      <c r="E66" s="25">
        <v>10</v>
      </c>
      <c r="F66" s="202">
        <v>10</v>
      </c>
      <c r="G66" s="18">
        <v>237.75</v>
      </c>
      <c r="H66" s="214">
        <f t="shared" ref="H66:H79" si="8">SUM(F66*G66/1000)</f>
        <v>2.3774999999999999</v>
      </c>
      <c r="I66" s="18">
        <v>0</v>
      </c>
      <c r="J66" s="35"/>
      <c r="L66" s="27"/>
    </row>
    <row r="67" spans="1:21" ht="15.75" hidden="1" customHeight="1">
      <c r="A67" s="49"/>
      <c r="B67" s="20" t="s">
        <v>60</v>
      </c>
      <c r="C67" s="22" t="s">
        <v>144</v>
      </c>
      <c r="D67" s="20" t="s">
        <v>88</v>
      </c>
      <c r="E67" s="25">
        <v>5</v>
      </c>
      <c r="F67" s="202">
        <v>5</v>
      </c>
      <c r="G67" s="18">
        <v>81.510000000000005</v>
      </c>
      <c r="H67" s="214">
        <f t="shared" si="8"/>
        <v>0.40755000000000002</v>
      </c>
      <c r="I67" s="18">
        <v>0</v>
      </c>
      <c r="J67" s="35"/>
      <c r="L67" s="27"/>
    </row>
    <row r="68" spans="1:21" ht="15.75" customHeight="1">
      <c r="A68" s="49">
        <v>17</v>
      </c>
      <c r="B68" s="20" t="s">
        <v>61</v>
      </c>
      <c r="C68" s="22" t="s">
        <v>177</v>
      </c>
      <c r="D68" s="20" t="s">
        <v>67</v>
      </c>
      <c r="E68" s="201">
        <v>14205</v>
      </c>
      <c r="F68" s="18">
        <f>SUM(E68/100)</f>
        <v>142.05000000000001</v>
      </c>
      <c r="G68" s="18">
        <v>226.79</v>
      </c>
      <c r="H68" s="214">
        <f t="shared" si="8"/>
        <v>32.215519499999999</v>
      </c>
      <c r="I68" s="18">
        <f>F68*G68</f>
        <v>32215.519500000002</v>
      </c>
    </row>
    <row r="69" spans="1:21" ht="15.75" customHeight="1">
      <c r="A69" s="49">
        <v>18</v>
      </c>
      <c r="B69" s="20" t="s">
        <v>62</v>
      </c>
      <c r="C69" s="22" t="s">
        <v>178</v>
      </c>
      <c r="D69" s="20" t="s">
        <v>67</v>
      </c>
      <c r="E69" s="201">
        <v>14205</v>
      </c>
      <c r="F69" s="18">
        <f>SUM(E69/1000)</f>
        <v>14.205</v>
      </c>
      <c r="G69" s="18">
        <v>176.61</v>
      </c>
      <c r="H69" s="214">
        <f t="shared" si="8"/>
        <v>2.5087450499999999</v>
      </c>
      <c r="I69" s="18">
        <f t="shared" ref="I69:I72" si="9">F69*G69</f>
        <v>2508.74505</v>
      </c>
      <c r="J69" s="40"/>
      <c r="K69" s="40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customHeight="1">
      <c r="A70" s="49">
        <v>19</v>
      </c>
      <c r="B70" s="20" t="s">
        <v>63</v>
      </c>
      <c r="C70" s="22" t="s">
        <v>98</v>
      </c>
      <c r="D70" s="20" t="s">
        <v>67</v>
      </c>
      <c r="E70" s="201">
        <v>2131</v>
      </c>
      <c r="F70" s="18">
        <f>SUM(E70/100)</f>
        <v>21.31</v>
      </c>
      <c r="G70" s="18">
        <v>2217.7800000000002</v>
      </c>
      <c r="H70" s="214">
        <f t="shared" si="8"/>
        <v>47.260891800000003</v>
      </c>
      <c r="I70" s="18">
        <f t="shared" si="9"/>
        <v>47260.891800000005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customHeight="1">
      <c r="A71" s="49">
        <v>20</v>
      </c>
      <c r="B71" s="215" t="s">
        <v>179</v>
      </c>
      <c r="C71" s="22" t="s">
        <v>39</v>
      </c>
      <c r="D71" s="20" t="s">
        <v>67</v>
      </c>
      <c r="E71" s="201">
        <v>12.48</v>
      </c>
      <c r="F71" s="18">
        <f>SUM(E71)</f>
        <v>12.48</v>
      </c>
      <c r="G71" s="18">
        <v>42.67</v>
      </c>
      <c r="H71" s="214">
        <f t="shared" si="8"/>
        <v>0.53252160000000004</v>
      </c>
      <c r="I71" s="18">
        <f t="shared" si="9"/>
        <v>532.52160000000003</v>
      </c>
      <c r="J71" s="5"/>
      <c r="K71" s="5"/>
      <c r="L71" s="5"/>
      <c r="M71" s="5"/>
      <c r="N71" s="5"/>
      <c r="O71" s="5"/>
      <c r="P71" s="5"/>
      <c r="Q71" s="5"/>
      <c r="R71" s="248"/>
      <c r="S71" s="248"/>
      <c r="T71" s="248"/>
      <c r="U71" s="248"/>
    </row>
    <row r="72" spans="1:21" ht="15.75" customHeight="1">
      <c r="A72" s="49">
        <v>21</v>
      </c>
      <c r="B72" s="215" t="s">
        <v>180</v>
      </c>
      <c r="C72" s="22" t="s">
        <v>39</v>
      </c>
      <c r="D72" s="20" t="s">
        <v>67</v>
      </c>
      <c r="E72" s="201">
        <v>12.48</v>
      </c>
      <c r="F72" s="18">
        <f>SUM(E72)</f>
        <v>12.48</v>
      </c>
      <c r="G72" s="18">
        <v>39.81</v>
      </c>
      <c r="H72" s="214">
        <f t="shared" si="8"/>
        <v>0.49682880000000007</v>
      </c>
      <c r="I72" s="18">
        <f t="shared" si="9"/>
        <v>496.82880000000006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hidden="1" customHeight="1">
      <c r="A73" s="49"/>
      <c r="B73" s="20" t="s">
        <v>72</v>
      </c>
      <c r="C73" s="22" t="s">
        <v>73</v>
      </c>
      <c r="D73" s="20" t="s">
        <v>67</v>
      </c>
      <c r="E73" s="25">
        <v>5</v>
      </c>
      <c r="F73" s="202">
        <v>5</v>
      </c>
      <c r="G73" s="18">
        <v>53.32</v>
      </c>
      <c r="H73" s="214">
        <f t="shared" si="8"/>
        <v>0.2666</v>
      </c>
      <c r="I73" s="18">
        <v>0</v>
      </c>
    </row>
    <row r="74" spans="1:21" ht="15.75" hidden="1" customHeight="1">
      <c r="A74" s="49"/>
      <c r="B74" s="193" t="s">
        <v>93</v>
      </c>
      <c r="C74" s="22"/>
      <c r="D74" s="20"/>
      <c r="E74" s="25"/>
      <c r="F74" s="18"/>
      <c r="G74" s="18"/>
      <c r="H74" s="214" t="s">
        <v>207</v>
      </c>
      <c r="I74" s="18"/>
    </row>
    <row r="75" spans="1:21" ht="15.75" hidden="1" customHeight="1">
      <c r="A75" s="49">
        <v>21</v>
      </c>
      <c r="B75" s="20" t="s">
        <v>94</v>
      </c>
      <c r="C75" s="22" t="s">
        <v>96</v>
      </c>
      <c r="D75" s="20" t="s">
        <v>88</v>
      </c>
      <c r="E75" s="25">
        <v>2</v>
      </c>
      <c r="F75" s="18">
        <v>0.2</v>
      </c>
      <c r="G75" s="18">
        <v>536.23</v>
      </c>
      <c r="H75" s="214">
        <f t="shared" si="8"/>
        <v>0.10724600000000001</v>
      </c>
      <c r="I75" s="18">
        <f>G75*0.1</f>
        <v>53.623000000000005</v>
      </c>
    </row>
    <row r="76" spans="1:21" ht="15.75" hidden="1" customHeight="1">
      <c r="A76" s="49"/>
      <c r="B76" s="20" t="s">
        <v>95</v>
      </c>
      <c r="C76" s="22" t="s">
        <v>37</v>
      </c>
      <c r="D76" s="20" t="s">
        <v>88</v>
      </c>
      <c r="E76" s="25">
        <v>1</v>
      </c>
      <c r="F76" s="194">
        <v>1</v>
      </c>
      <c r="G76" s="18">
        <v>911.85</v>
      </c>
      <c r="H76" s="214">
        <f>F76*G76/1000</f>
        <v>0.91185000000000005</v>
      </c>
      <c r="I76" s="18">
        <v>0</v>
      </c>
    </row>
    <row r="77" spans="1:21" ht="15.75" hidden="1" customHeight="1">
      <c r="A77" s="49"/>
      <c r="B77" s="20" t="s">
        <v>203</v>
      </c>
      <c r="C77" s="22" t="s">
        <v>37</v>
      </c>
      <c r="D77" s="20" t="s">
        <v>88</v>
      </c>
      <c r="E77" s="25">
        <v>1</v>
      </c>
      <c r="F77" s="18">
        <v>1</v>
      </c>
      <c r="G77" s="18">
        <v>383.25</v>
      </c>
      <c r="H77" s="214">
        <f>G77*F77/1000</f>
        <v>0.38324999999999998</v>
      </c>
      <c r="I77" s="18">
        <v>0</v>
      </c>
    </row>
    <row r="78" spans="1:21" ht="15.75" hidden="1" customHeight="1">
      <c r="A78" s="49"/>
      <c r="B78" s="216" t="s">
        <v>97</v>
      </c>
      <c r="C78" s="22"/>
      <c r="D78" s="20"/>
      <c r="E78" s="25"/>
      <c r="F78" s="18"/>
      <c r="G78" s="18" t="s">
        <v>207</v>
      </c>
      <c r="H78" s="214" t="s">
        <v>207</v>
      </c>
      <c r="I78" s="18"/>
    </row>
    <row r="79" spans="1:21" ht="15.75" hidden="1" customHeight="1">
      <c r="A79" s="49">
        <v>22</v>
      </c>
      <c r="B79" s="86" t="s">
        <v>183</v>
      </c>
      <c r="C79" s="22" t="s">
        <v>98</v>
      </c>
      <c r="D79" s="20"/>
      <c r="E79" s="25"/>
      <c r="F79" s="18">
        <v>0.9</v>
      </c>
      <c r="G79" s="18">
        <v>2757.42</v>
      </c>
      <c r="H79" s="214">
        <f t="shared" si="8"/>
        <v>2.4816780000000005</v>
      </c>
      <c r="I79" s="18">
        <f>G79*F79</f>
        <v>2481.6780000000003</v>
      </c>
    </row>
    <row r="80" spans="1:21" ht="15.75" hidden="1" customHeight="1">
      <c r="A80" s="49"/>
      <c r="B80" s="193" t="s">
        <v>181</v>
      </c>
      <c r="C80" s="216"/>
      <c r="D80" s="54"/>
      <c r="E80" s="58"/>
      <c r="F80" s="205"/>
      <c r="G80" s="205"/>
      <c r="H80" s="217">
        <f>SUM(H58:H79)</f>
        <v>134.70632653799998</v>
      </c>
      <c r="I80" s="205"/>
    </row>
    <row r="81" spans="1:9" ht="15.75" hidden="1" customHeight="1">
      <c r="A81" s="226">
        <v>23</v>
      </c>
      <c r="B81" s="208" t="s">
        <v>182</v>
      </c>
      <c r="C81" s="227"/>
      <c r="D81" s="228"/>
      <c r="E81" s="195"/>
      <c r="F81" s="220">
        <v>1</v>
      </c>
      <c r="G81" s="220">
        <v>27901.200000000001</v>
      </c>
      <c r="H81" s="229">
        <f>G81*F81/1000</f>
        <v>27.901199999999999</v>
      </c>
      <c r="I81" s="220">
        <f>G81</f>
        <v>27901.200000000001</v>
      </c>
    </row>
    <row r="82" spans="1:9" ht="15.75" customHeight="1">
      <c r="A82" s="251" t="s">
        <v>239</v>
      </c>
      <c r="B82" s="252"/>
      <c r="C82" s="252"/>
      <c r="D82" s="252"/>
      <c r="E82" s="252"/>
      <c r="F82" s="252"/>
      <c r="G82" s="252"/>
      <c r="H82" s="252"/>
      <c r="I82" s="253"/>
    </row>
    <row r="83" spans="1:9" ht="15.75" customHeight="1">
      <c r="A83" s="230">
        <v>23</v>
      </c>
      <c r="B83" s="235" t="s">
        <v>184</v>
      </c>
      <c r="C83" s="231" t="s">
        <v>68</v>
      </c>
      <c r="D83" s="232" t="s">
        <v>69</v>
      </c>
      <c r="E83" s="233">
        <v>3945</v>
      </c>
      <c r="F83" s="233">
        <f>SUM(E83*12)</f>
        <v>47340</v>
      </c>
      <c r="G83" s="233">
        <v>2.2400000000000002</v>
      </c>
      <c r="H83" s="234">
        <f>SUM(F83*G83/1000)</f>
        <v>106.0416</v>
      </c>
      <c r="I83" s="233">
        <f>F83/12*G83</f>
        <v>8836.8000000000011</v>
      </c>
    </row>
    <row r="84" spans="1:9" ht="31.5" customHeight="1">
      <c r="A84" s="49">
        <v>24</v>
      </c>
      <c r="B84" s="20" t="s">
        <v>99</v>
      </c>
      <c r="C84" s="22"/>
      <c r="D84" s="232" t="s">
        <v>69</v>
      </c>
      <c r="E84" s="201">
        <f>E83</f>
        <v>3945</v>
      </c>
      <c r="F84" s="18">
        <f>E84*12</f>
        <v>47340</v>
      </c>
      <c r="G84" s="18">
        <v>1.74</v>
      </c>
      <c r="H84" s="214">
        <f>F84*G84/1000</f>
        <v>82.371600000000001</v>
      </c>
      <c r="I84" s="18">
        <f>F84/12*G84</f>
        <v>6864.3</v>
      </c>
    </row>
    <row r="85" spans="1:9" ht="15.75" customHeight="1">
      <c r="A85" s="49"/>
      <c r="B85" s="73" t="s">
        <v>105</v>
      </c>
      <c r="C85" s="75"/>
      <c r="D85" s="21"/>
      <c r="E85" s="21"/>
      <c r="F85" s="25"/>
      <c r="G85" s="31"/>
      <c r="H85" s="217">
        <f>H84</f>
        <v>82.371600000000001</v>
      </c>
      <c r="I85" s="58">
        <f>SUM(I16+I17+I18+I19+I20+I21+I22+I23+I24+I25+I26+I29+I30+I31+I32+I33+I46+I47+I48+I49+I50+I64+I68+I69+I70+I71+I72+I83+I84)</f>
        <v>151718.52955429998</v>
      </c>
    </row>
    <row r="86" spans="1:9" ht="15.75" customHeight="1">
      <c r="A86" s="49"/>
      <c r="B86" s="173" t="s">
        <v>76</v>
      </c>
      <c r="C86" s="173"/>
      <c r="D86" s="173"/>
      <c r="E86" s="173"/>
      <c r="F86" s="173"/>
      <c r="G86" s="31"/>
      <c r="H86" s="217" t="e">
        <f>SUM(H85+#REF!+H80+H56+#REF!+#REF!+H27)</f>
        <v>#REF!</v>
      </c>
      <c r="I86" s="173"/>
    </row>
    <row r="87" spans="1:9" ht="31.5" customHeight="1">
      <c r="A87" s="49">
        <v>25</v>
      </c>
      <c r="B87" s="218" t="s">
        <v>104</v>
      </c>
      <c r="C87" s="219" t="s">
        <v>144</v>
      </c>
      <c r="D87" s="20"/>
      <c r="E87" s="25"/>
      <c r="F87" s="18">
        <v>14</v>
      </c>
      <c r="G87" s="18">
        <v>79.09</v>
      </c>
      <c r="H87" s="18">
        <f t="shared" ref="H87:H88" si="10">G87*F87/1000</f>
        <v>1.1072599999999999</v>
      </c>
      <c r="I87" s="220">
        <f>G87*4</f>
        <v>316.36</v>
      </c>
    </row>
    <row r="88" spans="1:9" ht="31.5" customHeight="1">
      <c r="A88" s="49">
        <v>26</v>
      </c>
      <c r="B88" s="218" t="s">
        <v>114</v>
      </c>
      <c r="C88" s="219" t="s">
        <v>48</v>
      </c>
      <c r="D88" s="86"/>
      <c r="E88" s="18"/>
      <c r="F88" s="18">
        <v>0.09</v>
      </c>
      <c r="G88" s="18">
        <v>3397.65</v>
      </c>
      <c r="H88" s="214">
        <f t="shared" si="10"/>
        <v>0.30578850000000002</v>
      </c>
      <c r="I88" s="220">
        <f>G88*0.01</f>
        <v>33.976500000000001</v>
      </c>
    </row>
    <row r="89" spans="1:9" ht="31.5" customHeight="1">
      <c r="A89" s="49">
        <v>27</v>
      </c>
      <c r="B89" s="218" t="s">
        <v>230</v>
      </c>
      <c r="C89" s="219" t="s">
        <v>222</v>
      </c>
      <c r="D89" s="20"/>
      <c r="E89" s="25"/>
      <c r="F89" s="18">
        <v>1</v>
      </c>
      <c r="G89" s="18">
        <v>105.66</v>
      </c>
      <c r="H89" s="214">
        <f t="shared" ref="H89" si="11">G89*F89/1000</f>
        <v>0.10565999999999999</v>
      </c>
      <c r="I89" s="220">
        <f>G89</f>
        <v>105.66</v>
      </c>
    </row>
    <row r="90" spans="1:9" ht="31.5" customHeight="1">
      <c r="A90" s="49">
        <v>28</v>
      </c>
      <c r="B90" s="218" t="s">
        <v>208</v>
      </c>
      <c r="C90" s="219" t="s">
        <v>209</v>
      </c>
      <c r="D90" s="20"/>
      <c r="E90" s="25"/>
      <c r="F90" s="18">
        <v>2</v>
      </c>
      <c r="G90" s="18">
        <v>51.39</v>
      </c>
      <c r="H90" s="214">
        <f>G90*F90/1000</f>
        <v>0.10278</v>
      </c>
      <c r="I90" s="220">
        <f>G90</f>
        <v>51.39</v>
      </c>
    </row>
    <row r="91" spans="1:9">
      <c r="A91" s="49"/>
      <c r="B91" s="80" t="s">
        <v>64</v>
      </c>
      <c r="C91" s="76"/>
      <c r="D91" s="129"/>
      <c r="E91" s="76">
        <v>1</v>
      </c>
      <c r="F91" s="76"/>
      <c r="G91" s="76"/>
      <c r="H91" s="76"/>
      <c r="I91" s="58">
        <f>SUM(I87:I90)</f>
        <v>507.38649999999996</v>
      </c>
    </row>
    <row r="92" spans="1:9" ht="16.5" customHeight="1">
      <c r="A92" s="49"/>
      <c r="B92" s="86" t="s">
        <v>100</v>
      </c>
      <c r="C92" s="21"/>
      <c r="D92" s="21"/>
      <c r="E92" s="77"/>
      <c r="F92" s="77"/>
      <c r="G92" s="78"/>
      <c r="H92" s="78"/>
      <c r="I92" s="24">
        <v>0</v>
      </c>
    </row>
    <row r="93" spans="1:9" ht="16.5" customHeight="1">
      <c r="A93" s="130"/>
      <c r="B93" s="81" t="s">
        <v>65</v>
      </c>
      <c r="C93" s="64"/>
      <c r="D93" s="64"/>
      <c r="E93" s="64"/>
      <c r="F93" s="64"/>
      <c r="G93" s="64"/>
      <c r="H93" s="64"/>
      <c r="I93" s="79">
        <f>I85+I91</f>
        <v>152225.91605429997</v>
      </c>
    </row>
    <row r="94" spans="1:9" ht="15.75" customHeight="1">
      <c r="A94" s="249" t="s">
        <v>250</v>
      </c>
      <c r="B94" s="249"/>
      <c r="C94" s="249"/>
      <c r="D94" s="249"/>
      <c r="E94" s="249"/>
      <c r="F94" s="249"/>
      <c r="G94" s="249"/>
      <c r="H94" s="249"/>
      <c r="I94" s="249"/>
    </row>
    <row r="95" spans="1:9" ht="15.75" customHeight="1">
      <c r="A95" s="190"/>
      <c r="B95" s="258" t="s">
        <v>251</v>
      </c>
      <c r="C95" s="258"/>
      <c r="D95" s="258"/>
      <c r="E95" s="258"/>
      <c r="F95" s="258"/>
      <c r="G95" s="258"/>
      <c r="H95" s="198"/>
      <c r="I95" s="3"/>
    </row>
    <row r="96" spans="1:9" ht="15.75" customHeight="1">
      <c r="A96" s="188"/>
      <c r="B96" s="255" t="s">
        <v>7</v>
      </c>
      <c r="C96" s="255"/>
      <c r="D96" s="255"/>
      <c r="E96" s="255"/>
      <c r="F96" s="255"/>
      <c r="G96" s="255"/>
      <c r="H96" s="39"/>
      <c r="I96" s="5"/>
    </row>
    <row r="97" spans="1:9" ht="15.7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>
      <c r="A98" s="259" t="s">
        <v>8</v>
      </c>
      <c r="B98" s="259"/>
      <c r="C98" s="259"/>
      <c r="D98" s="259"/>
      <c r="E98" s="259"/>
      <c r="F98" s="259"/>
      <c r="G98" s="259"/>
      <c r="H98" s="259"/>
      <c r="I98" s="259"/>
    </row>
    <row r="99" spans="1:9" ht="15.75">
      <c r="A99" s="259" t="s">
        <v>9</v>
      </c>
      <c r="B99" s="259"/>
      <c r="C99" s="259"/>
      <c r="D99" s="259"/>
      <c r="E99" s="259"/>
      <c r="F99" s="259"/>
      <c r="G99" s="259"/>
      <c r="H99" s="259"/>
      <c r="I99" s="259"/>
    </row>
    <row r="100" spans="1:9" ht="15.75">
      <c r="A100" s="242" t="s">
        <v>79</v>
      </c>
      <c r="B100" s="242"/>
      <c r="C100" s="242"/>
      <c r="D100" s="242"/>
      <c r="E100" s="242"/>
      <c r="F100" s="242"/>
      <c r="G100" s="242"/>
      <c r="H100" s="242"/>
      <c r="I100" s="242"/>
    </row>
    <row r="101" spans="1:9" ht="15.75">
      <c r="A101" s="12"/>
    </row>
    <row r="102" spans="1:9" ht="15.75">
      <c r="A102" s="243" t="s">
        <v>11</v>
      </c>
      <c r="B102" s="243"/>
      <c r="C102" s="243"/>
      <c r="D102" s="243"/>
      <c r="E102" s="243"/>
      <c r="F102" s="243"/>
      <c r="G102" s="243"/>
      <c r="H102" s="243"/>
      <c r="I102" s="243"/>
    </row>
    <row r="103" spans="1:9" ht="15.75">
      <c r="A103" s="4"/>
    </row>
    <row r="104" spans="1:9" ht="15.75">
      <c r="B104" s="189" t="s">
        <v>12</v>
      </c>
      <c r="C104" s="254" t="s">
        <v>187</v>
      </c>
      <c r="D104" s="254"/>
      <c r="E104" s="254"/>
      <c r="F104" s="196"/>
      <c r="I104" s="192"/>
    </row>
    <row r="105" spans="1:9">
      <c r="A105" s="188"/>
      <c r="C105" s="255" t="s">
        <v>13</v>
      </c>
      <c r="D105" s="255"/>
      <c r="E105" s="255"/>
      <c r="F105" s="39"/>
      <c r="I105" s="191" t="s">
        <v>14</v>
      </c>
    </row>
    <row r="106" spans="1:9" ht="15.75">
      <c r="A106" s="40"/>
      <c r="C106" s="13"/>
      <c r="D106" s="13"/>
      <c r="G106" s="13"/>
      <c r="H106" s="13"/>
    </row>
    <row r="107" spans="1:9" ht="15.75">
      <c r="B107" s="189" t="s">
        <v>15</v>
      </c>
      <c r="C107" s="256"/>
      <c r="D107" s="256"/>
      <c r="E107" s="256"/>
      <c r="F107" s="197"/>
      <c r="I107" s="192"/>
    </row>
    <row r="108" spans="1:9">
      <c r="A108" s="188"/>
      <c r="C108" s="248" t="s">
        <v>13</v>
      </c>
      <c r="D108" s="248"/>
      <c r="E108" s="248"/>
      <c r="F108" s="188"/>
      <c r="I108" s="191" t="s">
        <v>14</v>
      </c>
    </row>
    <row r="109" spans="1:9" ht="15.75">
      <c r="A109" s="4" t="s">
        <v>16</v>
      </c>
    </row>
    <row r="110" spans="1:9">
      <c r="A110" s="257" t="s">
        <v>17</v>
      </c>
      <c r="B110" s="257"/>
      <c r="C110" s="257"/>
      <c r="D110" s="257"/>
      <c r="E110" s="257"/>
      <c r="F110" s="257"/>
      <c r="G110" s="257"/>
      <c r="H110" s="257"/>
      <c r="I110" s="257"/>
    </row>
    <row r="111" spans="1:9" ht="47.25" customHeight="1">
      <c r="A111" s="250" t="s">
        <v>18</v>
      </c>
      <c r="B111" s="250"/>
      <c r="C111" s="250"/>
      <c r="D111" s="250"/>
      <c r="E111" s="250"/>
      <c r="F111" s="250"/>
      <c r="G111" s="250"/>
      <c r="H111" s="250"/>
      <c r="I111" s="250"/>
    </row>
    <row r="112" spans="1:9" ht="31.5" customHeight="1">
      <c r="A112" s="250" t="s">
        <v>19</v>
      </c>
      <c r="B112" s="250"/>
      <c r="C112" s="250"/>
      <c r="D112" s="250"/>
      <c r="E112" s="250"/>
      <c r="F112" s="250"/>
      <c r="G112" s="250"/>
      <c r="H112" s="250"/>
      <c r="I112" s="250"/>
    </row>
    <row r="113" spans="1:9" ht="31.5" customHeight="1">
      <c r="A113" s="250" t="s">
        <v>24</v>
      </c>
      <c r="B113" s="250"/>
      <c r="C113" s="250"/>
      <c r="D113" s="250"/>
      <c r="E113" s="250"/>
      <c r="F113" s="250"/>
      <c r="G113" s="250"/>
      <c r="H113" s="250"/>
      <c r="I113" s="250"/>
    </row>
    <row r="114" spans="1:9" ht="15.75">
      <c r="A114" s="250" t="s">
        <v>23</v>
      </c>
      <c r="B114" s="250"/>
      <c r="C114" s="250"/>
      <c r="D114" s="250"/>
      <c r="E114" s="250"/>
      <c r="F114" s="250"/>
      <c r="G114" s="250"/>
      <c r="H114" s="250"/>
      <c r="I114" s="250"/>
    </row>
  </sheetData>
  <autoFilter ref="I12:I67"/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7:I27"/>
    <mergeCell ref="A45:I45"/>
    <mergeCell ref="A56:I56"/>
    <mergeCell ref="A94:I94"/>
    <mergeCell ref="B95:G95"/>
    <mergeCell ref="B96:G96"/>
    <mergeCell ref="A98:I98"/>
    <mergeCell ref="A99:I99"/>
    <mergeCell ref="R71:U71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112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4" t="s">
        <v>122</v>
      </c>
      <c r="I1" s="43"/>
      <c r="J1" s="1"/>
      <c r="K1" s="1"/>
      <c r="L1" s="1"/>
      <c r="M1" s="1"/>
    </row>
    <row r="2" spans="1:13" ht="15.75">
      <c r="A2" s="45" t="s">
        <v>83</v>
      </c>
      <c r="J2" s="2"/>
      <c r="K2" s="2"/>
      <c r="L2" s="2"/>
      <c r="M2" s="2"/>
    </row>
    <row r="3" spans="1:13" ht="15.75" customHeight="1">
      <c r="A3" s="237" t="s">
        <v>252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188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70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187"/>
      <c r="C6" s="187"/>
      <c r="D6" s="187"/>
      <c r="E6" s="187"/>
      <c r="F6" s="187"/>
      <c r="G6" s="187"/>
      <c r="H6" s="187"/>
      <c r="I6" s="53">
        <v>42551</v>
      </c>
      <c r="J6" s="2"/>
      <c r="K6" s="2"/>
      <c r="L6" s="2"/>
      <c r="M6" s="2"/>
    </row>
    <row r="7" spans="1:13" ht="15.75">
      <c r="B7" s="189"/>
      <c r="C7" s="189"/>
      <c r="D7" s="18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271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189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6" t="s">
        <v>74</v>
      </c>
      <c r="B14" s="236"/>
      <c r="C14" s="236"/>
      <c r="D14" s="236"/>
      <c r="E14" s="236"/>
      <c r="F14" s="236"/>
      <c r="G14" s="236"/>
      <c r="H14" s="236"/>
      <c r="I14" s="236"/>
      <c r="J14" s="8"/>
      <c r="K14" s="8"/>
      <c r="L14" s="8"/>
      <c r="M14" s="8"/>
    </row>
    <row r="15" spans="1:13">
      <c r="A15" s="244" t="s">
        <v>4</v>
      </c>
      <c r="B15" s="244"/>
      <c r="C15" s="244"/>
      <c r="D15" s="244"/>
      <c r="E15" s="244"/>
      <c r="F15" s="244"/>
      <c r="G15" s="244"/>
      <c r="H15" s="244"/>
      <c r="I15" s="244"/>
      <c r="J15" s="8"/>
      <c r="K15" s="8"/>
      <c r="L15" s="8"/>
      <c r="M15" s="8"/>
    </row>
    <row r="16" spans="1:13" ht="31.5" customHeight="1">
      <c r="A16" s="49">
        <v>1</v>
      </c>
      <c r="B16" s="199" t="s">
        <v>124</v>
      </c>
      <c r="C16" s="200" t="s">
        <v>151</v>
      </c>
      <c r="D16" s="199" t="s">
        <v>190</v>
      </c>
      <c r="E16" s="201">
        <v>95.04</v>
      </c>
      <c r="F16" s="202">
        <f>SUM(E16*156/100)</f>
        <v>148.26240000000001</v>
      </c>
      <c r="G16" s="202">
        <v>187.48</v>
      </c>
      <c r="H16" s="203">
        <f t="shared" ref="H16:H24" si="0">SUM(F16*G16/1000)</f>
        <v>27.796234752</v>
      </c>
      <c r="I16" s="18">
        <f>F16/12*G16</f>
        <v>2316.3528960000003</v>
      </c>
      <c r="J16" s="8"/>
      <c r="K16" s="8"/>
      <c r="L16" s="8"/>
      <c r="M16" s="8"/>
    </row>
    <row r="17" spans="1:13" ht="31.5" customHeight="1">
      <c r="A17" s="49">
        <v>2</v>
      </c>
      <c r="B17" s="199" t="s">
        <v>147</v>
      </c>
      <c r="C17" s="200" t="s">
        <v>151</v>
      </c>
      <c r="D17" s="199" t="s">
        <v>191</v>
      </c>
      <c r="E17" s="201">
        <v>380.16</v>
      </c>
      <c r="F17" s="202">
        <f>SUM(E17*104/100)</f>
        <v>395.3664</v>
      </c>
      <c r="G17" s="202">
        <v>187.48</v>
      </c>
      <c r="H17" s="203">
        <f t="shared" si="0"/>
        <v>74.123292671999991</v>
      </c>
      <c r="I17" s="18">
        <f>F17/12*G17</f>
        <v>6176.9410559999997</v>
      </c>
      <c r="J17" s="34"/>
      <c r="K17" s="8"/>
      <c r="L17" s="8"/>
      <c r="M17" s="8"/>
    </row>
    <row r="18" spans="1:13" ht="31.5" customHeight="1">
      <c r="A18" s="49">
        <v>3</v>
      </c>
      <c r="B18" s="199" t="s">
        <v>148</v>
      </c>
      <c r="C18" s="200" t="s">
        <v>151</v>
      </c>
      <c r="D18" s="199" t="s">
        <v>192</v>
      </c>
      <c r="E18" s="201">
        <f>SUM(E16+E17)</f>
        <v>475.20000000000005</v>
      </c>
      <c r="F18" s="202">
        <f>SUM(E18*24/100)</f>
        <v>114.04800000000002</v>
      </c>
      <c r="G18" s="202">
        <v>539.30999999999995</v>
      </c>
      <c r="H18" s="203">
        <f t="shared" si="0"/>
        <v>61.507226880000005</v>
      </c>
      <c r="I18" s="18">
        <f>F18/12*G18</f>
        <v>5125.6022400000002</v>
      </c>
      <c r="J18" s="34"/>
      <c r="K18" s="8"/>
      <c r="L18" s="8"/>
      <c r="M18" s="8"/>
    </row>
    <row r="19" spans="1:13" ht="15.75" hidden="1" customHeight="1">
      <c r="A19" s="49">
        <v>4</v>
      </c>
      <c r="B19" s="199" t="s">
        <v>152</v>
      </c>
      <c r="C19" s="200" t="s">
        <v>153</v>
      </c>
      <c r="D19" s="199" t="s">
        <v>154</v>
      </c>
      <c r="E19" s="201">
        <v>93.4</v>
      </c>
      <c r="F19" s="202">
        <f>SUM(E19/10)</f>
        <v>9.34</v>
      </c>
      <c r="G19" s="202">
        <v>181.9</v>
      </c>
      <c r="H19" s="203">
        <f t="shared" si="0"/>
        <v>1.6989460000000001</v>
      </c>
      <c r="I19" s="18">
        <v>0</v>
      </c>
      <c r="J19" s="34"/>
      <c r="K19" s="8"/>
      <c r="L19" s="8"/>
      <c r="M19" s="8"/>
    </row>
    <row r="20" spans="1:13" ht="15.75" hidden="1" customHeight="1">
      <c r="A20" s="49"/>
      <c r="B20" s="199" t="s">
        <v>155</v>
      </c>
      <c r="C20" s="200" t="s">
        <v>151</v>
      </c>
      <c r="D20" s="199" t="s">
        <v>54</v>
      </c>
      <c r="E20" s="201">
        <v>43.2</v>
      </c>
      <c r="F20" s="202">
        <f>SUM(E20*2/100)</f>
        <v>0.8640000000000001</v>
      </c>
      <c r="G20" s="202">
        <v>232.91</v>
      </c>
      <c r="H20" s="203">
        <f t="shared" si="0"/>
        <v>0.20123424000000004</v>
      </c>
      <c r="I20" s="18">
        <v>0</v>
      </c>
      <c r="J20" s="34"/>
      <c r="K20" s="8"/>
      <c r="L20" s="8"/>
      <c r="M20" s="8"/>
    </row>
    <row r="21" spans="1:13" ht="15.75" hidden="1" customHeight="1">
      <c r="A21" s="49"/>
      <c r="B21" s="199" t="s">
        <v>156</v>
      </c>
      <c r="C21" s="200" t="s">
        <v>151</v>
      </c>
      <c r="D21" s="199" t="s">
        <v>54</v>
      </c>
      <c r="E21" s="201">
        <v>10.08</v>
      </c>
      <c r="F21" s="202">
        <f>SUM(E21*2/100)</f>
        <v>0.2016</v>
      </c>
      <c r="G21" s="202">
        <v>231.03</v>
      </c>
      <c r="H21" s="203">
        <f t="shared" si="0"/>
        <v>4.6575648000000004E-2</v>
      </c>
      <c r="I21" s="18">
        <v>0</v>
      </c>
      <c r="J21" s="34"/>
      <c r="K21" s="8"/>
      <c r="L21" s="8"/>
      <c r="M21" s="8"/>
    </row>
    <row r="22" spans="1:13" ht="15.75" hidden="1" customHeight="1">
      <c r="A22" s="49"/>
      <c r="B22" s="199" t="s">
        <v>157</v>
      </c>
      <c r="C22" s="200" t="s">
        <v>66</v>
      </c>
      <c r="D22" s="199" t="s">
        <v>154</v>
      </c>
      <c r="E22" s="201">
        <v>642.6</v>
      </c>
      <c r="F22" s="202">
        <f>SUM(E22/100)</f>
        <v>6.4260000000000002</v>
      </c>
      <c r="G22" s="202">
        <v>287.83999999999997</v>
      </c>
      <c r="H22" s="203">
        <f t="shared" si="0"/>
        <v>1.8496598399999997</v>
      </c>
      <c r="I22" s="18">
        <v>0</v>
      </c>
      <c r="J22" s="34"/>
      <c r="K22" s="8"/>
      <c r="L22" s="8"/>
      <c r="M22" s="8"/>
    </row>
    <row r="23" spans="1:13" ht="15.75" hidden="1" customHeight="1">
      <c r="A23" s="49"/>
      <c r="B23" s="199" t="s">
        <v>158</v>
      </c>
      <c r="C23" s="200" t="s">
        <v>66</v>
      </c>
      <c r="D23" s="199" t="s">
        <v>154</v>
      </c>
      <c r="E23" s="204">
        <v>35.28</v>
      </c>
      <c r="F23" s="202">
        <f>SUM(E23/100)</f>
        <v>0.3528</v>
      </c>
      <c r="G23" s="202">
        <v>47.35</v>
      </c>
      <c r="H23" s="203">
        <f t="shared" si="0"/>
        <v>1.6705080000000004E-2</v>
      </c>
      <c r="I23" s="18">
        <v>0</v>
      </c>
      <c r="J23" s="34"/>
      <c r="K23" s="8"/>
      <c r="L23" s="8"/>
      <c r="M23" s="8"/>
    </row>
    <row r="24" spans="1:13" ht="15.75" hidden="1" customHeight="1">
      <c r="A24" s="49"/>
      <c r="B24" s="199" t="s">
        <v>159</v>
      </c>
      <c r="C24" s="200" t="s">
        <v>66</v>
      </c>
      <c r="D24" s="199" t="s">
        <v>154</v>
      </c>
      <c r="E24" s="201">
        <v>28.8</v>
      </c>
      <c r="F24" s="202">
        <f>SUM(E24/100)</f>
        <v>0.28800000000000003</v>
      </c>
      <c r="G24" s="202">
        <v>556.74</v>
      </c>
      <c r="H24" s="203">
        <f t="shared" si="0"/>
        <v>0.16034112000000003</v>
      </c>
      <c r="I24" s="18">
        <v>0</v>
      </c>
      <c r="J24" s="34"/>
      <c r="K24" s="8"/>
      <c r="L24" s="8"/>
      <c r="M24" s="8"/>
    </row>
    <row r="25" spans="1:13" ht="15.75" customHeight="1">
      <c r="A25" s="49">
        <v>4</v>
      </c>
      <c r="B25" s="199" t="s">
        <v>85</v>
      </c>
      <c r="C25" s="200" t="s">
        <v>39</v>
      </c>
      <c r="D25" s="199" t="s">
        <v>219</v>
      </c>
      <c r="E25" s="201">
        <v>0.1</v>
      </c>
      <c r="F25" s="202">
        <f>SUM(E25*365)</f>
        <v>36.5</v>
      </c>
      <c r="G25" s="202">
        <v>157.18</v>
      </c>
      <c r="H25" s="203">
        <f>SUM(F25*G25/1000)</f>
        <v>5.737070000000001</v>
      </c>
      <c r="I25" s="18">
        <f>F25/12*G25</f>
        <v>478.08916666666664</v>
      </c>
      <c r="J25" s="34"/>
      <c r="K25" s="8"/>
      <c r="L25" s="8"/>
      <c r="M25" s="8"/>
    </row>
    <row r="26" spans="1:13" ht="15.75" customHeight="1">
      <c r="A26" s="49">
        <v>5</v>
      </c>
      <c r="B26" s="207" t="s">
        <v>26</v>
      </c>
      <c r="C26" s="200" t="s">
        <v>27</v>
      </c>
      <c r="D26" s="207" t="s">
        <v>207</v>
      </c>
      <c r="E26" s="201">
        <v>3945</v>
      </c>
      <c r="F26" s="202">
        <f>SUM(E26*12)</f>
        <v>47340</v>
      </c>
      <c r="G26" s="202">
        <v>5.33</v>
      </c>
      <c r="H26" s="203">
        <f>SUM(F26*G26/1000)</f>
        <v>252.32220000000001</v>
      </c>
      <c r="I26" s="18">
        <f>F26/12*G26</f>
        <v>21026.85</v>
      </c>
      <c r="J26" s="35"/>
    </row>
    <row r="27" spans="1:13" ht="15.75" customHeight="1">
      <c r="A27" s="245" t="s">
        <v>119</v>
      </c>
      <c r="B27" s="246"/>
      <c r="C27" s="246"/>
      <c r="D27" s="246"/>
      <c r="E27" s="246"/>
      <c r="F27" s="246"/>
      <c r="G27" s="246"/>
      <c r="H27" s="246"/>
      <c r="I27" s="247"/>
      <c r="J27" s="34"/>
      <c r="K27" s="8"/>
      <c r="L27" s="8"/>
      <c r="M27" s="8"/>
    </row>
    <row r="28" spans="1:13" ht="15.75" customHeight="1">
      <c r="A28" s="49"/>
      <c r="B28" s="224" t="s">
        <v>34</v>
      </c>
      <c r="C28" s="200"/>
      <c r="D28" s="199"/>
      <c r="E28" s="201"/>
      <c r="F28" s="202"/>
      <c r="G28" s="202"/>
      <c r="H28" s="203"/>
      <c r="I28" s="18"/>
      <c r="J28" s="34"/>
      <c r="K28" s="8"/>
      <c r="L28" s="8"/>
      <c r="M28" s="8"/>
    </row>
    <row r="29" spans="1:13" ht="31.5" customHeight="1">
      <c r="A29" s="49">
        <v>6</v>
      </c>
      <c r="B29" s="199" t="s">
        <v>160</v>
      </c>
      <c r="C29" s="200" t="s">
        <v>216</v>
      </c>
      <c r="D29" s="199" t="s">
        <v>217</v>
      </c>
      <c r="E29" s="202">
        <v>1044.6500000000001</v>
      </c>
      <c r="F29" s="202">
        <f>SUM(E29*52/1000)</f>
        <v>54.321800000000003</v>
      </c>
      <c r="G29" s="202">
        <v>166.65</v>
      </c>
      <c r="H29" s="203">
        <f t="shared" ref="H29:H35" si="1">SUM(F29*G29/1000)</f>
        <v>9.0527279700000012</v>
      </c>
      <c r="I29" s="18">
        <f>F29/6*G29</f>
        <v>1508.7879950000001</v>
      </c>
      <c r="J29" s="34"/>
      <c r="K29" s="8"/>
      <c r="L29" s="8"/>
      <c r="M29" s="8"/>
    </row>
    <row r="30" spans="1:13" ht="31.5" customHeight="1">
      <c r="A30" s="49">
        <v>7</v>
      </c>
      <c r="B30" s="199" t="s">
        <v>235</v>
      </c>
      <c r="C30" s="200" t="s">
        <v>161</v>
      </c>
      <c r="D30" s="199" t="s">
        <v>218</v>
      </c>
      <c r="E30" s="202">
        <v>116.93</v>
      </c>
      <c r="F30" s="202">
        <f>SUM(E30*78/1000)</f>
        <v>9.1205400000000001</v>
      </c>
      <c r="G30" s="202">
        <v>276.48</v>
      </c>
      <c r="H30" s="203">
        <f t="shared" si="1"/>
        <v>2.5216468991999998</v>
      </c>
      <c r="I30" s="18">
        <f t="shared" ref="I30:I33" si="2">F30/6*G30</f>
        <v>420.27448320000002</v>
      </c>
      <c r="J30" s="34"/>
      <c r="K30" s="8"/>
      <c r="L30" s="8"/>
      <c r="M30" s="8"/>
    </row>
    <row r="31" spans="1:13" ht="15.75" hidden="1" customHeight="1">
      <c r="A31" s="49"/>
      <c r="B31" s="199" t="s">
        <v>33</v>
      </c>
      <c r="C31" s="200" t="s">
        <v>161</v>
      </c>
      <c r="D31" s="199" t="s">
        <v>67</v>
      </c>
      <c r="E31" s="202">
        <v>1044.6500000000001</v>
      </c>
      <c r="F31" s="202">
        <f>SUM(E31/1000)</f>
        <v>1.0446500000000001</v>
      </c>
      <c r="G31" s="202">
        <v>3228.73</v>
      </c>
      <c r="H31" s="203">
        <f t="shared" si="1"/>
        <v>3.3728927945000007</v>
      </c>
      <c r="I31" s="18">
        <f>F31*G31</f>
        <v>3372.8927945000005</v>
      </c>
      <c r="J31" s="34"/>
      <c r="K31" s="8"/>
      <c r="L31" s="8"/>
      <c r="M31" s="8"/>
    </row>
    <row r="32" spans="1:13" ht="15.75" customHeight="1">
      <c r="A32" s="49">
        <v>8</v>
      </c>
      <c r="B32" s="199" t="s">
        <v>193</v>
      </c>
      <c r="C32" s="200" t="s">
        <v>50</v>
      </c>
      <c r="D32" s="199" t="s">
        <v>84</v>
      </c>
      <c r="E32" s="202">
        <v>6</v>
      </c>
      <c r="F32" s="202">
        <v>9.3000000000000007</v>
      </c>
      <c r="G32" s="202">
        <v>1391.86</v>
      </c>
      <c r="H32" s="203">
        <f>G32*F32/1000</f>
        <v>12.944298</v>
      </c>
      <c r="I32" s="18">
        <f t="shared" si="2"/>
        <v>2157.3829999999998</v>
      </c>
      <c r="J32" s="34"/>
      <c r="K32" s="8"/>
      <c r="L32" s="8"/>
      <c r="M32" s="8"/>
    </row>
    <row r="33" spans="1:14" ht="15.75" customHeight="1">
      <c r="A33" s="49">
        <v>9</v>
      </c>
      <c r="B33" s="199" t="s">
        <v>165</v>
      </c>
      <c r="C33" s="200" t="s">
        <v>37</v>
      </c>
      <c r="D33" s="199" t="s">
        <v>84</v>
      </c>
      <c r="E33" s="206">
        <v>0.33333333333333331</v>
      </c>
      <c r="F33" s="202">
        <f>155/3</f>
        <v>51.666666666666664</v>
      </c>
      <c r="G33" s="202">
        <v>60.6</v>
      </c>
      <c r="H33" s="203">
        <f>SUM(G33*155/3/1000)</f>
        <v>3.1309999999999998</v>
      </c>
      <c r="I33" s="18">
        <f t="shared" si="2"/>
        <v>521.83333333333337</v>
      </c>
      <c r="J33" s="34"/>
      <c r="K33" s="8"/>
      <c r="L33" s="8"/>
      <c r="M33" s="8"/>
    </row>
    <row r="34" spans="1:14" ht="15.75" hidden="1" customHeight="1">
      <c r="A34" s="49"/>
      <c r="B34" s="199" t="s">
        <v>86</v>
      </c>
      <c r="C34" s="200" t="s">
        <v>39</v>
      </c>
      <c r="D34" s="199" t="s">
        <v>88</v>
      </c>
      <c r="E34" s="201"/>
      <c r="F34" s="202">
        <v>3</v>
      </c>
      <c r="G34" s="202">
        <v>204.52</v>
      </c>
      <c r="H34" s="203">
        <f t="shared" si="1"/>
        <v>0.61356000000000011</v>
      </c>
      <c r="I34" s="18">
        <v>0</v>
      </c>
      <c r="J34" s="34"/>
      <c r="K34" s="8"/>
    </row>
    <row r="35" spans="1:14" ht="15.75" hidden="1" customHeight="1">
      <c r="A35" s="49"/>
      <c r="B35" s="199" t="s">
        <v>87</v>
      </c>
      <c r="C35" s="200" t="s">
        <v>38</v>
      </c>
      <c r="D35" s="199" t="s">
        <v>88</v>
      </c>
      <c r="E35" s="201"/>
      <c r="F35" s="202">
        <v>2</v>
      </c>
      <c r="G35" s="202">
        <v>1136.33</v>
      </c>
      <c r="H35" s="203">
        <f t="shared" si="1"/>
        <v>2.2726599999999997</v>
      </c>
      <c r="I35" s="18">
        <v>0</v>
      </c>
      <c r="J35" s="35"/>
    </row>
    <row r="36" spans="1:14" ht="15.75" hidden="1" customHeight="1">
      <c r="A36" s="49"/>
      <c r="B36" s="224" t="s">
        <v>5</v>
      </c>
      <c r="C36" s="200"/>
      <c r="D36" s="199"/>
      <c r="E36" s="201"/>
      <c r="F36" s="202"/>
      <c r="G36" s="202"/>
      <c r="H36" s="203" t="s">
        <v>207</v>
      </c>
      <c r="I36" s="18"/>
      <c r="J36" s="35"/>
    </row>
    <row r="37" spans="1:14" ht="15.75" hidden="1" customHeight="1">
      <c r="A37" s="49">
        <v>6</v>
      </c>
      <c r="B37" s="199" t="s">
        <v>31</v>
      </c>
      <c r="C37" s="200" t="s">
        <v>38</v>
      </c>
      <c r="D37" s="199"/>
      <c r="E37" s="201"/>
      <c r="F37" s="202">
        <v>8</v>
      </c>
      <c r="G37" s="202">
        <v>1632.6</v>
      </c>
      <c r="H37" s="203">
        <f t="shared" ref="H37:H44" si="3">SUM(F37*G37/1000)</f>
        <v>13.060799999999999</v>
      </c>
      <c r="I37" s="18">
        <f>F37/6*G37</f>
        <v>2176.7999999999997</v>
      </c>
      <c r="J37" s="35"/>
    </row>
    <row r="38" spans="1:14" ht="15.75" hidden="1" customHeight="1">
      <c r="A38" s="49">
        <v>7</v>
      </c>
      <c r="B38" s="199" t="s">
        <v>135</v>
      </c>
      <c r="C38" s="200" t="s">
        <v>35</v>
      </c>
      <c r="D38" s="199" t="s">
        <v>194</v>
      </c>
      <c r="E38" s="201">
        <v>477.19</v>
      </c>
      <c r="F38" s="202">
        <f>E38*12/1000</f>
        <v>5.72628</v>
      </c>
      <c r="G38" s="202">
        <v>2247.8000000000002</v>
      </c>
      <c r="H38" s="203">
        <f>G38*F38/1000</f>
        <v>12.871532184000001</v>
      </c>
      <c r="I38" s="18">
        <f>F38/6*G38</f>
        <v>2145.2553640000001</v>
      </c>
      <c r="J38" s="35"/>
    </row>
    <row r="39" spans="1:14" ht="15.75" hidden="1" customHeight="1">
      <c r="A39" s="49">
        <v>8</v>
      </c>
      <c r="B39" s="199" t="s">
        <v>167</v>
      </c>
      <c r="C39" s="200" t="s">
        <v>35</v>
      </c>
      <c r="D39" s="199" t="s">
        <v>166</v>
      </c>
      <c r="E39" s="201">
        <v>116.93</v>
      </c>
      <c r="F39" s="202">
        <f>E39*30/1000</f>
        <v>3.5079000000000002</v>
      </c>
      <c r="G39" s="202">
        <v>2247.8000000000002</v>
      </c>
      <c r="H39" s="203">
        <f>G39*F39/1000</f>
        <v>7.8850576200000013</v>
      </c>
      <c r="I39" s="18">
        <f>F39/6*G39</f>
        <v>1314.1762700000002</v>
      </c>
      <c r="J39" s="35"/>
    </row>
    <row r="40" spans="1:14" ht="15.75" hidden="1" customHeight="1">
      <c r="A40" s="49"/>
      <c r="B40" s="199" t="s">
        <v>169</v>
      </c>
      <c r="C40" s="200" t="s">
        <v>170</v>
      </c>
      <c r="D40" s="199" t="s">
        <v>88</v>
      </c>
      <c r="E40" s="201"/>
      <c r="F40" s="202">
        <v>135</v>
      </c>
      <c r="G40" s="202">
        <v>213.2</v>
      </c>
      <c r="H40" s="203">
        <f>G40*F40/1000</f>
        <v>28.782</v>
      </c>
      <c r="I40" s="18">
        <v>0</v>
      </c>
      <c r="J40" s="35"/>
      <c r="L40" s="27"/>
      <c r="M40" s="28"/>
      <c r="N40" s="29"/>
    </row>
    <row r="41" spans="1:14" ht="15.75" hidden="1" customHeight="1">
      <c r="A41" s="49">
        <v>9</v>
      </c>
      <c r="B41" s="199" t="s">
        <v>89</v>
      </c>
      <c r="C41" s="200" t="s">
        <v>35</v>
      </c>
      <c r="D41" s="199" t="s">
        <v>168</v>
      </c>
      <c r="E41" s="202">
        <v>116.93</v>
      </c>
      <c r="F41" s="202">
        <f>SUM(E41*155/1000)</f>
        <v>18.12415</v>
      </c>
      <c r="G41" s="202">
        <v>374.95</v>
      </c>
      <c r="H41" s="203">
        <f t="shared" si="3"/>
        <v>6.7956500424999993</v>
      </c>
      <c r="I41" s="18">
        <f>F41/6*G41</f>
        <v>1132.6083404166666</v>
      </c>
      <c r="J41" s="35"/>
      <c r="L41" s="27"/>
      <c r="M41" s="28"/>
      <c r="N41" s="29"/>
    </row>
    <row r="42" spans="1:14" ht="47.25" hidden="1" customHeight="1">
      <c r="A42" s="49">
        <v>10</v>
      </c>
      <c r="B42" s="199" t="s">
        <v>115</v>
      </c>
      <c r="C42" s="200" t="s">
        <v>161</v>
      </c>
      <c r="D42" s="199" t="s">
        <v>196</v>
      </c>
      <c r="E42" s="202">
        <v>116.93</v>
      </c>
      <c r="F42" s="202">
        <f>SUM(E42*24/1000)</f>
        <v>2.8063200000000004</v>
      </c>
      <c r="G42" s="202">
        <v>6203.71</v>
      </c>
      <c r="H42" s="203">
        <f t="shared" si="3"/>
        <v>17.409595447200001</v>
      </c>
      <c r="I42" s="18">
        <f>F42/6*G42</f>
        <v>2901.5992412000005</v>
      </c>
      <c r="J42" s="35"/>
      <c r="L42" s="27"/>
      <c r="M42" s="28"/>
      <c r="N42" s="29"/>
    </row>
    <row r="43" spans="1:14" ht="15.75" hidden="1" customHeight="1">
      <c r="A43" s="49">
        <v>11</v>
      </c>
      <c r="B43" s="199" t="s">
        <v>171</v>
      </c>
      <c r="C43" s="200" t="s">
        <v>161</v>
      </c>
      <c r="D43" s="199" t="s">
        <v>90</v>
      </c>
      <c r="E43" s="202">
        <v>116.93</v>
      </c>
      <c r="F43" s="202">
        <f>SUM(E43*45/1000)</f>
        <v>5.2618500000000008</v>
      </c>
      <c r="G43" s="202">
        <v>458.28</v>
      </c>
      <c r="H43" s="203">
        <f t="shared" si="3"/>
        <v>2.4114006180000001</v>
      </c>
      <c r="I43" s="18">
        <f>F43/6*G43</f>
        <v>401.90010300000006</v>
      </c>
      <c r="J43" s="35"/>
      <c r="L43" s="27"/>
      <c r="M43" s="28"/>
      <c r="N43" s="29"/>
    </row>
    <row r="44" spans="1:14" ht="15.75" hidden="1" customHeight="1">
      <c r="A44" s="49">
        <v>12</v>
      </c>
      <c r="B44" s="199" t="s">
        <v>91</v>
      </c>
      <c r="C44" s="200" t="s">
        <v>39</v>
      </c>
      <c r="D44" s="199"/>
      <c r="E44" s="201"/>
      <c r="F44" s="202">
        <v>0.9</v>
      </c>
      <c r="G44" s="202">
        <v>798</v>
      </c>
      <c r="H44" s="203">
        <f t="shared" si="3"/>
        <v>0.71820000000000006</v>
      </c>
      <c r="I44" s="18">
        <f>F44/6*G44</f>
        <v>119.69999999999999</v>
      </c>
      <c r="J44" s="35"/>
      <c r="L44" s="27"/>
      <c r="M44" s="28"/>
      <c r="N44" s="29"/>
    </row>
    <row r="45" spans="1:14" ht="15.75" hidden="1" customHeight="1">
      <c r="A45" s="245" t="s">
        <v>236</v>
      </c>
      <c r="B45" s="246"/>
      <c r="C45" s="246"/>
      <c r="D45" s="246"/>
      <c r="E45" s="246"/>
      <c r="F45" s="246"/>
      <c r="G45" s="246"/>
      <c r="H45" s="246"/>
      <c r="I45" s="247"/>
      <c r="J45" s="35"/>
      <c r="L45" s="27"/>
      <c r="M45" s="28"/>
      <c r="N45" s="29"/>
    </row>
    <row r="46" spans="1:14" ht="15.75" hidden="1" customHeight="1">
      <c r="A46" s="49"/>
      <c r="B46" s="199" t="s">
        <v>198</v>
      </c>
      <c r="C46" s="200" t="s">
        <v>161</v>
      </c>
      <c r="D46" s="199" t="s">
        <v>54</v>
      </c>
      <c r="E46" s="201">
        <v>1030.4000000000001</v>
      </c>
      <c r="F46" s="202">
        <f>SUM(E46*2/1000)</f>
        <v>2.0608</v>
      </c>
      <c r="G46" s="18">
        <v>908.1</v>
      </c>
      <c r="H46" s="203">
        <f t="shared" ref="H46:H55" si="4">SUM(F46*G46/1000)</f>
        <v>1.87141248</v>
      </c>
      <c r="I46" s="18">
        <v>0</v>
      </c>
      <c r="J46" s="35"/>
      <c r="L46" s="27"/>
      <c r="M46" s="28"/>
      <c r="N46" s="29"/>
    </row>
    <row r="47" spans="1:14" ht="15.75" hidden="1" customHeight="1">
      <c r="A47" s="49"/>
      <c r="B47" s="199" t="s">
        <v>43</v>
      </c>
      <c r="C47" s="200" t="s">
        <v>161</v>
      </c>
      <c r="D47" s="199" t="s">
        <v>54</v>
      </c>
      <c r="E47" s="201">
        <v>132</v>
      </c>
      <c r="F47" s="202">
        <f>E47*2/1000</f>
        <v>0.26400000000000001</v>
      </c>
      <c r="G47" s="18">
        <v>619.46</v>
      </c>
      <c r="H47" s="203">
        <f t="shared" si="4"/>
        <v>0.16353744000000001</v>
      </c>
      <c r="I47" s="18">
        <v>0</v>
      </c>
      <c r="J47" s="35"/>
      <c r="L47" s="27"/>
      <c r="M47" s="28"/>
      <c r="N47" s="29"/>
    </row>
    <row r="48" spans="1:14" ht="15.75" hidden="1" customHeight="1">
      <c r="A48" s="49"/>
      <c r="B48" s="199" t="s">
        <v>44</v>
      </c>
      <c r="C48" s="200" t="s">
        <v>161</v>
      </c>
      <c r="D48" s="199" t="s">
        <v>54</v>
      </c>
      <c r="E48" s="201">
        <v>4248.22</v>
      </c>
      <c r="F48" s="202">
        <f>SUM(E48*2/1000)</f>
        <v>8.4964399999999998</v>
      </c>
      <c r="G48" s="18">
        <v>619.46</v>
      </c>
      <c r="H48" s="203">
        <f t="shared" si="4"/>
        <v>5.2632047223999994</v>
      </c>
      <c r="I48" s="18">
        <v>0</v>
      </c>
      <c r="J48" s="35"/>
      <c r="L48" s="27"/>
      <c r="M48" s="28"/>
      <c r="N48" s="29"/>
    </row>
    <row r="49" spans="1:14" ht="15.75" hidden="1" customHeight="1">
      <c r="A49" s="49"/>
      <c r="B49" s="199" t="s">
        <v>45</v>
      </c>
      <c r="C49" s="200" t="s">
        <v>161</v>
      </c>
      <c r="D49" s="199" t="s">
        <v>54</v>
      </c>
      <c r="E49" s="201">
        <v>2163.66</v>
      </c>
      <c r="F49" s="202">
        <f>SUM(E49*2/1000)</f>
        <v>4.3273199999999994</v>
      </c>
      <c r="G49" s="18">
        <v>648.64</v>
      </c>
      <c r="H49" s="203">
        <f t="shared" si="4"/>
        <v>2.8068728447999995</v>
      </c>
      <c r="I49" s="18">
        <v>0</v>
      </c>
      <c r="J49" s="35"/>
      <c r="L49" s="27"/>
      <c r="M49" s="28"/>
      <c r="N49" s="29"/>
    </row>
    <row r="50" spans="1:14" ht="31.5" hidden="1" customHeight="1">
      <c r="A50" s="49">
        <v>13</v>
      </c>
      <c r="B50" s="199" t="s">
        <v>71</v>
      </c>
      <c r="C50" s="200" t="s">
        <v>161</v>
      </c>
      <c r="D50" s="199" t="s">
        <v>237</v>
      </c>
      <c r="E50" s="201">
        <v>1015.4</v>
      </c>
      <c r="F50" s="202">
        <f>SUM(E50*5/1000)</f>
        <v>5.077</v>
      </c>
      <c r="G50" s="18">
        <v>1297.28</v>
      </c>
      <c r="H50" s="203">
        <f t="shared" si="4"/>
        <v>6.5862905599999992</v>
      </c>
      <c r="I50" s="18">
        <f>F50/5*G50</f>
        <v>1317.258112</v>
      </c>
      <c r="J50" s="35"/>
      <c r="L50" s="27"/>
      <c r="M50" s="28"/>
      <c r="N50" s="29"/>
    </row>
    <row r="51" spans="1:14" ht="31.5" hidden="1" customHeight="1">
      <c r="A51" s="49"/>
      <c r="B51" s="199" t="s">
        <v>173</v>
      </c>
      <c r="C51" s="200" t="s">
        <v>161</v>
      </c>
      <c r="D51" s="199" t="s">
        <v>54</v>
      </c>
      <c r="E51" s="201">
        <v>1015.4</v>
      </c>
      <c r="F51" s="202">
        <f>SUM(E51*2/1000)</f>
        <v>2.0308000000000002</v>
      </c>
      <c r="G51" s="18">
        <v>1297.28</v>
      </c>
      <c r="H51" s="203">
        <f t="shared" si="4"/>
        <v>2.634516224</v>
      </c>
      <c r="I51" s="18">
        <v>0</v>
      </c>
      <c r="J51" s="35"/>
      <c r="L51" s="27"/>
      <c r="M51" s="28"/>
      <c r="N51" s="29"/>
    </row>
    <row r="52" spans="1:14" ht="31.5" hidden="1" customHeight="1">
      <c r="A52" s="49"/>
      <c r="B52" s="199" t="s">
        <v>174</v>
      </c>
      <c r="C52" s="200" t="s">
        <v>48</v>
      </c>
      <c r="D52" s="199" t="s">
        <v>54</v>
      </c>
      <c r="E52" s="201">
        <v>30</v>
      </c>
      <c r="F52" s="202">
        <f>SUM(E52*2/100)</f>
        <v>0.6</v>
      </c>
      <c r="G52" s="18">
        <v>2918.89</v>
      </c>
      <c r="H52" s="203">
        <f t="shared" si="4"/>
        <v>1.7513339999999997</v>
      </c>
      <c r="I52" s="18">
        <v>0</v>
      </c>
      <c r="J52" s="35"/>
      <c r="L52" s="27"/>
      <c r="M52" s="28"/>
      <c r="N52" s="29"/>
    </row>
    <row r="53" spans="1:14" ht="15.75" hidden="1" customHeight="1">
      <c r="A53" s="49"/>
      <c r="B53" s="199" t="s">
        <v>49</v>
      </c>
      <c r="C53" s="200" t="s">
        <v>50</v>
      </c>
      <c r="D53" s="199" t="s">
        <v>54</v>
      </c>
      <c r="E53" s="201">
        <v>1</v>
      </c>
      <c r="F53" s="202">
        <v>0.02</v>
      </c>
      <c r="G53" s="18">
        <v>6042.13</v>
      </c>
      <c r="H53" s="203">
        <f t="shared" si="4"/>
        <v>0.12084260000000001</v>
      </c>
      <c r="I53" s="18">
        <v>0</v>
      </c>
      <c r="J53" s="35"/>
      <c r="L53" s="27"/>
      <c r="M53" s="28"/>
      <c r="N53" s="29"/>
    </row>
    <row r="54" spans="1:14" ht="15.75" hidden="1" customHeight="1">
      <c r="A54" s="49">
        <v>14</v>
      </c>
      <c r="B54" s="199" t="s">
        <v>197</v>
      </c>
      <c r="C54" s="200" t="s">
        <v>144</v>
      </c>
      <c r="D54" s="199" t="s">
        <v>52</v>
      </c>
      <c r="E54" s="201">
        <v>90</v>
      </c>
      <c r="F54" s="202">
        <f>E54*4</f>
        <v>360</v>
      </c>
      <c r="G54" s="18">
        <v>150.86000000000001</v>
      </c>
      <c r="H54" s="203">
        <f>F54*G54/1000</f>
        <v>54.309600000000003</v>
      </c>
      <c r="I54" s="18">
        <f>G54*E54</f>
        <v>13577.400000000001</v>
      </c>
      <c r="J54" s="35"/>
      <c r="L54" s="27"/>
      <c r="M54" s="28"/>
      <c r="N54" s="29"/>
    </row>
    <row r="55" spans="1:14" ht="15.75" hidden="1" customHeight="1">
      <c r="A55" s="49">
        <v>15</v>
      </c>
      <c r="B55" s="199" t="s">
        <v>53</v>
      </c>
      <c r="C55" s="200" t="s">
        <v>144</v>
      </c>
      <c r="D55" s="199" t="s">
        <v>92</v>
      </c>
      <c r="E55" s="201">
        <v>180</v>
      </c>
      <c r="F55" s="202">
        <f>SUM(E55)*3</f>
        <v>540</v>
      </c>
      <c r="G55" s="18">
        <v>70.2</v>
      </c>
      <c r="H55" s="203">
        <f t="shared" si="4"/>
        <v>37.908000000000001</v>
      </c>
      <c r="I55" s="18">
        <f>G55*E55</f>
        <v>12636</v>
      </c>
      <c r="J55" s="35"/>
      <c r="L55" s="27"/>
      <c r="M55" s="28"/>
      <c r="N55" s="29"/>
    </row>
    <row r="56" spans="1:14" ht="15.75" customHeight="1">
      <c r="A56" s="245" t="s">
        <v>253</v>
      </c>
      <c r="B56" s="246"/>
      <c r="C56" s="246"/>
      <c r="D56" s="246"/>
      <c r="E56" s="246"/>
      <c r="F56" s="246"/>
      <c r="G56" s="246"/>
      <c r="H56" s="246"/>
      <c r="I56" s="247"/>
      <c r="J56" s="35"/>
      <c r="L56" s="27"/>
      <c r="M56" s="28"/>
      <c r="N56" s="29"/>
    </row>
    <row r="57" spans="1:14" ht="15.75" hidden="1" customHeight="1">
      <c r="A57" s="49"/>
      <c r="B57" s="224" t="s">
        <v>55</v>
      </c>
      <c r="C57" s="200"/>
      <c r="D57" s="199"/>
      <c r="E57" s="201"/>
      <c r="F57" s="202"/>
      <c r="G57" s="202"/>
      <c r="H57" s="203"/>
      <c r="I57" s="18"/>
      <c r="J57" s="35"/>
      <c r="L57" s="27"/>
      <c r="M57" s="28"/>
      <c r="N57" s="29"/>
    </row>
    <row r="58" spans="1:14" ht="31.5" hidden="1" customHeight="1">
      <c r="A58" s="49">
        <v>16</v>
      </c>
      <c r="B58" s="199" t="s">
        <v>199</v>
      </c>
      <c r="C58" s="200" t="s">
        <v>151</v>
      </c>
      <c r="D58" s="199" t="s">
        <v>175</v>
      </c>
      <c r="E58" s="201">
        <v>148.04</v>
      </c>
      <c r="F58" s="202">
        <f>SUM(E58*6/100)</f>
        <v>8.8824000000000005</v>
      </c>
      <c r="G58" s="18">
        <v>1654.04</v>
      </c>
      <c r="H58" s="203">
        <f>SUM(F58*G58/1000)</f>
        <v>14.691844896000001</v>
      </c>
      <c r="I58" s="18">
        <f>F58/6*G58</f>
        <v>2448.6408160000001</v>
      </c>
      <c r="J58" s="35"/>
      <c r="L58" s="27"/>
      <c r="M58" s="28"/>
      <c r="N58" s="29"/>
    </row>
    <row r="59" spans="1:14" ht="31.5" hidden="1" customHeight="1">
      <c r="A59" s="49">
        <v>17</v>
      </c>
      <c r="B59" s="199" t="s">
        <v>142</v>
      </c>
      <c r="C59" s="200" t="s">
        <v>151</v>
      </c>
      <c r="D59" s="199" t="s">
        <v>143</v>
      </c>
      <c r="E59" s="201">
        <v>39.700000000000003</v>
      </c>
      <c r="F59" s="202">
        <f>SUM(E59*12/100)</f>
        <v>4.7640000000000002</v>
      </c>
      <c r="G59" s="18">
        <v>1654.04</v>
      </c>
      <c r="H59" s="203">
        <f>SUM(F59*G59/1000)</f>
        <v>7.8798465599999998</v>
      </c>
      <c r="I59" s="18">
        <f>F59/6*G59</f>
        <v>1313.3077600000001</v>
      </c>
      <c r="J59" s="35"/>
      <c r="L59" s="27"/>
      <c r="M59" s="28"/>
      <c r="N59" s="29"/>
    </row>
    <row r="60" spans="1:14" ht="15.75" hidden="1" customHeight="1">
      <c r="A60" s="49">
        <v>18</v>
      </c>
      <c r="B60" s="208" t="s">
        <v>200</v>
      </c>
      <c r="C60" s="209" t="s">
        <v>201</v>
      </c>
      <c r="D60" s="208" t="s">
        <v>54</v>
      </c>
      <c r="E60" s="210">
        <v>8</v>
      </c>
      <c r="F60" s="211">
        <v>16</v>
      </c>
      <c r="G60" s="18">
        <v>193.25</v>
      </c>
      <c r="H60" s="212">
        <f>F60*G60/1000</f>
        <v>3.0920000000000001</v>
      </c>
      <c r="I60" s="18">
        <f>F60/2*G60</f>
        <v>1546</v>
      </c>
      <c r="J60" s="35"/>
      <c r="L60" s="27"/>
      <c r="M60" s="28"/>
      <c r="N60" s="29"/>
    </row>
    <row r="61" spans="1:14" ht="15.75" hidden="1" customHeight="1">
      <c r="A61" s="49">
        <v>19</v>
      </c>
      <c r="B61" s="199" t="s">
        <v>202</v>
      </c>
      <c r="C61" s="200" t="s">
        <v>151</v>
      </c>
      <c r="D61" s="199" t="s">
        <v>175</v>
      </c>
      <c r="E61" s="201">
        <v>41.73</v>
      </c>
      <c r="F61" s="202">
        <f>SUM(E61*6/100)</f>
        <v>2.5038</v>
      </c>
      <c r="G61" s="18">
        <v>1654.04</v>
      </c>
      <c r="H61" s="203">
        <f>SUM(F61*G61/1000)</f>
        <v>4.1413853520000004</v>
      </c>
      <c r="I61" s="18">
        <f>F61/6*G61</f>
        <v>690.23089200000004</v>
      </c>
      <c r="J61" s="35"/>
      <c r="L61" s="27"/>
      <c r="M61" s="28"/>
      <c r="N61" s="29"/>
    </row>
    <row r="62" spans="1:14" ht="15.75" customHeight="1">
      <c r="A62" s="49"/>
      <c r="B62" s="225" t="s">
        <v>56</v>
      </c>
      <c r="C62" s="209"/>
      <c r="D62" s="208"/>
      <c r="E62" s="210"/>
      <c r="F62" s="211"/>
      <c r="G62" s="18"/>
      <c r="H62" s="212"/>
      <c r="I62" s="18"/>
      <c r="J62" s="35"/>
      <c r="L62" s="27"/>
      <c r="M62" s="28"/>
      <c r="N62" s="29"/>
    </row>
    <row r="63" spans="1:14" ht="15.75" hidden="1" customHeight="1">
      <c r="A63" s="49"/>
      <c r="B63" s="208" t="s">
        <v>57</v>
      </c>
      <c r="C63" s="209" t="s">
        <v>66</v>
      </c>
      <c r="D63" s="208" t="s">
        <v>67</v>
      </c>
      <c r="E63" s="210">
        <v>1015.4</v>
      </c>
      <c r="F63" s="211">
        <v>10.154</v>
      </c>
      <c r="G63" s="18">
        <v>848.37</v>
      </c>
      <c r="H63" s="212">
        <f>F63*G63/1000</f>
        <v>8.6143489800000008</v>
      </c>
      <c r="I63" s="18">
        <v>0</v>
      </c>
      <c r="J63" s="35"/>
      <c r="L63" s="27"/>
      <c r="M63" s="28"/>
      <c r="N63" s="29"/>
    </row>
    <row r="64" spans="1:14" ht="15.75" customHeight="1">
      <c r="A64" s="49">
        <v>10</v>
      </c>
      <c r="B64" s="208" t="s">
        <v>146</v>
      </c>
      <c r="C64" s="209" t="s">
        <v>29</v>
      </c>
      <c r="D64" s="208" t="s">
        <v>36</v>
      </c>
      <c r="E64" s="210">
        <v>203.1</v>
      </c>
      <c r="F64" s="213">
        <f>E64*12</f>
        <v>2437.1999999999998</v>
      </c>
      <c r="G64" s="194">
        <v>2.6</v>
      </c>
      <c r="H64" s="211">
        <f>F64*G64/1000</f>
        <v>6.3367199999999997</v>
      </c>
      <c r="I64" s="18">
        <f>F64/12*G64</f>
        <v>528.06000000000006</v>
      </c>
      <c r="J64" s="35"/>
      <c r="L64" s="27"/>
      <c r="M64" s="28"/>
      <c r="N64" s="29"/>
    </row>
    <row r="65" spans="1:21" ht="15.75" hidden="1" customHeight="1">
      <c r="A65" s="49"/>
      <c r="B65" s="225" t="s">
        <v>58</v>
      </c>
      <c r="C65" s="209"/>
      <c r="D65" s="208"/>
      <c r="E65" s="210"/>
      <c r="F65" s="213"/>
      <c r="G65" s="213"/>
      <c r="H65" s="211" t="s">
        <v>207</v>
      </c>
      <c r="I65" s="18"/>
      <c r="J65" s="35"/>
      <c r="L65" s="27"/>
    </row>
    <row r="66" spans="1:21" ht="15.75" hidden="1" customHeight="1">
      <c r="A66" s="49"/>
      <c r="B66" s="20" t="s">
        <v>59</v>
      </c>
      <c r="C66" s="22" t="s">
        <v>144</v>
      </c>
      <c r="D66" s="20" t="s">
        <v>88</v>
      </c>
      <c r="E66" s="25">
        <v>10</v>
      </c>
      <c r="F66" s="202">
        <v>10</v>
      </c>
      <c r="G66" s="18">
        <v>237.75</v>
      </c>
      <c r="H66" s="214">
        <f t="shared" ref="H66:H79" si="5">SUM(F66*G66/1000)</f>
        <v>2.3774999999999999</v>
      </c>
      <c r="I66" s="18">
        <v>0</v>
      </c>
      <c r="J66" s="35"/>
      <c r="L66" s="27"/>
    </row>
    <row r="67" spans="1:21" ht="15.75" hidden="1" customHeight="1">
      <c r="A67" s="49"/>
      <c r="B67" s="20" t="s">
        <v>60</v>
      </c>
      <c r="C67" s="22" t="s">
        <v>144</v>
      </c>
      <c r="D67" s="20" t="s">
        <v>88</v>
      </c>
      <c r="E67" s="25">
        <v>5</v>
      </c>
      <c r="F67" s="202">
        <v>5</v>
      </c>
      <c r="G67" s="18">
        <v>81.510000000000005</v>
      </c>
      <c r="H67" s="214">
        <f t="shared" si="5"/>
        <v>0.40755000000000002</v>
      </c>
      <c r="I67" s="18">
        <v>0</v>
      </c>
      <c r="J67" s="35"/>
      <c r="L67" s="27"/>
    </row>
    <row r="68" spans="1:21" ht="15.75" hidden="1" customHeight="1">
      <c r="A68" s="49"/>
      <c r="B68" s="20" t="s">
        <v>61</v>
      </c>
      <c r="C68" s="22" t="s">
        <v>177</v>
      </c>
      <c r="D68" s="20" t="s">
        <v>67</v>
      </c>
      <c r="E68" s="201">
        <v>14205</v>
      </c>
      <c r="F68" s="18">
        <f>SUM(E68/100)</f>
        <v>142.05000000000001</v>
      </c>
      <c r="G68" s="18">
        <v>226.79</v>
      </c>
      <c r="H68" s="214">
        <f t="shared" si="5"/>
        <v>32.215519499999999</v>
      </c>
      <c r="I68" s="18">
        <v>0</v>
      </c>
    </row>
    <row r="69" spans="1:21" ht="15.75" hidden="1" customHeight="1">
      <c r="A69" s="49"/>
      <c r="B69" s="20" t="s">
        <v>62</v>
      </c>
      <c r="C69" s="22" t="s">
        <v>178</v>
      </c>
      <c r="D69" s="20" t="s">
        <v>67</v>
      </c>
      <c r="E69" s="201">
        <v>14205</v>
      </c>
      <c r="F69" s="18">
        <f>SUM(E69/1000)</f>
        <v>14.205</v>
      </c>
      <c r="G69" s="18">
        <v>176.61</v>
      </c>
      <c r="H69" s="214">
        <f t="shared" si="5"/>
        <v>2.5087450499999999</v>
      </c>
      <c r="I69" s="18">
        <v>0</v>
      </c>
      <c r="J69" s="40"/>
      <c r="K69" s="40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49"/>
      <c r="B70" s="20" t="s">
        <v>63</v>
      </c>
      <c r="C70" s="22" t="s">
        <v>98</v>
      </c>
      <c r="D70" s="20" t="s">
        <v>67</v>
      </c>
      <c r="E70" s="201">
        <v>2131</v>
      </c>
      <c r="F70" s="18">
        <f>SUM(E70/100)</f>
        <v>21.31</v>
      </c>
      <c r="G70" s="18">
        <v>2217.7800000000002</v>
      </c>
      <c r="H70" s="214">
        <f t="shared" si="5"/>
        <v>47.260891800000003</v>
      </c>
      <c r="I70" s="18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49"/>
      <c r="B71" s="215" t="s">
        <v>179</v>
      </c>
      <c r="C71" s="22" t="s">
        <v>39</v>
      </c>
      <c r="D71" s="20" t="s">
        <v>67</v>
      </c>
      <c r="E71" s="201">
        <v>12.48</v>
      </c>
      <c r="F71" s="18">
        <f>SUM(E71)</f>
        <v>12.48</v>
      </c>
      <c r="G71" s="18">
        <v>42.67</v>
      </c>
      <c r="H71" s="214">
        <f t="shared" si="5"/>
        <v>0.53252160000000004</v>
      </c>
      <c r="I71" s="18">
        <v>0</v>
      </c>
      <c r="J71" s="5"/>
      <c r="K71" s="5"/>
      <c r="L71" s="5"/>
      <c r="M71" s="5"/>
      <c r="N71" s="5"/>
      <c r="O71" s="5"/>
      <c r="P71" s="5"/>
      <c r="Q71" s="5"/>
      <c r="R71" s="248"/>
      <c r="S71" s="248"/>
      <c r="T71" s="248"/>
      <c r="U71" s="248"/>
    </row>
    <row r="72" spans="1:21" ht="15.75" hidden="1" customHeight="1">
      <c r="A72" s="49"/>
      <c r="B72" s="215" t="s">
        <v>180</v>
      </c>
      <c r="C72" s="22" t="s">
        <v>39</v>
      </c>
      <c r="D72" s="20" t="s">
        <v>67</v>
      </c>
      <c r="E72" s="201">
        <v>12.48</v>
      </c>
      <c r="F72" s="18">
        <f>SUM(E72)</f>
        <v>12.48</v>
      </c>
      <c r="G72" s="18">
        <v>39.81</v>
      </c>
      <c r="H72" s="214">
        <f t="shared" si="5"/>
        <v>0.49682880000000007</v>
      </c>
      <c r="I72" s="18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hidden="1" customHeight="1">
      <c r="A73" s="49"/>
      <c r="B73" s="20" t="s">
        <v>72</v>
      </c>
      <c r="C73" s="22" t="s">
        <v>73</v>
      </c>
      <c r="D73" s="20" t="s">
        <v>67</v>
      </c>
      <c r="E73" s="25">
        <v>5</v>
      </c>
      <c r="F73" s="202">
        <v>5</v>
      </c>
      <c r="G73" s="18">
        <v>53.32</v>
      </c>
      <c r="H73" s="214">
        <f t="shared" si="5"/>
        <v>0.2666</v>
      </c>
      <c r="I73" s="18">
        <v>0</v>
      </c>
    </row>
    <row r="74" spans="1:21" ht="15.75" hidden="1" customHeight="1">
      <c r="A74" s="49"/>
      <c r="B74" s="193" t="s">
        <v>93</v>
      </c>
      <c r="C74" s="22"/>
      <c r="D74" s="20"/>
      <c r="E74" s="25"/>
      <c r="F74" s="18"/>
      <c r="G74" s="18"/>
      <c r="H74" s="214" t="s">
        <v>207</v>
      </c>
      <c r="I74" s="18"/>
    </row>
    <row r="75" spans="1:21" ht="15.75" hidden="1" customHeight="1">
      <c r="A75" s="49">
        <v>21</v>
      </c>
      <c r="B75" s="20" t="s">
        <v>94</v>
      </c>
      <c r="C75" s="22" t="s">
        <v>96</v>
      </c>
      <c r="D75" s="20" t="s">
        <v>88</v>
      </c>
      <c r="E75" s="25">
        <v>2</v>
      </c>
      <c r="F75" s="18">
        <v>0.2</v>
      </c>
      <c r="G75" s="18">
        <v>536.23</v>
      </c>
      <c r="H75" s="214">
        <f t="shared" si="5"/>
        <v>0.10724600000000001</v>
      </c>
      <c r="I75" s="18">
        <f>G75*0.1</f>
        <v>53.623000000000005</v>
      </c>
    </row>
    <row r="76" spans="1:21" ht="15.75" hidden="1" customHeight="1">
      <c r="A76" s="49"/>
      <c r="B76" s="20" t="s">
        <v>95</v>
      </c>
      <c r="C76" s="22" t="s">
        <v>37</v>
      </c>
      <c r="D76" s="20" t="s">
        <v>88</v>
      </c>
      <c r="E76" s="25">
        <v>1</v>
      </c>
      <c r="F76" s="194">
        <v>1</v>
      </c>
      <c r="G76" s="18">
        <v>911.85</v>
      </c>
      <c r="H76" s="214">
        <f>F76*G76/1000</f>
        <v>0.91185000000000005</v>
      </c>
      <c r="I76" s="18">
        <v>0</v>
      </c>
    </row>
    <row r="77" spans="1:21" ht="15.75" hidden="1" customHeight="1">
      <c r="A77" s="49"/>
      <c r="B77" s="20" t="s">
        <v>203</v>
      </c>
      <c r="C77" s="22" t="s">
        <v>37</v>
      </c>
      <c r="D77" s="20" t="s">
        <v>88</v>
      </c>
      <c r="E77" s="25">
        <v>1</v>
      </c>
      <c r="F77" s="18">
        <v>1</v>
      </c>
      <c r="G77" s="18">
        <v>383.25</v>
      </c>
      <c r="H77" s="214">
        <f>G77*F77/1000</f>
        <v>0.38324999999999998</v>
      </c>
      <c r="I77" s="18">
        <v>0</v>
      </c>
    </row>
    <row r="78" spans="1:21" ht="15.75" hidden="1" customHeight="1">
      <c r="A78" s="49"/>
      <c r="B78" s="216" t="s">
        <v>97</v>
      </c>
      <c r="C78" s="22"/>
      <c r="D78" s="20"/>
      <c r="E78" s="25"/>
      <c r="F78" s="18"/>
      <c r="G78" s="18" t="s">
        <v>207</v>
      </c>
      <c r="H78" s="214" t="s">
        <v>207</v>
      </c>
      <c r="I78" s="18"/>
    </row>
    <row r="79" spans="1:21" ht="15.75" hidden="1" customHeight="1">
      <c r="A79" s="49">
        <v>22</v>
      </c>
      <c r="B79" s="86" t="s">
        <v>183</v>
      </c>
      <c r="C79" s="22" t="s">
        <v>98</v>
      </c>
      <c r="D79" s="20"/>
      <c r="E79" s="25"/>
      <c r="F79" s="18">
        <v>0.9</v>
      </c>
      <c r="G79" s="18">
        <v>2757.42</v>
      </c>
      <c r="H79" s="214">
        <f t="shared" si="5"/>
        <v>2.4816780000000005</v>
      </c>
      <c r="I79" s="18">
        <f>G79*F79</f>
        <v>2481.6780000000003</v>
      </c>
    </row>
    <row r="80" spans="1:21" ht="15.75" hidden="1" customHeight="1">
      <c r="A80" s="49"/>
      <c r="B80" s="193" t="s">
        <v>181</v>
      </c>
      <c r="C80" s="216"/>
      <c r="D80" s="54"/>
      <c r="E80" s="58"/>
      <c r="F80" s="205"/>
      <c r="G80" s="205"/>
      <c r="H80" s="217">
        <f>SUM(H58:H79)</f>
        <v>134.70632653799998</v>
      </c>
      <c r="I80" s="205"/>
    </row>
    <row r="81" spans="1:9" ht="15.75" hidden="1" customHeight="1">
      <c r="A81" s="226">
        <v>23</v>
      </c>
      <c r="B81" s="208" t="s">
        <v>182</v>
      </c>
      <c r="C81" s="227"/>
      <c r="D81" s="228"/>
      <c r="E81" s="195"/>
      <c r="F81" s="220">
        <v>1</v>
      </c>
      <c r="G81" s="220">
        <v>27901.200000000001</v>
      </c>
      <c r="H81" s="229">
        <f>G81*F81/1000</f>
        <v>27.901199999999999</v>
      </c>
      <c r="I81" s="220">
        <f>G81</f>
        <v>27901.200000000001</v>
      </c>
    </row>
    <row r="82" spans="1:9" ht="15.75" customHeight="1">
      <c r="A82" s="251" t="s">
        <v>254</v>
      </c>
      <c r="B82" s="252"/>
      <c r="C82" s="252"/>
      <c r="D82" s="252"/>
      <c r="E82" s="252"/>
      <c r="F82" s="252"/>
      <c r="G82" s="252"/>
      <c r="H82" s="252"/>
      <c r="I82" s="253"/>
    </row>
    <row r="83" spans="1:9" ht="15.75" customHeight="1">
      <c r="A83" s="230">
        <v>11</v>
      </c>
      <c r="B83" s="235" t="s">
        <v>184</v>
      </c>
      <c r="C83" s="231" t="s">
        <v>68</v>
      </c>
      <c r="D83" s="232" t="s">
        <v>69</v>
      </c>
      <c r="E83" s="233">
        <v>3945</v>
      </c>
      <c r="F83" s="233">
        <f>SUM(E83*12)</f>
        <v>47340</v>
      </c>
      <c r="G83" s="233">
        <v>2.2400000000000002</v>
      </c>
      <c r="H83" s="234">
        <f>SUM(F83*G83/1000)</f>
        <v>106.0416</v>
      </c>
      <c r="I83" s="233">
        <f>F83/12*G83</f>
        <v>8836.8000000000011</v>
      </c>
    </row>
    <row r="84" spans="1:9" ht="31.5" customHeight="1">
      <c r="A84" s="49">
        <v>12</v>
      </c>
      <c r="B84" s="20" t="s">
        <v>99</v>
      </c>
      <c r="C84" s="22"/>
      <c r="D84" s="232" t="s">
        <v>69</v>
      </c>
      <c r="E84" s="201">
        <f>E83</f>
        <v>3945</v>
      </c>
      <c r="F84" s="18">
        <f>E84*12</f>
        <v>47340</v>
      </c>
      <c r="G84" s="18">
        <v>1.74</v>
      </c>
      <c r="H84" s="214">
        <f>F84*G84/1000</f>
        <v>82.371600000000001</v>
      </c>
      <c r="I84" s="18">
        <f>F84/12*G84</f>
        <v>6864.3</v>
      </c>
    </row>
    <row r="85" spans="1:9" ht="15.75" customHeight="1">
      <c r="A85" s="49"/>
      <c r="B85" s="73" t="s">
        <v>105</v>
      </c>
      <c r="C85" s="75"/>
      <c r="D85" s="21"/>
      <c r="E85" s="21"/>
      <c r="F85" s="25"/>
      <c r="G85" s="31"/>
      <c r="H85" s="217">
        <f>H84</f>
        <v>82.371600000000001</v>
      </c>
      <c r="I85" s="58">
        <f>SUM(I16+I17+I18+I25+I26+I29+I30+I32+I33+I64+I83+I84)</f>
        <v>55961.274170200006</v>
      </c>
    </row>
    <row r="86" spans="1:9" ht="15.75" customHeight="1">
      <c r="A86" s="49"/>
      <c r="B86" s="173" t="s">
        <v>76</v>
      </c>
      <c r="C86" s="173"/>
      <c r="D86" s="173"/>
      <c r="E86" s="173"/>
      <c r="F86" s="173"/>
      <c r="G86" s="31"/>
      <c r="H86" s="217" t="e">
        <f>SUM(H85+#REF!+H80+H56+#REF!+#REF!+H27)</f>
        <v>#REF!</v>
      </c>
      <c r="I86" s="173"/>
    </row>
    <row r="87" spans="1:9" ht="31.5" customHeight="1">
      <c r="A87" s="49">
        <v>13</v>
      </c>
      <c r="B87" s="218" t="s">
        <v>104</v>
      </c>
      <c r="C87" s="219" t="s">
        <v>144</v>
      </c>
      <c r="D87" s="20"/>
      <c r="E87" s="25"/>
      <c r="F87" s="18">
        <v>14</v>
      </c>
      <c r="G87" s="18">
        <v>79.09</v>
      </c>
      <c r="H87" s="18">
        <f t="shared" ref="H87:H88" si="6">G87*F87/1000</f>
        <v>1.1072599999999999</v>
      </c>
      <c r="I87" s="220">
        <f>G87*2</f>
        <v>158.18</v>
      </c>
    </row>
    <row r="88" spans="1:9" ht="31.5" customHeight="1">
      <c r="A88" s="49">
        <v>14</v>
      </c>
      <c r="B88" s="218" t="s">
        <v>114</v>
      </c>
      <c r="C88" s="219" t="s">
        <v>48</v>
      </c>
      <c r="D88" s="86"/>
      <c r="E88" s="18"/>
      <c r="F88" s="18">
        <v>0.09</v>
      </c>
      <c r="G88" s="18">
        <v>3397.65</v>
      </c>
      <c r="H88" s="214">
        <f t="shared" si="6"/>
        <v>0.30578850000000002</v>
      </c>
      <c r="I88" s="220">
        <f>G88*0.01</f>
        <v>33.976500000000001</v>
      </c>
    </row>
    <row r="89" spans="1:9">
      <c r="A89" s="49"/>
      <c r="B89" s="80" t="s">
        <v>64</v>
      </c>
      <c r="C89" s="76"/>
      <c r="D89" s="129"/>
      <c r="E89" s="76">
        <v>1</v>
      </c>
      <c r="F89" s="76"/>
      <c r="G89" s="76"/>
      <c r="H89" s="76"/>
      <c r="I89" s="58">
        <f>SUM(I87:I88)</f>
        <v>192.15649999999999</v>
      </c>
    </row>
    <row r="90" spans="1:9" ht="16.5" customHeight="1">
      <c r="A90" s="49"/>
      <c r="B90" s="86" t="s">
        <v>100</v>
      </c>
      <c r="C90" s="21"/>
      <c r="D90" s="21"/>
      <c r="E90" s="77"/>
      <c r="F90" s="77"/>
      <c r="G90" s="78"/>
      <c r="H90" s="78"/>
      <c r="I90" s="24">
        <v>0</v>
      </c>
    </row>
    <row r="91" spans="1:9" ht="16.5" customHeight="1">
      <c r="A91" s="130"/>
      <c r="B91" s="81" t="s">
        <v>65</v>
      </c>
      <c r="C91" s="64"/>
      <c r="D91" s="64"/>
      <c r="E91" s="64"/>
      <c r="F91" s="64"/>
      <c r="G91" s="64"/>
      <c r="H91" s="64"/>
      <c r="I91" s="79">
        <f>I85+I89</f>
        <v>56153.430670200003</v>
      </c>
    </row>
    <row r="92" spans="1:9" ht="15.75" customHeight="1">
      <c r="A92" s="249" t="s">
        <v>255</v>
      </c>
      <c r="B92" s="249"/>
      <c r="C92" s="249"/>
      <c r="D92" s="249"/>
      <c r="E92" s="249"/>
      <c r="F92" s="249"/>
      <c r="G92" s="249"/>
      <c r="H92" s="249"/>
      <c r="I92" s="249"/>
    </row>
    <row r="93" spans="1:9" ht="15.75" customHeight="1">
      <c r="A93" s="190"/>
      <c r="B93" s="258" t="s">
        <v>256</v>
      </c>
      <c r="C93" s="258"/>
      <c r="D93" s="258"/>
      <c r="E93" s="258"/>
      <c r="F93" s="258"/>
      <c r="G93" s="258"/>
      <c r="H93" s="198"/>
      <c r="I93" s="3"/>
    </row>
    <row r="94" spans="1:9" ht="15.75" customHeight="1">
      <c r="A94" s="188"/>
      <c r="B94" s="255" t="s">
        <v>7</v>
      </c>
      <c r="C94" s="255"/>
      <c r="D94" s="255"/>
      <c r="E94" s="255"/>
      <c r="F94" s="255"/>
      <c r="G94" s="255"/>
      <c r="H94" s="39"/>
      <c r="I94" s="5"/>
    </row>
    <row r="95" spans="1:9" ht="15.75" customHeight="1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5.75">
      <c r="A96" s="259" t="s">
        <v>8</v>
      </c>
      <c r="B96" s="259"/>
      <c r="C96" s="259"/>
      <c r="D96" s="259"/>
      <c r="E96" s="259"/>
      <c r="F96" s="259"/>
      <c r="G96" s="259"/>
      <c r="H96" s="259"/>
      <c r="I96" s="259"/>
    </row>
    <row r="97" spans="1:9" ht="15.75">
      <c r="A97" s="259" t="s">
        <v>9</v>
      </c>
      <c r="B97" s="259"/>
      <c r="C97" s="259"/>
      <c r="D97" s="259"/>
      <c r="E97" s="259"/>
      <c r="F97" s="259"/>
      <c r="G97" s="259"/>
      <c r="H97" s="259"/>
      <c r="I97" s="259"/>
    </row>
    <row r="98" spans="1:9" ht="15.75">
      <c r="A98" s="242" t="s">
        <v>79</v>
      </c>
      <c r="B98" s="242"/>
      <c r="C98" s="242"/>
      <c r="D98" s="242"/>
      <c r="E98" s="242"/>
      <c r="F98" s="242"/>
      <c r="G98" s="242"/>
      <c r="H98" s="242"/>
      <c r="I98" s="242"/>
    </row>
    <row r="99" spans="1:9" ht="15.75">
      <c r="A99" s="12"/>
    </row>
    <row r="100" spans="1:9" ht="15.75">
      <c r="A100" s="243" t="s">
        <v>11</v>
      </c>
      <c r="B100" s="243"/>
      <c r="C100" s="243"/>
      <c r="D100" s="243"/>
      <c r="E100" s="243"/>
      <c r="F100" s="243"/>
      <c r="G100" s="243"/>
      <c r="H100" s="243"/>
      <c r="I100" s="243"/>
    </row>
    <row r="101" spans="1:9" ht="15.75">
      <c r="A101" s="4"/>
    </row>
    <row r="102" spans="1:9" ht="15.75">
      <c r="B102" s="189" t="s">
        <v>12</v>
      </c>
      <c r="C102" s="254" t="s">
        <v>187</v>
      </c>
      <c r="D102" s="254"/>
      <c r="E102" s="254"/>
      <c r="F102" s="196"/>
      <c r="I102" s="192"/>
    </row>
    <row r="103" spans="1:9">
      <c r="A103" s="188"/>
      <c r="C103" s="255" t="s">
        <v>13</v>
      </c>
      <c r="D103" s="255"/>
      <c r="E103" s="255"/>
      <c r="F103" s="39"/>
      <c r="I103" s="191" t="s">
        <v>14</v>
      </c>
    </row>
    <row r="104" spans="1:9" ht="15.75">
      <c r="A104" s="40"/>
      <c r="C104" s="13"/>
      <c r="D104" s="13"/>
      <c r="G104" s="13"/>
      <c r="H104" s="13"/>
    </row>
    <row r="105" spans="1:9" ht="15.75">
      <c r="B105" s="189" t="s">
        <v>15</v>
      </c>
      <c r="C105" s="256"/>
      <c r="D105" s="256"/>
      <c r="E105" s="256"/>
      <c r="F105" s="197"/>
      <c r="I105" s="192"/>
    </row>
    <row r="106" spans="1:9">
      <c r="A106" s="188"/>
      <c r="C106" s="248" t="s">
        <v>13</v>
      </c>
      <c r="D106" s="248"/>
      <c r="E106" s="248"/>
      <c r="F106" s="188"/>
      <c r="I106" s="191" t="s">
        <v>14</v>
      </c>
    </row>
    <row r="107" spans="1:9" ht="15.75">
      <c r="A107" s="4" t="s">
        <v>16</v>
      </c>
    </row>
    <row r="108" spans="1:9">
      <c r="A108" s="257" t="s">
        <v>17</v>
      </c>
      <c r="B108" s="257"/>
      <c r="C108" s="257"/>
      <c r="D108" s="257"/>
      <c r="E108" s="257"/>
      <c r="F108" s="257"/>
      <c r="G108" s="257"/>
      <c r="H108" s="257"/>
      <c r="I108" s="257"/>
    </row>
    <row r="109" spans="1:9" ht="45" customHeight="1">
      <c r="A109" s="250" t="s">
        <v>18</v>
      </c>
      <c r="B109" s="250"/>
      <c r="C109" s="250"/>
      <c r="D109" s="250"/>
      <c r="E109" s="250"/>
      <c r="F109" s="250"/>
      <c r="G109" s="250"/>
      <c r="H109" s="250"/>
      <c r="I109" s="250"/>
    </row>
    <row r="110" spans="1:9" ht="30" customHeight="1">
      <c r="A110" s="250" t="s">
        <v>19</v>
      </c>
      <c r="B110" s="250"/>
      <c r="C110" s="250"/>
      <c r="D110" s="250"/>
      <c r="E110" s="250"/>
      <c r="F110" s="250"/>
      <c r="G110" s="250"/>
      <c r="H110" s="250"/>
      <c r="I110" s="250"/>
    </row>
    <row r="111" spans="1:9" ht="30" customHeight="1">
      <c r="A111" s="250" t="s">
        <v>24</v>
      </c>
      <c r="B111" s="250"/>
      <c r="C111" s="250"/>
      <c r="D111" s="250"/>
      <c r="E111" s="250"/>
      <c r="F111" s="250"/>
      <c r="G111" s="250"/>
      <c r="H111" s="250"/>
      <c r="I111" s="250"/>
    </row>
    <row r="112" spans="1:9" ht="15" customHeight="1">
      <c r="A112" s="250" t="s">
        <v>23</v>
      </c>
      <c r="B112" s="250"/>
      <c r="C112" s="250"/>
      <c r="D112" s="250"/>
      <c r="E112" s="250"/>
      <c r="F112" s="250"/>
      <c r="G112" s="250"/>
      <c r="H112" s="250"/>
      <c r="I112" s="250"/>
    </row>
  </sheetData>
  <autoFilter ref="I12:I67"/>
  <mergeCells count="28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8:I98"/>
    <mergeCell ref="A15:I15"/>
    <mergeCell ref="A27:I27"/>
    <mergeCell ref="A45:I45"/>
    <mergeCell ref="A56:I56"/>
    <mergeCell ref="A92:I92"/>
    <mergeCell ref="B93:G93"/>
    <mergeCell ref="B94:G94"/>
    <mergeCell ref="A96:I96"/>
    <mergeCell ref="A97:I97"/>
    <mergeCell ref="R71:U71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U114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4" t="s">
        <v>122</v>
      </c>
      <c r="I1" s="43"/>
      <c r="J1" s="1"/>
      <c r="K1" s="1"/>
      <c r="L1" s="1"/>
      <c r="M1" s="1"/>
    </row>
    <row r="2" spans="1:13" ht="15.75">
      <c r="A2" s="45" t="s">
        <v>83</v>
      </c>
      <c r="J2" s="2"/>
      <c r="K2" s="2"/>
      <c r="L2" s="2"/>
      <c r="M2" s="2"/>
    </row>
    <row r="3" spans="1:13" ht="15.75" customHeight="1">
      <c r="A3" s="237" t="s">
        <v>257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188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112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187"/>
      <c r="C6" s="187"/>
      <c r="D6" s="187"/>
      <c r="E6" s="187"/>
      <c r="F6" s="187"/>
      <c r="G6" s="187"/>
      <c r="H6" s="187"/>
      <c r="I6" s="53">
        <v>42582</v>
      </c>
      <c r="J6" s="2"/>
      <c r="K6" s="2"/>
      <c r="L6" s="2"/>
      <c r="M6" s="2"/>
    </row>
    <row r="7" spans="1:13" ht="15.75">
      <c r="B7" s="189"/>
      <c r="C7" s="189"/>
      <c r="D7" s="18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271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189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6" t="s">
        <v>74</v>
      </c>
      <c r="B14" s="236"/>
      <c r="C14" s="236"/>
      <c r="D14" s="236"/>
      <c r="E14" s="236"/>
      <c r="F14" s="236"/>
      <c r="G14" s="236"/>
      <c r="H14" s="236"/>
      <c r="I14" s="236"/>
      <c r="J14" s="8"/>
      <c r="K14" s="8"/>
      <c r="L14" s="8"/>
      <c r="M14" s="8"/>
    </row>
    <row r="15" spans="1:13">
      <c r="A15" s="244" t="s">
        <v>4</v>
      </c>
      <c r="B15" s="244"/>
      <c r="C15" s="244"/>
      <c r="D15" s="244"/>
      <c r="E15" s="244"/>
      <c r="F15" s="244"/>
      <c r="G15" s="244"/>
      <c r="H15" s="244"/>
      <c r="I15" s="244"/>
      <c r="J15" s="8"/>
      <c r="K15" s="8"/>
      <c r="L15" s="8"/>
      <c r="M15" s="8"/>
    </row>
    <row r="16" spans="1:13" ht="31.5" customHeight="1">
      <c r="A16" s="49">
        <v>1</v>
      </c>
      <c r="B16" s="199" t="s">
        <v>124</v>
      </c>
      <c r="C16" s="200" t="s">
        <v>151</v>
      </c>
      <c r="D16" s="199" t="s">
        <v>190</v>
      </c>
      <c r="E16" s="201">
        <v>95.04</v>
      </c>
      <c r="F16" s="202">
        <f>SUM(E16*156/100)</f>
        <v>148.26240000000001</v>
      </c>
      <c r="G16" s="202">
        <v>187.48</v>
      </c>
      <c r="H16" s="203">
        <f t="shared" ref="H16:H24" si="0">SUM(F16*G16/1000)</f>
        <v>27.796234752</v>
      </c>
      <c r="I16" s="18">
        <f>F16/12*G16</f>
        <v>2316.3528960000003</v>
      </c>
      <c r="J16" s="8"/>
      <c r="K16" s="8"/>
      <c r="L16" s="8"/>
      <c r="M16" s="8"/>
    </row>
    <row r="17" spans="1:13" ht="31.5" customHeight="1">
      <c r="A17" s="49">
        <v>2</v>
      </c>
      <c r="B17" s="199" t="s">
        <v>147</v>
      </c>
      <c r="C17" s="200" t="s">
        <v>151</v>
      </c>
      <c r="D17" s="199" t="s">
        <v>191</v>
      </c>
      <c r="E17" s="201">
        <v>380.16</v>
      </c>
      <c r="F17" s="202">
        <f>SUM(E17*104/100)</f>
        <v>395.3664</v>
      </c>
      <c r="G17" s="202">
        <v>187.48</v>
      </c>
      <c r="H17" s="203">
        <f t="shared" si="0"/>
        <v>74.123292671999991</v>
      </c>
      <c r="I17" s="18">
        <f>F17/12*G17</f>
        <v>6176.9410559999997</v>
      </c>
      <c r="J17" s="34"/>
      <c r="K17" s="8"/>
      <c r="L17" s="8"/>
      <c r="M17" s="8"/>
    </row>
    <row r="18" spans="1:13" ht="31.5" customHeight="1">
      <c r="A18" s="49">
        <v>3</v>
      </c>
      <c r="B18" s="199" t="s">
        <v>148</v>
      </c>
      <c r="C18" s="200" t="s">
        <v>151</v>
      </c>
      <c r="D18" s="199" t="s">
        <v>192</v>
      </c>
      <c r="E18" s="201">
        <f>SUM(E16+E17)</f>
        <v>475.20000000000005</v>
      </c>
      <c r="F18" s="202">
        <f>SUM(E18*24/100)</f>
        <v>114.04800000000002</v>
      </c>
      <c r="G18" s="202">
        <v>539.30999999999995</v>
      </c>
      <c r="H18" s="203">
        <f t="shared" si="0"/>
        <v>61.507226880000005</v>
      </c>
      <c r="I18" s="18">
        <f>F18/12*G18</f>
        <v>5125.6022400000002</v>
      </c>
      <c r="J18" s="34"/>
      <c r="K18" s="8"/>
      <c r="L18" s="8"/>
      <c r="M18" s="8"/>
    </row>
    <row r="19" spans="1:13" ht="15.75" hidden="1" customHeight="1">
      <c r="A19" s="49">
        <v>4</v>
      </c>
      <c r="B19" s="199" t="s">
        <v>152</v>
      </c>
      <c r="C19" s="200" t="s">
        <v>153</v>
      </c>
      <c r="D19" s="199" t="s">
        <v>154</v>
      </c>
      <c r="E19" s="201">
        <v>93.4</v>
      </c>
      <c r="F19" s="202">
        <f>SUM(E19/10)</f>
        <v>9.34</v>
      </c>
      <c r="G19" s="202">
        <v>181.9</v>
      </c>
      <c r="H19" s="203">
        <f t="shared" si="0"/>
        <v>1.6989460000000001</v>
      </c>
      <c r="I19" s="18">
        <v>0</v>
      </c>
      <c r="J19" s="34"/>
      <c r="K19" s="8"/>
      <c r="L19" s="8"/>
      <c r="M19" s="8"/>
    </row>
    <row r="20" spans="1:13" ht="15.75" hidden="1" customHeight="1">
      <c r="A20" s="49"/>
      <c r="B20" s="199" t="s">
        <v>155</v>
      </c>
      <c r="C20" s="200" t="s">
        <v>151</v>
      </c>
      <c r="D20" s="199" t="s">
        <v>54</v>
      </c>
      <c r="E20" s="201">
        <v>43.2</v>
      </c>
      <c r="F20" s="202">
        <f>SUM(E20*2/100)</f>
        <v>0.8640000000000001</v>
      </c>
      <c r="G20" s="202">
        <v>232.91</v>
      </c>
      <c r="H20" s="203">
        <f t="shared" si="0"/>
        <v>0.20123424000000004</v>
      </c>
      <c r="I20" s="18">
        <v>0</v>
      </c>
      <c r="J20" s="34"/>
      <c r="K20" s="8"/>
      <c r="L20" s="8"/>
      <c r="M20" s="8"/>
    </row>
    <row r="21" spans="1:13" ht="15.75" hidden="1" customHeight="1">
      <c r="A21" s="49"/>
      <c r="B21" s="199" t="s">
        <v>156</v>
      </c>
      <c r="C21" s="200" t="s">
        <v>151</v>
      </c>
      <c r="D21" s="199" t="s">
        <v>54</v>
      </c>
      <c r="E21" s="201">
        <v>10.08</v>
      </c>
      <c r="F21" s="202">
        <f>SUM(E21*2/100)</f>
        <v>0.2016</v>
      </c>
      <c r="G21" s="202">
        <v>231.03</v>
      </c>
      <c r="H21" s="203">
        <f t="shared" si="0"/>
        <v>4.6575648000000004E-2</v>
      </c>
      <c r="I21" s="18">
        <v>0</v>
      </c>
      <c r="J21" s="34"/>
      <c r="K21" s="8"/>
      <c r="L21" s="8"/>
      <c r="M21" s="8"/>
    </row>
    <row r="22" spans="1:13" ht="15.75" hidden="1" customHeight="1">
      <c r="A22" s="49"/>
      <c r="B22" s="199" t="s">
        <v>157</v>
      </c>
      <c r="C22" s="200" t="s">
        <v>66</v>
      </c>
      <c r="D22" s="199" t="s">
        <v>154</v>
      </c>
      <c r="E22" s="201">
        <v>642.6</v>
      </c>
      <c r="F22" s="202">
        <f>SUM(E22/100)</f>
        <v>6.4260000000000002</v>
      </c>
      <c r="G22" s="202">
        <v>287.83999999999997</v>
      </c>
      <c r="H22" s="203">
        <f t="shared" si="0"/>
        <v>1.8496598399999997</v>
      </c>
      <c r="I22" s="18">
        <v>0</v>
      </c>
      <c r="J22" s="34"/>
      <c r="K22" s="8"/>
      <c r="L22" s="8"/>
      <c r="M22" s="8"/>
    </row>
    <row r="23" spans="1:13" ht="15.75" hidden="1" customHeight="1">
      <c r="A23" s="49"/>
      <c r="B23" s="199" t="s">
        <v>158</v>
      </c>
      <c r="C23" s="200" t="s">
        <v>66</v>
      </c>
      <c r="D23" s="199" t="s">
        <v>154</v>
      </c>
      <c r="E23" s="204">
        <v>35.28</v>
      </c>
      <c r="F23" s="202">
        <f>SUM(E23/100)</f>
        <v>0.3528</v>
      </c>
      <c r="G23" s="202">
        <v>47.35</v>
      </c>
      <c r="H23" s="203">
        <f t="shared" si="0"/>
        <v>1.6705080000000004E-2</v>
      </c>
      <c r="I23" s="18">
        <v>0</v>
      </c>
      <c r="J23" s="34"/>
      <c r="K23" s="8"/>
      <c r="L23" s="8"/>
      <c r="M23" s="8"/>
    </row>
    <row r="24" spans="1:13" ht="15.75" hidden="1" customHeight="1">
      <c r="A24" s="49"/>
      <c r="B24" s="199" t="s">
        <v>159</v>
      </c>
      <c r="C24" s="200" t="s">
        <v>66</v>
      </c>
      <c r="D24" s="199" t="s">
        <v>154</v>
      </c>
      <c r="E24" s="201">
        <v>28.8</v>
      </c>
      <c r="F24" s="202">
        <f>SUM(E24/100)</f>
        <v>0.28800000000000003</v>
      </c>
      <c r="G24" s="202">
        <v>556.74</v>
      </c>
      <c r="H24" s="203">
        <f t="shared" si="0"/>
        <v>0.16034112000000003</v>
      </c>
      <c r="I24" s="18">
        <v>0</v>
      </c>
      <c r="J24" s="34"/>
      <c r="K24" s="8"/>
      <c r="L24" s="8"/>
      <c r="M24" s="8"/>
    </row>
    <row r="25" spans="1:13" ht="15.75" customHeight="1">
      <c r="A25" s="49">
        <v>4</v>
      </c>
      <c r="B25" s="199" t="s">
        <v>85</v>
      </c>
      <c r="C25" s="200" t="s">
        <v>39</v>
      </c>
      <c r="D25" s="199" t="s">
        <v>219</v>
      </c>
      <c r="E25" s="201">
        <v>0.1</v>
      </c>
      <c r="F25" s="202">
        <f>SUM(E25*365)</f>
        <v>36.5</v>
      </c>
      <c r="G25" s="202">
        <v>157.18</v>
      </c>
      <c r="H25" s="203">
        <f>SUM(F25*G25/1000)</f>
        <v>5.737070000000001</v>
      </c>
      <c r="I25" s="18">
        <f>F25/12*G25</f>
        <v>478.08916666666664</v>
      </c>
      <c r="J25" s="34"/>
      <c r="K25" s="8"/>
      <c r="L25" s="8"/>
      <c r="M25" s="8"/>
    </row>
    <row r="26" spans="1:13" ht="15.75" customHeight="1">
      <c r="A26" s="49">
        <v>5</v>
      </c>
      <c r="B26" s="207" t="s">
        <v>26</v>
      </c>
      <c r="C26" s="200" t="s">
        <v>27</v>
      </c>
      <c r="D26" s="207" t="s">
        <v>207</v>
      </c>
      <c r="E26" s="201">
        <v>3945</v>
      </c>
      <c r="F26" s="202">
        <f>SUM(E26*12)</f>
        <v>47340</v>
      </c>
      <c r="G26" s="202">
        <v>5.33</v>
      </c>
      <c r="H26" s="203">
        <f>SUM(F26*G26/1000)</f>
        <v>252.32220000000001</v>
      </c>
      <c r="I26" s="18">
        <f>F26/12*G26</f>
        <v>21026.85</v>
      </c>
      <c r="J26" s="35"/>
    </row>
    <row r="27" spans="1:13" ht="15.75" customHeight="1">
      <c r="A27" s="245" t="s">
        <v>119</v>
      </c>
      <c r="B27" s="246"/>
      <c r="C27" s="246"/>
      <c r="D27" s="246"/>
      <c r="E27" s="246"/>
      <c r="F27" s="246"/>
      <c r="G27" s="246"/>
      <c r="H27" s="246"/>
      <c r="I27" s="247"/>
      <c r="J27" s="34"/>
      <c r="K27" s="8"/>
      <c r="L27" s="8"/>
      <c r="M27" s="8"/>
    </row>
    <row r="28" spans="1:13" ht="15.75" customHeight="1">
      <c r="A28" s="49"/>
      <c r="B28" s="224" t="s">
        <v>34</v>
      </c>
      <c r="C28" s="200"/>
      <c r="D28" s="199"/>
      <c r="E28" s="201"/>
      <c r="F28" s="202"/>
      <c r="G28" s="202"/>
      <c r="H28" s="203"/>
      <c r="I28" s="18"/>
      <c r="J28" s="34"/>
      <c r="K28" s="8"/>
      <c r="L28" s="8"/>
      <c r="M28" s="8"/>
    </row>
    <row r="29" spans="1:13" ht="31.5" customHeight="1">
      <c r="A29" s="49">
        <v>6</v>
      </c>
      <c r="B29" s="199" t="s">
        <v>160</v>
      </c>
      <c r="C29" s="200" t="s">
        <v>216</v>
      </c>
      <c r="D29" s="199" t="s">
        <v>217</v>
      </c>
      <c r="E29" s="202">
        <v>1044.6500000000001</v>
      </c>
      <c r="F29" s="202">
        <f>SUM(E29*52/1000)</f>
        <v>54.321800000000003</v>
      </c>
      <c r="G29" s="202">
        <v>166.65</v>
      </c>
      <c r="H29" s="203">
        <f t="shared" ref="H29:H35" si="1">SUM(F29*G29/1000)</f>
        <v>9.0527279700000012</v>
      </c>
      <c r="I29" s="18">
        <f>F29/6*G29</f>
        <v>1508.7879950000001</v>
      </c>
      <c r="J29" s="34"/>
      <c r="K29" s="8"/>
      <c r="L29" s="8"/>
      <c r="M29" s="8"/>
    </row>
    <row r="30" spans="1:13" ht="31.5" customHeight="1">
      <c r="A30" s="49">
        <v>7</v>
      </c>
      <c r="B30" s="199" t="s">
        <v>235</v>
      </c>
      <c r="C30" s="200" t="s">
        <v>161</v>
      </c>
      <c r="D30" s="199" t="s">
        <v>218</v>
      </c>
      <c r="E30" s="202">
        <v>116.93</v>
      </c>
      <c r="F30" s="202">
        <f>SUM(E30*78/1000)</f>
        <v>9.1205400000000001</v>
      </c>
      <c r="G30" s="202">
        <v>276.48</v>
      </c>
      <c r="H30" s="203">
        <f t="shared" si="1"/>
        <v>2.5216468991999998</v>
      </c>
      <c r="I30" s="18">
        <f t="shared" ref="I30:I33" si="2">F30/6*G30</f>
        <v>420.27448320000002</v>
      </c>
      <c r="J30" s="34"/>
      <c r="K30" s="8"/>
      <c r="L30" s="8"/>
      <c r="M30" s="8"/>
    </row>
    <row r="31" spans="1:13" ht="15.75" hidden="1" customHeight="1">
      <c r="A31" s="49"/>
      <c r="B31" s="199" t="s">
        <v>33</v>
      </c>
      <c r="C31" s="200" t="s">
        <v>161</v>
      </c>
      <c r="D31" s="199" t="s">
        <v>67</v>
      </c>
      <c r="E31" s="202">
        <v>1044.6500000000001</v>
      </c>
      <c r="F31" s="202">
        <f>SUM(E31/1000)</f>
        <v>1.0446500000000001</v>
      </c>
      <c r="G31" s="202">
        <v>3228.73</v>
      </c>
      <c r="H31" s="203">
        <f t="shared" si="1"/>
        <v>3.3728927945000007</v>
      </c>
      <c r="I31" s="18">
        <f>F31*G31</f>
        <v>3372.8927945000005</v>
      </c>
      <c r="J31" s="34"/>
      <c r="K31" s="8"/>
      <c r="L31" s="8"/>
      <c r="M31" s="8"/>
    </row>
    <row r="32" spans="1:13" ht="15.75" customHeight="1">
      <c r="A32" s="49">
        <v>8</v>
      </c>
      <c r="B32" s="199" t="s">
        <v>193</v>
      </c>
      <c r="C32" s="200" t="s">
        <v>50</v>
      </c>
      <c r="D32" s="199" t="s">
        <v>84</v>
      </c>
      <c r="E32" s="202">
        <v>6</v>
      </c>
      <c r="F32" s="202">
        <v>9.3000000000000007</v>
      </c>
      <c r="G32" s="202">
        <v>1391.86</v>
      </c>
      <c r="H32" s="203">
        <f>G32*F32/1000</f>
        <v>12.944298</v>
      </c>
      <c r="I32" s="18">
        <f t="shared" si="2"/>
        <v>2157.3829999999998</v>
      </c>
      <c r="J32" s="34"/>
      <c r="K32" s="8"/>
      <c r="L32" s="8"/>
      <c r="M32" s="8"/>
    </row>
    <row r="33" spans="1:14" ht="15.75" customHeight="1">
      <c r="A33" s="49">
        <v>9</v>
      </c>
      <c r="B33" s="199" t="s">
        <v>165</v>
      </c>
      <c r="C33" s="200" t="s">
        <v>37</v>
      </c>
      <c r="D33" s="199" t="s">
        <v>84</v>
      </c>
      <c r="E33" s="206">
        <v>0.33333333333333331</v>
      </c>
      <c r="F33" s="202">
        <f>155/3</f>
        <v>51.666666666666664</v>
      </c>
      <c r="G33" s="202">
        <v>60.6</v>
      </c>
      <c r="H33" s="203">
        <f>SUM(G33*155/3/1000)</f>
        <v>3.1309999999999998</v>
      </c>
      <c r="I33" s="18">
        <f t="shared" si="2"/>
        <v>521.83333333333337</v>
      </c>
      <c r="J33" s="34"/>
      <c r="K33" s="8"/>
      <c r="L33" s="8"/>
      <c r="M33" s="8"/>
    </row>
    <row r="34" spans="1:14" ht="15.75" hidden="1" customHeight="1">
      <c r="A34" s="49"/>
      <c r="B34" s="199" t="s">
        <v>86</v>
      </c>
      <c r="C34" s="200" t="s">
        <v>39</v>
      </c>
      <c r="D34" s="199" t="s">
        <v>88</v>
      </c>
      <c r="E34" s="201"/>
      <c r="F34" s="202">
        <v>3</v>
      </c>
      <c r="G34" s="202">
        <v>204.52</v>
      </c>
      <c r="H34" s="203">
        <f t="shared" si="1"/>
        <v>0.61356000000000011</v>
      </c>
      <c r="I34" s="18">
        <v>0</v>
      </c>
      <c r="J34" s="34"/>
      <c r="K34" s="8"/>
    </row>
    <row r="35" spans="1:14" ht="15.75" hidden="1" customHeight="1">
      <c r="A35" s="49"/>
      <c r="B35" s="199" t="s">
        <v>87</v>
      </c>
      <c r="C35" s="200" t="s">
        <v>38</v>
      </c>
      <c r="D35" s="199" t="s">
        <v>88</v>
      </c>
      <c r="E35" s="201"/>
      <c r="F35" s="202">
        <v>2</v>
      </c>
      <c r="G35" s="202">
        <v>1136.33</v>
      </c>
      <c r="H35" s="203">
        <f t="shared" si="1"/>
        <v>2.2726599999999997</v>
      </c>
      <c r="I35" s="18">
        <v>0</v>
      </c>
      <c r="J35" s="35"/>
    </row>
    <row r="36" spans="1:14" ht="15.75" hidden="1" customHeight="1">
      <c r="A36" s="49"/>
      <c r="B36" s="224" t="s">
        <v>5</v>
      </c>
      <c r="C36" s="200"/>
      <c r="D36" s="199"/>
      <c r="E36" s="201"/>
      <c r="F36" s="202"/>
      <c r="G36" s="202"/>
      <c r="H36" s="203" t="s">
        <v>207</v>
      </c>
      <c r="I36" s="18"/>
      <c r="J36" s="35"/>
    </row>
    <row r="37" spans="1:14" ht="15.75" hidden="1" customHeight="1">
      <c r="A37" s="49">
        <v>6</v>
      </c>
      <c r="B37" s="199" t="s">
        <v>31</v>
      </c>
      <c r="C37" s="200" t="s">
        <v>38</v>
      </c>
      <c r="D37" s="199"/>
      <c r="E37" s="201"/>
      <c r="F37" s="202">
        <v>8</v>
      </c>
      <c r="G37" s="202">
        <v>1632.6</v>
      </c>
      <c r="H37" s="203">
        <f t="shared" ref="H37:H44" si="3">SUM(F37*G37/1000)</f>
        <v>13.060799999999999</v>
      </c>
      <c r="I37" s="18">
        <f>F37/6*G37</f>
        <v>2176.7999999999997</v>
      </c>
      <c r="J37" s="35"/>
    </row>
    <row r="38" spans="1:14" ht="15.75" hidden="1" customHeight="1">
      <c r="A38" s="49">
        <v>7</v>
      </c>
      <c r="B38" s="199" t="s">
        <v>135</v>
      </c>
      <c r="C38" s="200" t="s">
        <v>35</v>
      </c>
      <c r="D38" s="199" t="s">
        <v>194</v>
      </c>
      <c r="E38" s="201">
        <v>477.19</v>
      </c>
      <c r="F38" s="202">
        <f>E38*12/1000</f>
        <v>5.72628</v>
      </c>
      <c r="G38" s="202">
        <v>2247.8000000000002</v>
      </c>
      <c r="H38" s="203">
        <f>G38*F38/1000</f>
        <v>12.871532184000001</v>
      </c>
      <c r="I38" s="18">
        <f>F38/6*G38</f>
        <v>2145.2553640000001</v>
      </c>
      <c r="J38" s="35"/>
    </row>
    <row r="39" spans="1:14" ht="15.75" hidden="1" customHeight="1">
      <c r="A39" s="49">
        <v>8</v>
      </c>
      <c r="B39" s="199" t="s">
        <v>167</v>
      </c>
      <c r="C39" s="200" t="s">
        <v>35</v>
      </c>
      <c r="D39" s="199" t="s">
        <v>166</v>
      </c>
      <c r="E39" s="201">
        <v>116.93</v>
      </c>
      <c r="F39" s="202">
        <f>E39*30/1000</f>
        <v>3.5079000000000002</v>
      </c>
      <c r="G39" s="202">
        <v>2247.8000000000002</v>
      </c>
      <c r="H39" s="203">
        <f>G39*F39/1000</f>
        <v>7.8850576200000013</v>
      </c>
      <c r="I39" s="18">
        <f>F39/6*G39</f>
        <v>1314.1762700000002</v>
      </c>
      <c r="J39" s="35"/>
    </row>
    <row r="40" spans="1:14" ht="15.75" hidden="1" customHeight="1">
      <c r="A40" s="49"/>
      <c r="B40" s="199" t="s">
        <v>169</v>
      </c>
      <c r="C40" s="200" t="s">
        <v>170</v>
      </c>
      <c r="D40" s="199" t="s">
        <v>88</v>
      </c>
      <c r="E40" s="201"/>
      <c r="F40" s="202">
        <v>135</v>
      </c>
      <c r="G40" s="202">
        <v>213.2</v>
      </c>
      <c r="H40" s="203">
        <f>G40*F40/1000</f>
        <v>28.782</v>
      </c>
      <c r="I40" s="18">
        <v>0</v>
      </c>
      <c r="J40" s="35"/>
      <c r="L40" s="27"/>
      <c r="M40" s="28"/>
      <c r="N40" s="29"/>
    </row>
    <row r="41" spans="1:14" ht="15.75" hidden="1" customHeight="1">
      <c r="A41" s="49">
        <v>9</v>
      </c>
      <c r="B41" s="199" t="s">
        <v>89</v>
      </c>
      <c r="C41" s="200" t="s">
        <v>35</v>
      </c>
      <c r="D41" s="199" t="s">
        <v>168</v>
      </c>
      <c r="E41" s="202">
        <v>116.93</v>
      </c>
      <c r="F41" s="202">
        <f>SUM(E41*155/1000)</f>
        <v>18.12415</v>
      </c>
      <c r="G41" s="202">
        <v>374.95</v>
      </c>
      <c r="H41" s="203">
        <f t="shared" si="3"/>
        <v>6.7956500424999993</v>
      </c>
      <c r="I41" s="18">
        <f>F41/6*G41</f>
        <v>1132.6083404166666</v>
      </c>
      <c r="J41" s="35"/>
      <c r="L41" s="27"/>
      <c r="M41" s="28"/>
      <c r="N41" s="29"/>
    </row>
    <row r="42" spans="1:14" ht="47.25" hidden="1" customHeight="1">
      <c r="A42" s="49">
        <v>10</v>
      </c>
      <c r="B42" s="199" t="s">
        <v>115</v>
      </c>
      <c r="C42" s="200" t="s">
        <v>161</v>
      </c>
      <c r="D42" s="199" t="s">
        <v>196</v>
      </c>
      <c r="E42" s="202">
        <v>116.93</v>
      </c>
      <c r="F42" s="202">
        <f>SUM(E42*24/1000)</f>
        <v>2.8063200000000004</v>
      </c>
      <c r="G42" s="202">
        <v>6203.71</v>
      </c>
      <c r="H42" s="203">
        <f t="shared" si="3"/>
        <v>17.409595447200001</v>
      </c>
      <c r="I42" s="18">
        <f>F42/6*G42</f>
        <v>2901.5992412000005</v>
      </c>
      <c r="J42" s="35"/>
      <c r="L42" s="27"/>
      <c r="M42" s="28"/>
      <c r="N42" s="29"/>
    </row>
    <row r="43" spans="1:14" ht="15.75" hidden="1" customHeight="1">
      <c r="A43" s="49">
        <v>11</v>
      </c>
      <c r="B43" s="199" t="s">
        <v>171</v>
      </c>
      <c r="C43" s="200" t="s">
        <v>161</v>
      </c>
      <c r="D43" s="199" t="s">
        <v>90</v>
      </c>
      <c r="E43" s="202">
        <v>116.93</v>
      </c>
      <c r="F43" s="202">
        <f>SUM(E43*45/1000)</f>
        <v>5.2618500000000008</v>
      </c>
      <c r="G43" s="202">
        <v>458.28</v>
      </c>
      <c r="H43" s="203">
        <f t="shared" si="3"/>
        <v>2.4114006180000001</v>
      </c>
      <c r="I43" s="18">
        <f>F43/6*G43</f>
        <v>401.90010300000006</v>
      </c>
      <c r="J43" s="35"/>
      <c r="L43" s="27"/>
      <c r="M43" s="28"/>
      <c r="N43" s="29"/>
    </row>
    <row r="44" spans="1:14" ht="15.75" hidden="1" customHeight="1">
      <c r="A44" s="49">
        <v>12</v>
      </c>
      <c r="B44" s="199" t="s">
        <v>91</v>
      </c>
      <c r="C44" s="200" t="s">
        <v>39</v>
      </c>
      <c r="D44" s="199"/>
      <c r="E44" s="201"/>
      <c r="F44" s="202">
        <v>0.9</v>
      </c>
      <c r="G44" s="202">
        <v>798</v>
      </c>
      <c r="H44" s="203">
        <f t="shared" si="3"/>
        <v>0.71820000000000006</v>
      </c>
      <c r="I44" s="18">
        <f>F44/6*G44</f>
        <v>119.69999999999999</v>
      </c>
      <c r="J44" s="35"/>
      <c r="L44" s="27"/>
      <c r="M44" s="28"/>
      <c r="N44" s="29"/>
    </row>
    <row r="45" spans="1:14" ht="15.75" hidden="1" customHeight="1">
      <c r="A45" s="245" t="s">
        <v>236</v>
      </c>
      <c r="B45" s="246"/>
      <c r="C45" s="246"/>
      <c r="D45" s="246"/>
      <c r="E45" s="246"/>
      <c r="F45" s="246"/>
      <c r="G45" s="246"/>
      <c r="H45" s="246"/>
      <c r="I45" s="247"/>
      <c r="J45" s="35"/>
      <c r="L45" s="27"/>
      <c r="M45" s="28"/>
      <c r="N45" s="29"/>
    </row>
    <row r="46" spans="1:14" ht="15.75" hidden="1" customHeight="1">
      <c r="A46" s="49"/>
      <c r="B46" s="199" t="s">
        <v>198</v>
      </c>
      <c r="C46" s="200" t="s">
        <v>161</v>
      </c>
      <c r="D46" s="199" t="s">
        <v>54</v>
      </c>
      <c r="E46" s="201">
        <v>1030.4000000000001</v>
      </c>
      <c r="F46" s="202">
        <f>SUM(E46*2/1000)</f>
        <v>2.0608</v>
      </c>
      <c r="G46" s="18">
        <v>908.1</v>
      </c>
      <c r="H46" s="203">
        <f t="shared" ref="H46:H55" si="4">SUM(F46*G46/1000)</f>
        <v>1.87141248</v>
      </c>
      <c r="I46" s="18">
        <v>0</v>
      </c>
      <c r="J46" s="35"/>
      <c r="L46" s="27"/>
      <c r="M46" s="28"/>
      <c r="N46" s="29"/>
    </row>
    <row r="47" spans="1:14" ht="15.75" hidden="1" customHeight="1">
      <c r="A47" s="49"/>
      <c r="B47" s="199" t="s">
        <v>43</v>
      </c>
      <c r="C47" s="200" t="s">
        <v>161</v>
      </c>
      <c r="D47" s="199" t="s">
        <v>54</v>
      </c>
      <c r="E47" s="201">
        <v>132</v>
      </c>
      <c r="F47" s="202">
        <f>E47*2/1000</f>
        <v>0.26400000000000001</v>
      </c>
      <c r="G47" s="18">
        <v>619.46</v>
      </c>
      <c r="H47" s="203">
        <f t="shared" si="4"/>
        <v>0.16353744000000001</v>
      </c>
      <c r="I47" s="18">
        <v>0</v>
      </c>
      <c r="J47" s="35"/>
      <c r="L47" s="27"/>
      <c r="M47" s="28"/>
      <c r="N47" s="29"/>
    </row>
    <row r="48" spans="1:14" ht="15.75" hidden="1" customHeight="1">
      <c r="A48" s="49"/>
      <c r="B48" s="199" t="s">
        <v>44</v>
      </c>
      <c r="C48" s="200" t="s">
        <v>161</v>
      </c>
      <c r="D48" s="199" t="s">
        <v>54</v>
      </c>
      <c r="E48" s="201">
        <v>4248.22</v>
      </c>
      <c r="F48" s="202">
        <f>SUM(E48*2/1000)</f>
        <v>8.4964399999999998</v>
      </c>
      <c r="G48" s="18">
        <v>619.46</v>
      </c>
      <c r="H48" s="203">
        <f t="shared" si="4"/>
        <v>5.2632047223999994</v>
      </c>
      <c r="I48" s="18">
        <v>0</v>
      </c>
      <c r="J48" s="35"/>
      <c r="L48" s="27"/>
      <c r="M48" s="28"/>
      <c r="N48" s="29"/>
    </row>
    <row r="49" spans="1:14" ht="15.75" hidden="1" customHeight="1">
      <c r="A49" s="49"/>
      <c r="B49" s="199" t="s">
        <v>45</v>
      </c>
      <c r="C49" s="200" t="s">
        <v>161</v>
      </c>
      <c r="D49" s="199" t="s">
        <v>54</v>
      </c>
      <c r="E49" s="201">
        <v>2163.66</v>
      </c>
      <c r="F49" s="202">
        <f>SUM(E49*2/1000)</f>
        <v>4.3273199999999994</v>
      </c>
      <c r="G49" s="18">
        <v>648.64</v>
      </c>
      <c r="H49" s="203">
        <f t="shared" si="4"/>
        <v>2.8068728447999995</v>
      </c>
      <c r="I49" s="18">
        <v>0</v>
      </c>
      <c r="J49" s="35"/>
      <c r="L49" s="27"/>
      <c r="M49" s="28"/>
      <c r="N49" s="29"/>
    </row>
    <row r="50" spans="1:14" ht="31.5" hidden="1" customHeight="1">
      <c r="A50" s="49">
        <v>13</v>
      </c>
      <c r="B50" s="199" t="s">
        <v>71</v>
      </c>
      <c r="C50" s="200" t="s">
        <v>161</v>
      </c>
      <c r="D50" s="199" t="s">
        <v>237</v>
      </c>
      <c r="E50" s="201">
        <v>1015.4</v>
      </c>
      <c r="F50" s="202">
        <f>SUM(E50*5/1000)</f>
        <v>5.077</v>
      </c>
      <c r="G50" s="18">
        <v>1297.28</v>
      </c>
      <c r="H50" s="203">
        <f t="shared" si="4"/>
        <v>6.5862905599999992</v>
      </c>
      <c r="I50" s="18">
        <f>F50/5*G50</f>
        <v>1317.258112</v>
      </c>
      <c r="J50" s="35"/>
      <c r="L50" s="27"/>
      <c r="M50" s="28"/>
      <c r="N50" s="29"/>
    </row>
    <row r="51" spans="1:14" ht="31.5" hidden="1" customHeight="1">
      <c r="A51" s="49"/>
      <c r="B51" s="199" t="s">
        <v>173</v>
      </c>
      <c r="C51" s="200" t="s">
        <v>161</v>
      </c>
      <c r="D51" s="199" t="s">
        <v>54</v>
      </c>
      <c r="E51" s="201">
        <v>1015.4</v>
      </c>
      <c r="F51" s="202">
        <f>SUM(E51*2/1000)</f>
        <v>2.0308000000000002</v>
      </c>
      <c r="G51" s="18">
        <v>1297.28</v>
      </c>
      <c r="H51" s="203">
        <f t="shared" si="4"/>
        <v>2.634516224</v>
      </c>
      <c r="I51" s="18">
        <v>0</v>
      </c>
      <c r="J51" s="35"/>
      <c r="L51" s="27"/>
      <c r="M51" s="28"/>
      <c r="N51" s="29"/>
    </row>
    <row r="52" spans="1:14" ht="31.5" hidden="1" customHeight="1">
      <c r="A52" s="49"/>
      <c r="B52" s="199" t="s">
        <v>174</v>
      </c>
      <c r="C52" s="200" t="s">
        <v>48</v>
      </c>
      <c r="D52" s="199" t="s">
        <v>54</v>
      </c>
      <c r="E52" s="201">
        <v>30</v>
      </c>
      <c r="F52" s="202">
        <f>SUM(E52*2/100)</f>
        <v>0.6</v>
      </c>
      <c r="G52" s="18">
        <v>2918.89</v>
      </c>
      <c r="H52" s="203">
        <f t="shared" si="4"/>
        <v>1.7513339999999997</v>
      </c>
      <c r="I52" s="18">
        <v>0</v>
      </c>
      <c r="J52" s="35"/>
      <c r="L52" s="27"/>
      <c r="M52" s="28"/>
      <c r="N52" s="29"/>
    </row>
    <row r="53" spans="1:14" ht="15.75" hidden="1" customHeight="1">
      <c r="A53" s="49"/>
      <c r="B53" s="199" t="s">
        <v>49</v>
      </c>
      <c r="C53" s="200" t="s">
        <v>50</v>
      </c>
      <c r="D53" s="199" t="s">
        <v>54</v>
      </c>
      <c r="E53" s="201">
        <v>1</v>
      </c>
      <c r="F53" s="202">
        <v>0.02</v>
      </c>
      <c r="G53" s="18">
        <v>6042.13</v>
      </c>
      <c r="H53" s="203">
        <f t="shared" si="4"/>
        <v>0.12084260000000001</v>
      </c>
      <c r="I53" s="18">
        <v>0</v>
      </c>
      <c r="J53" s="35"/>
      <c r="L53" s="27"/>
      <c r="M53" s="28"/>
      <c r="N53" s="29"/>
    </row>
    <row r="54" spans="1:14" ht="15.75" hidden="1" customHeight="1">
      <c r="A54" s="49">
        <v>14</v>
      </c>
      <c r="B54" s="199" t="s">
        <v>197</v>
      </c>
      <c r="C54" s="200" t="s">
        <v>144</v>
      </c>
      <c r="D54" s="199" t="s">
        <v>52</v>
      </c>
      <c r="E54" s="201">
        <v>90</v>
      </c>
      <c r="F54" s="202">
        <f>E54*4</f>
        <v>360</v>
      </c>
      <c r="G54" s="18">
        <v>150.86000000000001</v>
      </c>
      <c r="H54" s="203">
        <f>F54*G54/1000</f>
        <v>54.309600000000003</v>
      </c>
      <c r="I54" s="18">
        <f>G54*E54</f>
        <v>13577.400000000001</v>
      </c>
      <c r="J54" s="35"/>
      <c r="L54" s="27"/>
      <c r="M54" s="28"/>
      <c r="N54" s="29"/>
    </row>
    <row r="55" spans="1:14" ht="15.75" hidden="1" customHeight="1">
      <c r="A55" s="49">
        <v>15</v>
      </c>
      <c r="B55" s="199" t="s">
        <v>53</v>
      </c>
      <c r="C55" s="200" t="s">
        <v>144</v>
      </c>
      <c r="D55" s="199" t="s">
        <v>92</v>
      </c>
      <c r="E55" s="201">
        <v>180</v>
      </c>
      <c r="F55" s="202">
        <f>SUM(E55)*3</f>
        <v>540</v>
      </c>
      <c r="G55" s="18">
        <v>70.2</v>
      </c>
      <c r="H55" s="203">
        <f t="shared" si="4"/>
        <v>37.908000000000001</v>
      </c>
      <c r="I55" s="18">
        <f>G55*E55</f>
        <v>12636</v>
      </c>
      <c r="J55" s="35"/>
      <c r="L55" s="27"/>
      <c r="M55" s="28"/>
      <c r="N55" s="29"/>
    </row>
    <row r="56" spans="1:14" ht="15.75" customHeight="1">
      <c r="A56" s="245" t="s">
        <v>253</v>
      </c>
      <c r="B56" s="246"/>
      <c r="C56" s="246"/>
      <c r="D56" s="246"/>
      <c r="E56" s="246"/>
      <c r="F56" s="246"/>
      <c r="G56" s="246"/>
      <c r="H56" s="246"/>
      <c r="I56" s="247"/>
      <c r="J56" s="35"/>
      <c r="L56" s="27"/>
      <c r="M56" s="28"/>
      <c r="N56" s="29"/>
    </row>
    <row r="57" spans="1:14" ht="15.75" hidden="1" customHeight="1">
      <c r="A57" s="49"/>
      <c r="B57" s="224" t="s">
        <v>55</v>
      </c>
      <c r="C57" s="200"/>
      <c r="D57" s="199"/>
      <c r="E57" s="201"/>
      <c r="F57" s="202"/>
      <c r="G57" s="202"/>
      <c r="H57" s="203"/>
      <c r="I57" s="18"/>
      <c r="J57" s="35"/>
      <c r="L57" s="27"/>
      <c r="M57" s="28"/>
      <c r="N57" s="29"/>
    </row>
    <row r="58" spans="1:14" ht="31.5" hidden="1" customHeight="1">
      <c r="A58" s="49">
        <v>16</v>
      </c>
      <c r="B58" s="199" t="s">
        <v>199</v>
      </c>
      <c r="C58" s="200" t="s">
        <v>151</v>
      </c>
      <c r="D58" s="199" t="s">
        <v>175</v>
      </c>
      <c r="E58" s="201">
        <v>148.04</v>
      </c>
      <c r="F58" s="202">
        <f>SUM(E58*6/100)</f>
        <v>8.8824000000000005</v>
      </c>
      <c r="G58" s="18">
        <v>1654.04</v>
      </c>
      <c r="H58" s="203">
        <f>SUM(F58*G58/1000)</f>
        <v>14.691844896000001</v>
      </c>
      <c r="I58" s="18">
        <f>F58/6*G58</f>
        <v>2448.6408160000001</v>
      </c>
      <c r="J58" s="35"/>
      <c r="L58" s="27"/>
      <c r="M58" s="28"/>
      <c r="N58" s="29"/>
    </row>
    <row r="59" spans="1:14" ht="31.5" hidden="1" customHeight="1">
      <c r="A59" s="49">
        <v>17</v>
      </c>
      <c r="B59" s="199" t="s">
        <v>142</v>
      </c>
      <c r="C59" s="200" t="s">
        <v>151</v>
      </c>
      <c r="D59" s="199" t="s">
        <v>143</v>
      </c>
      <c r="E59" s="201">
        <v>39.700000000000003</v>
      </c>
      <c r="F59" s="202">
        <f>SUM(E59*12/100)</f>
        <v>4.7640000000000002</v>
      </c>
      <c r="G59" s="18">
        <v>1654.04</v>
      </c>
      <c r="H59" s="203">
        <f>SUM(F59*G59/1000)</f>
        <v>7.8798465599999998</v>
      </c>
      <c r="I59" s="18">
        <f>F59/6*G59</f>
        <v>1313.3077600000001</v>
      </c>
      <c r="J59" s="35"/>
      <c r="L59" s="27"/>
      <c r="M59" s="28"/>
      <c r="N59" s="29"/>
    </row>
    <row r="60" spans="1:14" ht="15.75" hidden="1" customHeight="1">
      <c r="A60" s="49">
        <v>18</v>
      </c>
      <c r="B60" s="208" t="s">
        <v>200</v>
      </c>
      <c r="C60" s="209" t="s">
        <v>201</v>
      </c>
      <c r="D60" s="208" t="s">
        <v>54</v>
      </c>
      <c r="E60" s="210">
        <v>8</v>
      </c>
      <c r="F60" s="211">
        <v>16</v>
      </c>
      <c r="G60" s="18">
        <v>193.25</v>
      </c>
      <c r="H60" s="212">
        <f>F60*G60/1000</f>
        <v>3.0920000000000001</v>
      </c>
      <c r="I60" s="18">
        <f>F60/2*G60</f>
        <v>1546</v>
      </c>
      <c r="J60" s="35"/>
      <c r="L60" s="27"/>
      <c r="M60" s="28"/>
      <c r="N60" s="29"/>
    </row>
    <row r="61" spans="1:14" ht="15.75" hidden="1" customHeight="1">
      <c r="A61" s="49">
        <v>19</v>
      </c>
      <c r="B61" s="199" t="s">
        <v>202</v>
      </c>
      <c r="C61" s="200" t="s">
        <v>151</v>
      </c>
      <c r="D61" s="199" t="s">
        <v>175</v>
      </c>
      <c r="E61" s="201">
        <v>41.73</v>
      </c>
      <c r="F61" s="202">
        <f>SUM(E61*6/100)</f>
        <v>2.5038</v>
      </c>
      <c r="G61" s="18">
        <v>1654.04</v>
      </c>
      <c r="H61" s="203">
        <f>SUM(F61*G61/1000)</f>
        <v>4.1413853520000004</v>
      </c>
      <c r="I61" s="18">
        <f>F61/6*G61</f>
        <v>690.23089200000004</v>
      </c>
      <c r="J61" s="35"/>
      <c r="L61" s="27"/>
      <c r="M61" s="28"/>
      <c r="N61" s="29"/>
    </row>
    <row r="62" spans="1:14" ht="15.75" customHeight="1">
      <c r="A62" s="49"/>
      <c r="B62" s="225" t="s">
        <v>56</v>
      </c>
      <c r="C62" s="209"/>
      <c r="D62" s="208"/>
      <c r="E62" s="210"/>
      <c r="F62" s="211"/>
      <c r="G62" s="18"/>
      <c r="H62" s="212"/>
      <c r="I62" s="18"/>
      <c r="J62" s="35"/>
      <c r="L62" s="27"/>
      <c r="M62" s="28"/>
      <c r="N62" s="29"/>
    </row>
    <row r="63" spans="1:14" ht="15.75" hidden="1" customHeight="1">
      <c r="A63" s="49"/>
      <c r="B63" s="208" t="s">
        <v>57</v>
      </c>
      <c r="C63" s="209" t="s">
        <v>66</v>
      </c>
      <c r="D63" s="208" t="s">
        <v>67</v>
      </c>
      <c r="E63" s="210">
        <v>1015.4</v>
      </c>
      <c r="F63" s="211">
        <v>10.154</v>
      </c>
      <c r="G63" s="18">
        <v>848.37</v>
      </c>
      <c r="H63" s="212">
        <f>F63*G63/1000</f>
        <v>8.6143489800000008</v>
      </c>
      <c r="I63" s="18">
        <v>0</v>
      </c>
      <c r="J63" s="35"/>
      <c r="L63" s="27"/>
      <c r="M63" s="28"/>
      <c r="N63" s="29"/>
    </row>
    <row r="64" spans="1:14" ht="15.75" customHeight="1">
      <c r="A64" s="49">
        <v>10</v>
      </c>
      <c r="B64" s="208" t="s">
        <v>146</v>
      </c>
      <c r="C64" s="209" t="s">
        <v>29</v>
      </c>
      <c r="D64" s="208" t="s">
        <v>36</v>
      </c>
      <c r="E64" s="210">
        <v>203.1</v>
      </c>
      <c r="F64" s="213">
        <f>E64*12</f>
        <v>2437.1999999999998</v>
      </c>
      <c r="G64" s="194">
        <v>2.6</v>
      </c>
      <c r="H64" s="211">
        <f>F64*G64/1000</f>
        <v>6.3367199999999997</v>
      </c>
      <c r="I64" s="18">
        <f>F64/12*G64</f>
        <v>528.06000000000006</v>
      </c>
      <c r="J64" s="35"/>
      <c r="L64" s="27"/>
      <c r="M64" s="28"/>
      <c r="N64" s="29"/>
    </row>
    <row r="65" spans="1:21" ht="15.75" hidden="1" customHeight="1">
      <c r="A65" s="49"/>
      <c r="B65" s="225" t="s">
        <v>58</v>
      </c>
      <c r="C65" s="209"/>
      <c r="D65" s="208"/>
      <c r="E65" s="210"/>
      <c r="F65" s="213"/>
      <c r="G65" s="213"/>
      <c r="H65" s="211" t="s">
        <v>207</v>
      </c>
      <c r="I65" s="18"/>
      <c r="J65" s="35"/>
      <c r="L65" s="27"/>
    </row>
    <row r="66" spans="1:21" ht="15.75" hidden="1" customHeight="1">
      <c r="A66" s="49"/>
      <c r="B66" s="20" t="s">
        <v>59</v>
      </c>
      <c r="C66" s="22" t="s">
        <v>144</v>
      </c>
      <c r="D66" s="20" t="s">
        <v>88</v>
      </c>
      <c r="E66" s="25">
        <v>10</v>
      </c>
      <c r="F66" s="202">
        <v>10</v>
      </c>
      <c r="G66" s="18">
        <v>237.75</v>
      </c>
      <c r="H66" s="214">
        <f t="shared" ref="H66:H79" si="5">SUM(F66*G66/1000)</f>
        <v>2.3774999999999999</v>
      </c>
      <c r="I66" s="18">
        <v>0</v>
      </c>
      <c r="J66" s="35"/>
      <c r="L66" s="27"/>
    </row>
    <row r="67" spans="1:21" ht="15.75" hidden="1" customHeight="1">
      <c r="A67" s="49"/>
      <c r="B67" s="20" t="s">
        <v>60</v>
      </c>
      <c r="C67" s="22" t="s">
        <v>144</v>
      </c>
      <c r="D67" s="20" t="s">
        <v>88</v>
      </c>
      <c r="E67" s="25">
        <v>5</v>
      </c>
      <c r="F67" s="202">
        <v>5</v>
      </c>
      <c r="G67" s="18">
        <v>81.510000000000005</v>
      </c>
      <c r="H67" s="214">
        <f t="shared" si="5"/>
        <v>0.40755000000000002</v>
      </c>
      <c r="I67" s="18">
        <v>0</v>
      </c>
      <c r="J67" s="35"/>
      <c r="L67" s="27"/>
    </row>
    <row r="68" spans="1:21" ht="15.75" hidden="1" customHeight="1">
      <c r="A68" s="49"/>
      <c r="B68" s="20" t="s">
        <v>61</v>
      </c>
      <c r="C68" s="22" t="s">
        <v>177</v>
      </c>
      <c r="D68" s="20" t="s">
        <v>67</v>
      </c>
      <c r="E68" s="201">
        <v>14205</v>
      </c>
      <c r="F68" s="18">
        <f>SUM(E68/100)</f>
        <v>142.05000000000001</v>
      </c>
      <c r="G68" s="18">
        <v>226.79</v>
      </c>
      <c r="H68" s="214">
        <f t="shared" si="5"/>
        <v>32.215519499999999</v>
      </c>
      <c r="I68" s="18">
        <v>0</v>
      </c>
    </row>
    <row r="69" spans="1:21" ht="15.75" hidden="1" customHeight="1">
      <c r="A69" s="49"/>
      <c r="B69" s="20" t="s">
        <v>62</v>
      </c>
      <c r="C69" s="22" t="s">
        <v>178</v>
      </c>
      <c r="D69" s="20" t="s">
        <v>67</v>
      </c>
      <c r="E69" s="201">
        <v>14205</v>
      </c>
      <c r="F69" s="18">
        <f>SUM(E69/1000)</f>
        <v>14.205</v>
      </c>
      <c r="G69" s="18">
        <v>176.61</v>
      </c>
      <c r="H69" s="214">
        <f t="shared" si="5"/>
        <v>2.5087450499999999</v>
      </c>
      <c r="I69" s="18">
        <v>0</v>
      </c>
      <c r="J69" s="40"/>
      <c r="K69" s="40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49"/>
      <c r="B70" s="20" t="s">
        <v>63</v>
      </c>
      <c r="C70" s="22" t="s">
        <v>98</v>
      </c>
      <c r="D70" s="20" t="s">
        <v>67</v>
      </c>
      <c r="E70" s="201">
        <v>2131</v>
      </c>
      <c r="F70" s="18">
        <f>SUM(E70/100)</f>
        <v>21.31</v>
      </c>
      <c r="G70" s="18">
        <v>2217.7800000000002</v>
      </c>
      <c r="H70" s="214">
        <f t="shared" si="5"/>
        <v>47.260891800000003</v>
      </c>
      <c r="I70" s="18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49"/>
      <c r="B71" s="215" t="s">
        <v>179</v>
      </c>
      <c r="C71" s="22" t="s">
        <v>39</v>
      </c>
      <c r="D71" s="20" t="s">
        <v>67</v>
      </c>
      <c r="E71" s="201">
        <v>12.48</v>
      </c>
      <c r="F71" s="18">
        <f>SUM(E71)</f>
        <v>12.48</v>
      </c>
      <c r="G71" s="18">
        <v>42.67</v>
      </c>
      <c r="H71" s="214">
        <f t="shared" si="5"/>
        <v>0.53252160000000004</v>
      </c>
      <c r="I71" s="18">
        <v>0</v>
      </c>
      <c r="J71" s="5"/>
      <c r="K71" s="5"/>
      <c r="L71" s="5"/>
      <c r="M71" s="5"/>
      <c r="N71" s="5"/>
      <c r="O71" s="5"/>
      <c r="P71" s="5"/>
      <c r="Q71" s="5"/>
      <c r="R71" s="248"/>
      <c r="S71" s="248"/>
      <c r="T71" s="248"/>
      <c r="U71" s="248"/>
    </row>
    <row r="72" spans="1:21" ht="15.75" hidden="1" customHeight="1">
      <c r="A72" s="49"/>
      <c r="B72" s="215" t="s">
        <v>180</v>
      </c>
      <c r="C72" s="22" t="s">
        <v>39</v>
      </c>
      <c r="D72" s="20" t="s">
        <v>67</v>
      </c>
      <c r="E72" s="201">
        <v>12.48</v>
      </c>
      <c r="F72" s="18">
        <f>SUM(E72)</f>
        <v>12.48</v>
      </c>
      <c r="G72" s="18">
        <v>39.81</v>
      </c>
      <c r="H72" s="214">
        <f t="shared" si="5"/>
        <v>0.49682880000000007</v>
      </c>
      <c r="I72" s="18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hidden="1" customHeight="1">
      <c r="A73" s="49"/>
      <c r="B73" s="20" t="s">
        <v>72</v>
      </c>
      <c r="C73" s="22" t="s">
        <v>73</v>
      </c>
      <c r="D73" s="20" t="s">
        <v>67</v>
      </c>
      <c r="E73" s="25">
        <v>5</v>
      </c>
      <c r="F73" s="202">
        <v>5</v>
      </c>
      <c r="G73" s="18">
        <v>53.32</v>
      </c>
      <c r="H73" s="214">
        <f t="shared" si="5"/>
        <v>0.2666</v>
      </c>
      <c r="I73" s="18">
        <v>0</v>
      </c>
    </row>
    <row r="74" spans="1:21" ht="15.75" hidden="1" customHeight="1">
      <c r="A74" s="49"/>
      <c r="B74" s="193" t="s">
        <v>93</v>
      </c>
      <c r="C74" s="22"/>
      <c r="D74" s="20"/>
      <c r="E74" s="25"/>
      <c r="F74" s="18"/>
      <c r="G74" s="18"/>
      <c r="H74" s="214" t="s">
        <v>207</v>
      </c>
      <c r="I74" s="18"/>
    </row>
    <row r="75" spans="1:21" ht="15.75" hidden="1" customHeight="1">
      <c r="A75" s="49">
        <v>21</v>
      </c>
      <c r="B75" s="20" t="s">
        <v>94</v>
      </c>
      <c r="C75" s="22" t="s">
        <v>96</v>
      </c>
      <c r="D75" s="20" t="s">
        <v>88</v>
      </c>
      <c r="E75" s="25">
        <v>2</v>
      </c>
      <c r="F75" s="18">
        <v>0.2</v>
      </c>
      <c r="G75" s="18">
        <v>536.23</v>
      </c>
      <c r="H75" s="214">
        <f t="shared" si="5"/>
        <v>0.10724600000000001</v>
      </c>
      <c r="I75" s="18">
        <f>G75*0.1</f>
        <v>53.623000000000005</v>
      </c>
    </row>
    <row r="76" spans="1:21" ht="15.75" hidden="1" customHeight="1">
      <c r="A76" s="49"/>
      <c r="B76" s="20" t="s">
        <v>95</v>
      </c>
      <c r="C76" s="22" t="s">
        <v>37</v>
      </c>
      <c r="D76" s="20" t="s">
        <v>88</v>
      </c>
      <c r="E76" s="25">
        <v>1</v>
      </c>
      <c r="F76" s="194">
        <v>1</v>
      </c>
      <c r="G76" s="18">
        <v>911.85</v>
      </c>
      <c r="H76" s="214">
        <f>F76*G76/1000</f>
        <v>0.91185000000000005</v>
      </c>
      <c r="I76" s="18">
        <v>0</v>
      </c>
    </row>
    <row r="77" spans="1:21" ht="15.75" hidden="1" customHeight="1">
      <c r="A77" s="49"/>
      <c r="B77" s="20" t="s">
        <v>203</v>
      </c>
      <c r="C77" s="22" t="s">
        <v>37</v>
      </c>
      <c r="D77" s="20" t="s">
        <v>88</v>
      </c>
      <c r="E77" s="25">
        <v>1</v>
      </c>
      <c r="F77" s="18">
        <v>1</v>
      </c>
      <c r="G77" s="18">
        <v>383.25</v>
      </c>
      <c r="H77" s="214">
        <f>G77*F77/1000</f>
        <v>0.38324999999999998</v>
      </c>
      <c r="I77" s="18">
        <v>0</v>
      </c>
    </row>
    <row r="78" spans="1:21" ht="15.75" hidden="1" customHeight="1">
      <c r="A78" s="49"/>
      <c r="B78" s="216" t="s">
        <v>97</v>
      </c>
      <c r="C78" s="22"/>
      <c r="D78" s="20"/>
      <c r="E78" s="25"/>
      <c r="F78" s="18"/>
      <c r="G78" s="18" t="s">
        <v>207</v>
      </c>
      <c r="H78" s="214" t="s">
        <v>207</v>
      </c>
      <c r="I78" s="18"/>
    </row>
    <row r="79" spans="1:21" ht="15.75" hidden="1" customHeight="1">
      <c r="A79" s="49">
        <v>22</v>
      </c>
      <c r="B79" s="86" t="s">
        <v>183</v>
      </c>
      <c r="C79" s="22" t="s">
        <v>98</v>
      </c>
      <c r="D79" s="20"/>
      <c r="E79" s="25"/>
      <c r="F79" s="18">
        <v>0.9</v>
      </c>
      <c r="G79" s="18">
        <v>2757.42</v>
      </c>
      <c r="H79" s="214">
        <f t="shared" si="5"/>
        <v>2.4816780000000005</v>
      </c>
      <c r="I79" s="18">
        <f>G79*F79</f>
        <v>2481.6780000000003</v>
      </c>
    </row>
    <row r="80" spans="1:21" ht="15.75" hidden="1" customHeight="1">
      <c r="A80" s="49"/>
      <c r="B80" s="193" t="s">
        <v>181</v>
      </c>
      <c r="C80" s="216"/>
      <c r="D80" s="54"/>
      <c r="E80" s="58"/>
      <c r="F80" s="205"/>
      <c r="G80" s="205"/>
      <c r="H80" s="217">
        <f>SUM(H58:H79)</f>
        <v>134.70632653799998</v>
      </c>
      <c r="I80" s="205"/>
    </row>
    <row r="81" spans="1:9" ht="15.75" hidden="1" customHeight="1">
      <c r="A81" s="226">
        <v>23</v>
      </c>
      <c r="B81" s="208" t="s">
        <v>182</v>
      </c>
      <c r="C81" s="227"/>
      <c r="D81" s="228"/>
      <c r="E81" s="195"/>
      <c r="F81" s="220">
        <v>1</v>
      </c>
      <c r="G81" s="220">
        <v>27901.200000000001</v>
      </c>
      <c r="H81" s="229">
        <f>G81*F81/1000</f>
        <v>27.901199999999999</v>
      </c>
      <c r="I81" s="220">
        <f>G81</f>
        <v>27901.200000000001</v>
      </c>
    </row>
    <row r="82" spans="1:9" ht="15.75" customHeight="1">
      <c r="A82" s="251" t="s">
        <v>254</v>
      </c>
      <c r="B82" s="252"/>
      <c r="C82" s="252"/>
      <c r="D82" s="252"/>
      <c r="E82" s="252"/>
      <c r="F82" s="252"/>
      <c r="G82" s="252"/>
      <c r="H82" s="252"/>
      <c r="I82" s="253"/>
    </row>
    <row r="83" spans="1:9" ht="15.75" customHeight="1">
      <c r="A83" s="230">
        <v>11</v>
      </c>
      <c r="B83" s="235" t="s">
        <v>184</v>
      </c>
      <c r="C83" s="231" t="s">
        <v>68</v>
      </c>
      <c r="D83" s="232" t="s">
        <v>69</v>
      </c>
      <c r="E83" s="233">
        <v>3945</v>
      </c>
      <c r="F83" s="233">
        <f>SUM(E83*12)</f>
        <v>47340</v>
      </c>
      <c r="G83" s="233">
        <v>2.2400000000000002</v>
      </c>
      <c r="H83" s="234">
        <f>SUM(F83*G83/1000)</f>
        <v>106.0416</v>
      </c>
      <c r="I83" s="233">
        <f>F83/12*G83</f>
        <v>8836.8000000000011</v>
      </c>
    </row>
    <row r="84" spans="1:9" ht="31.5" customHeight="1">
      <c r="A84" s="49">
        <v>12</v>
      </c>
      <c r="B84" s="20" t="s">
        <v>99</v>
      </c>
      <c r="C84" s="22"/>
      <c r="D84" s="232" t="s">
        <v>69</v>
      </c>
      <c r="E84" s="201">
        <f>E83</f>
        <v>3945</v>
      </c>
      <c r="F84" s="18">
        <f>E84*12</f>
        <v>47340</v>
      </c>
      <c r="G84" s="18">
        <v>1.74</v>
      </c>
      <c r="H84" s="214">
        <f>F84*G84/1000</f>
        <v>82.371600000000001</v>
      </c>
      <c r="I84" s="18">
        <f>F84/12*G84</f>
        <v>6864.3</v>
      </c>
    </row>
    <row r="85" spans="1:9" ht="15.75" customHeight="1">
      <c r="A85" s="49"/>
      <c r="B85" s="73" t="s">
        <v>105</v>
      </c>
      <c r="C85" s="75"/>
      <c r="D85" s="21"/>
      <c r="E85" s="21"/>
      <c r="F85" s="25"/>
      <c r="G85" s="31"/>
      <c r="H85" s="217">
        <f>H84</f>
        <v>82.371600000000001</v>
      </c>
      <c r="I85" s="58">
        <f>SUM(I16+I17+I18+I25+I26+I29+I30+I32+I33+I64+I83+I84)</f>
        <v>55961.274170200006</v>
      </c>
    </row>
    <row r="86" spans="1:9" ht="15.75" customHeight="1">
      <c r="A86" s="49"/>
      <c r="B86" s="173" t="s">
        <v>76</v>
      </c>
      <c r="C86" s="173"/>
      <c r="D86" s="173"/>
      <c r="E86" s="173"/>
      <c r="F86" s="173"/>
      <c r="G86" s="31"/>
      <c r="H86" s="217" t="e">
        <f>SUM(H85+#REF!+H80+H56+#REF!+#REF!+H27)</f>
        <v>#REF!</v>
      </c>
      <c r="I86" s="173"/>
    </row>
    <row r="87" spans="1:9" ht="31.5" customHeight="1">
      <c r="A87" s="49">
        <v>13</v>
      </c>
      <c r="B87" s="218" t="s">
        <v>104</v>
      </c>
      <c r="C87" s="219" t="s">
        <v>144</v>
      </c>
      <c r="D87" s="20"/>
      <c r="E87" s="25"/>
      <c r="F87" s="18">
        <v>14</v>
      </c>
      <c r="G87" s="18">
        <v>79.09</v>
      </c>
      <c r="H87" s="18">
        <f t="shared" ref="H87:H88" si="6">G87*F87/1000</f>
        <v>1.1072599999999999</v>
      </c>
      <c r="I87" s="220">
        <f>G87</f>
        <v>79.09</v>
      </c>
    </row>
    <row r="88" spans="1:9" ht="31.5" customHeight="1">
      <c r="A88" s="49">
        <v>14</v>
      </c>
      <c r="B88" s="218" t="s">
        <v>114</v>
      </c>
      <c r="C88" s="219" t="s">
        <v>48</v>
      </c>
      <c r="D88" s="86"/>
      <c r="E88" s="18"/>
      <c r="F88" s="18">
        <v>0.09</v>
      </c>
      <c r="G88" s="18">
        <v>3397.65</v>
      </c>
      <c r="H88" s="214">
        <f t="shared" si="6"/>
        <v>0.30578850000000002</v>
      </c>
      <c r="I88" s="220">
        <f>G88*0.01</f>
        <v>33.976500000000001</v>
      </c>
    </row>
    <row r="89" spans="1:9" ht="31.5" customHeight="1">
      <c r="A89" s="49">
        <v>15</v>
      </c>
      <c r="B89" s="218" t="s">
        <v>231</v>
      </c>
      <c r="C89" s="219" t="s">
        <v>144</v>
      </c>
      <c r="D89" s="20"/>
      <c r="E89" s="25"/>
      <c r="F89" s="18">
        <v>1</v>
      </c>
      <c r="G89" s="18">
        <v>2769.02</v>
      </c>
      <c r="H89" s="214">
        <f>G89*F89/1000</f>
        <v>2.7690199999999998</v>
      </c>
      <c r="I89" s="220">
        <f>G89</f>
        <v>2769.02</v>
      </c>
    </row>
    <row r="90" spans="1:9" ht="15.75" customHeight="1">
      <c r="A90" s="49">
        <v>16</v>
      </c>
      <c r="B90" s="218" t="s">
        <v>110</v>
      </c>
      <c r="C90" s="219" t="s">
        <v>144</v>
      </c>
      <c r="D90" s="20"/>
      <c r="E90" s="25"/>
      <c r="F90" s="18">
        <v>1</v>
      </c>
      <c r="G90" s="18">
        <v>180.15</v>
      </c>
      <c r="H90" s="214">
        <f>G90*F90/1000</f>
        <v>0.18015</v>
      </c>
      <c r="I90" s="220">
        <f>G90</f>
        <v>180.15</v>
      </c>
    </row>
    <row r="91" spans="1:9">
      <c r="A91" s="49"/>
      <c r="B91" s="80" t="s">
        <v>64</v>
      </c>
      <c r="C91" s="76"/>
      <c r="D91" s="129"/>
      <c r="E91" s="76">
        <v>1</v>
      </c>
      <c r="F91" s="76"/>
      <c r="G91" s="76"/>
      <c r="H91" s="76"/>
      <c r="I91" s="58">
        <f>SUM(I87:I90)</f>
        <v>3062.2365</v>
      </c>
    </row>
    <row r="92" spans="1:9" ht="16.5" customHeight="1">
      <c r="A92" s="49"/>
      <c r="B92" s="86" t="s">
        <v>100</v>
      </c>
      <c r="C92" s="21"/>
      <c r="D92" s="21"/>
      <c r="E92" s="77"/>
      <c r="F92" s="77"/>
      <c r="G92" s="78"/>
      <c r="H92" s="78"/>
      <c r="I92" s="24">
        <v>0</v>
      </c>
    </row>
    <row r="93" spans="1:9" ht="16.5" customHeight="1">
      <c r="A93" s="130"/>
      <c r="B93" s="81" t="s">
        <v>65</v>
      </c>
      <c r="C93" s="64"/>
      <c r="D93" s="64"/>
      <c r="E93" s="64"/>
      <c r="F93" s="64"/>
      <c r="G93" s="64"/>
      <c r="H93" s="64"/>
      <c r="I93" s="79">
        <f>I85+I91</f>
        <v>59023.510670200005</v>
      </c>
    </row>
    <row r="94" spans="1:9" ht="15.75" customHeight="1">
      <c r="A94" s="249" t="s">
        <v>258</v>
      </c>
      <c r="B94" s="249"/>
      <c r="C94" s="249"/>
      <c r="D94" s="249"/>
      <c r="E94" s="249"/>
      <c r="F94" s="249"/>
      <c r="G94" s="249"/>
      <c r="H94" s="249"/>
      <c r="I94" s="249"/>
    </row>
    <row r="95" spans="1:9" ht="15.75" customHeight="1">
      <c r="A95" s="190"/>
      <c r="B95" s="258" t="s">
        <v>259</v>
      </c>
      <c r="C95" s="258"/>
      <c r="D95" s="258"/>
      <c r="E95" s="258"/>
      <c r="F95" s="258"/>
      <c r="G95" s="258"/>
      <c r="H95" s="198"/>
      <c r="I95" s="3"/>
    </row>
    <row r="96" spans="1:9" ht="15.75" customHeight="1">
      <c r="A96" s="188"/>
      <c r="B96" s="255" t="s">
        <v>7</v>
      </c>
      <c r="C96" s="255"/>
      <c r="D96" s="255"/>
      <c r="E96" s="255"/>
      <c r="F96" s="255"/>
      <c r="G96" s="255"/>
      <c r="H96" s="39"/>
      <c r="I96" s="5"/>
    </row>
    <row r="97" spans="1:9" ht="15.7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>
      <c r="A98" s="259" t="s">
        <v>8</v>
      </c>
      <c r="B98" s="259"/>
      <c r="C98" s="259"/>
      <c r="D98" s="259"/>
      <c r="E98" s="259"/>
      <c r="F98" s="259"/>
      <c r="G98" s="259"/>
      <c r="H98" s="259"/>
      <c r="I98" s="259"/>
    </row>
    <row r="99" spans="1:9" ht="15.75">
      <c r="A99" s="259" t="s">
        <v>9</v>
      </c>
      <c r="B99" s="259"/>
      <c r="C99" s="259"/>
      <c r="D99" s="259"/>
      <c r="E99" s="259"/>
      <c r="F99" s="259"/>
      <c r="G99" s="259"/>
      <c r="H99" s="259"/>
      <c r="I99" s="259"/>
    </row>
    <row r="100" spans="1:9" ht="15.75">
      <c r="A100" s="242" t="s">
        <v>79</v>
      </c>
      <c r="B100" s="242"/>
      <c r="C100" s="242"/>
      <c r="D100" s="242"/>
      <c r="E100" s="242"/>
      <c r="F100" s="242"/>
      <c r="G100" s="242"/>
      <c r="H100" s="242"/>
      <c r="I100" s="242"/>
    </row>
    <row r="101" spans="1:9" ht="15.75">
      <c r="A101" s="12"/>
    </row>
    <row r="102" spans="1:9" ht="15.75">
      <c r="A102" s="243" t="s">
        <v>11</v>
      </c>
      <c r="B102" s="243"/>
      <c r="C102" s="243"/>
      <c r="D102" s="243"/>
      <c r="E102" s="243"/>
      <c r="F102" s="243"/>
      <c r="G102" s="243"/>
      <c r="H102" s="243"/>
      <c r="I102" s="243"/>
    </row>
    <row r="103" spans="1:9" ht="15.75">
      <c r="A103" s="4"/>
    </row>
    <row r="104" spans="1:9" ht="15.75">
      <c r="B104" s="189" t="s">
        <v>12</v>
      </c>
      <c r="C104" s="254" t="s">
        <v>187</v>
      </c>
      <c r="D104" s="254"/>
      <c r="E104" s="254"/>
      <c r="F104" s="196"/>
      <c r="I104" s="192"/>
    </row>
    <row r="105" spans="1:9">
      <c r="A105" s="188"/>
      <c r="C105" s="255" t="s">
        <v>13</v>
      </c>
      <c r="D105" s="255"/>
      <c r="E105" s="255"/>
      <c r="F105" s="39"/>
      <c r="I105" s="191" t="s">
        <v>14</v>
      </c>
    </row>
    <row r="106" spans="1:9" ht="15.75">
      <c r="A106" s="40"/>
      <c r="C106" s="13"/>
      <c r="D106" s="13"/>
      <c r="G106" s="13"/>
      <c r="H106" s="13"/>
    </row>
    <row r="107" spans="1:9" ht="15.75">
      <c r="B107" s="189" t="s">
        <v>15</v>
      </c>
      <c r="C107" s="256"/>
      <c r="D107" s="256"/>
      <c r="E107" s="256"/>
      <c r="F107" s="197"/>
      <c r="I107" s="192"/>
    </row>
    <row r="108" spans="1:9">
      <c r="A108" s="188"/>
      <c r="C108" s="248" t="s">
        <v>13</v>
      </c>
      <c r="D108" s="248"/>
      <c r="E108" s="248"/>
      <c r="F108" s="188"/>
      <c r="I108" s="191" t="s">
        <v>14</v>
      </c>
    </row>
    <row r="109" spans="1:9" ht="15.75">
      <c r="A109" s="4" t="s">
        <v>16</v>
      </c>
    </row>
    <row r="110" spans="1:9">
      <c r="A110" s="257" t="s">
        <v>17</v>
      </c>
      <c r="B110" s="257"/>
      <c r="C110" s="257"/>
      <c r="D110" s="257"/>
      <c r="E110" s="257"/>
      <c r="F110" s="257"/>
      <c r="G110" s="257"/>
      <c r="H110" s="257"/>
      <c r="I110" s="257"/>
    </row>
    <row r="111" spans="1:9" ht="47.25" customHeight="1">
      <c r="A111" s="250" t="s">
        <v>18</v>
      </c>
      <c r="B111" s="250"/>
      <c r="C111" s="250"/>
      <c r="D111" s="250"/>
      <c r="E111" s="250"/>
      <c r="F111" s="250"/>
      <c r="G111" s="250"/>
      <c r="H111" s="250"/>
      <c r="I111" s="250"/>
    </row>
    <row r="112" spans="1:9" ht="31.5" customHeight="1">
      <c r="A112" s="250" t="s">
        <v>19</v>
      </c>
      <c r="B112" s="250"/>
      <c r="C112" s="250"/>
      <c r="D112" s="250"/>
      <c r="E112" s="250"/>
      <c r="F112" s="250"/>
      <c r="G112" s="250"/>
      <c r="H112" s="250"/>
      <c r="I112" s="250"/>
    </row>
    <row r="113" spans="1:9" ht="31.5" customHeight="1">
      <c r="A113" s="250" t="s">
        <v>24</v>
      </c>
      <c r="B113" s="250"/>
      <c r="C113" s="250"/>
      <c r="D113" s="250"/>
      <c r="E113" s="250"/>
      <c r="F113" s="250"/>
      <c r="G113" s="250"/>
      <c r="H113" s="250"/>
      <c r="I113" s="250"/>
    </row>
    <row r="114" spans="1:9" ht="15.75">
      <c r="A114" s="250" t="s">
        <v>23</v>
      </c>
      <c r="B114" s="250"/>
      <c r="C114" s="250"/>
      <c r="D114" s="250"/>
      <c r="E114" s="250"/>
      <c r="F114" s="250"/>
      <c r="G114" s="250"/>
      <c r="H114" s="250"/>
      <c r="I114" s="250"/>
    </row>
  </sheetData>
  <autoFilter ref="I12:I67"/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7:I27"/>
    <mergeCell ref="A45:I45"/>
    <mergeCell ref="A56:I56"/>
    <mergeCell ref="A94:I94"/>
    <mergeCell ref="B95:G95"/>
    <mergeCell ref="B96:G96"/>
    <mergeCell ref="A98:I98"/>
    <mergeCell ref="A99:I99"/>
    <mergeCell ref="R71:U71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U116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4" t="s">
        <v>122</v>
      </c>
      <c r="I1" s="43"/>
      <c r="J1" s="1"/>
      <c r="K1" s="1"/>
      <c r="L1" s="1"/>
      <c r="M1" s="1"/>
    </row>
    <row r="2" spans="1:13" ht="15.75">
      <c r="A2" s="45" t="s">
        <v>83</v>
      </c>
      <c r="J2" s="2"/>
      <c r="K2" s="2"/>
      <c r="L2" s="2"/>
      <c r="M2" s="2"/>
    </row>
    <row r="3" spans="1:13" ht="15.75" customHeight="1">
      <c r="A3" s="237" t="s">
        <v>260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188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80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187"/>
      <c r="C6" s="187"/>
      <c r="D6" s="187"/>
      <c r="E6" s="187"/>
      <c r="F6" s="187"/>
      <c r="G6" s="187"/>
      <c r="H6" s="187"/>
      <c r="I6" s="53">
        <v>42613</v>
      </c>
      <c r="J6" s="2"/>
      <c r="K6" s="2"/>
      <c r="L6" s="2"/>
      <c r="M6" s="2"/>
    </row>
    <row r="7" spans="1:13" ht="15.75">
      <c r="B7" s="189"/>
      <c r="C7" s="189"/>
      <c r="D7" s="18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271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189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6" t="s">
        <v>74</v>
      </c>
      <c r="B14" s="236"/>
      <c r="C14" s="236"/>
      <c r="D14" s="236"/>
      <c r="E14" s="236"/>
      <c r="F14" s="236"/>
      <c r="G14" s="236"/>
      <c r="H14" s="236"/>
      <c r="I14" s="236"/>
      <c r="J14" s="8"/>
      <c r="K14" s="8"/>
      <c r="L14" s="8"/>
      <c r="M14" s="8"/>
    </row>
    <row r="15" spans="1:13">
      <c r="A15" s="244" t="s">
        <v>4</v>
      </c>
      <c r="B15" s="244"/>
      <c r="C15" s="244"/>
      <c r="D15" s="244"/>
      <c r="E15" s="244"/>
      <c r="F15" s="244"/>
      <c r="G15" s="244"/>
      <c r="H15" s="244"/>
      <c r="I15" s="244"/>
      <c r="J15" s="8"/>
      <c r="K15" s="8"/>
      <c r="L15" s="8"/>
      <c r="M15" s="8"/>
    </row>
    <row r="16" spans="1:13" ht="31.5" customHeight="1">
      <c r="A16" s="49">
        <v>1</v>
      </c>
      <c r="B16" s="199" t="s">
        <v>124</v>
      </c>
      <c r="C16" s="200" t="s">
        <v>151</v>
      </c>
      <c r="D16" s="199" t="s">
        <v>190</v>
      </c>
      <c r="E16" s="201">
        <v>95.04</v>
      </c>
      <c r="F16" s="202">
        <f>SUM(E16*156/100)</f>
        <v>148.26240000000001</v>
      </c>
      <c r="G16" s="202">
        <v>187.48</v>
      </c>
      <c r="H16" s="203">
        <f t="shared" ref="H16:H24" si="0">SUM(F16*G16/1000)</f>
        <v>27.796234752</v>
      </c>
      <c r="I16" s="18">
        <f>F16/12*G16</f>
        <v>2316.3528960000003</v>
      </c>
      <c r="J16" s="8"/>
      <c r="K16" s="8"/>
      <c r="L16" s="8"/>
      <c r="M16" s="8"/>
    </row>
    <row r="17" spans="1:13" ht="31.5" customHeight="1">
      <c r="A17" s="49">
        <v>2</v>
      </c>
      <c r="B17" s="199" t="s">
        <v>147</v>
      </c>
      <c r="C17" s="200" t="s">
        <v>151</v>
      </c>
      <c r="D17" s="199" t="s">
        <v>191</v>
      </c>
      <c r="E17" s="201">
        <v>380.16</v>
      </c>
      <c r="F17" s="202">
        <f>SUM(E17*104/100)</f>
        <v>395.3664</v>
      </c>
      <c r="G17" s="202">
        <v>187.48</v>
      </c>
      <c r="H17" s="203">
        <f t="shared" si="0"/>
        <v>74.123292671999991</v>
      </c>
      <c r="I17" s="18">
        <f>F17/12*G17</f>
        <v>6176.9410559999997</v>
      </c>
      <c r="J17" s="34"/>
      <c r="K17" s="8"/>
      <c r="L17" s="8"/>
      <c r="M17" s="8"/>
    </row>
    <row r="18" spans="1:13" ht="31.5" customHeight="1">
      <c r="A18" s="49">
        <v>3</v>
      </c>
      <c r="B18" s="199" t="s">
        <v>148</v>
      </c>
      <c r="C18" s="200" t="s">
        <v>151</v>
      </c>
      <c r="D18" s="199" t="s">
        <v>192</v>
      </c>
      <c r="E18" s="201">
        <f>SUM(E16+E17)</f>
        <v>475.20000000000005</v>
      </c>
      <c r="F18" s="202">
        <f>SUM(E18*24/100)</f>
        <v>114.04800000000002</v>
      </c>
      <c r="G18" s="202">
        <v>539.30999999999995</v>
      </c>
      <c r="H18" s="203">
        <f t="shared" si="0"/>
        <v>61.507226880000005</v>
      </c>
      <c r="I18" s="18">
        <f>F18/12*G18</f>
        <v>5125.6022400000002</v>
      </c>
      <c r="J18" s="34"/>
      <c r="K18" s="8"/>
      <c r="L18" s="8"/>
      <c r="M18" s="8"/>
    </row>
    <row r="19" spans="1:13" ht="15.75" hidden="1" customHeight="1">
      <c r="A19" s="49">
        <v>4</v>
      </c>
      <c r="B19" s="199" t="s">
        <v>152</v>
      </c>
      <c r="C19" s="200" t="s">
        <v>153</v>
      </c>
      <c r="D19" s="199" t="s">
        <v>154</v>
      </c>
      <c r="E19" s="201">
        <v>93.4</v>
      </c>
      <c r="F19" s="202">
        <f>SUM(E19/10)</f>
        <v>9.34</v>
      </c>
      <c r="G19" s="202">
        <v>181.9</v>
      </c>
      <c r="H19" s="203">
        <f t="shared" si="0"/>
        <v>1.6989460000000001</v>
      </c>
      <c r="I19" s="18">
        <v>0</v>
      </c>
      <c r="J19" s="34"/>
      <c r="K19" s="8"/>
      <c r="L19" s="8"/>
      <c r="M19" s="8"/>
    </row>
    <row r="20" spans="1:13" ht="15.75" hidden="1" customHeight="1">
      <c r="A20" s="49"/>
      <c r="B20" s="199" t="s">
        <v>155</v>
      </c>
      <c r="C20" s="200" t="s">
        <v>151</v>
      </c>
      <c r="D20" s="199" t="s">
        <v>54</v>
      </c>
      <c r="E20" s="201">
        <v>43.2</v>
      </c>
      <c r="F20" s="202">
        <f>SUM(E20*2/100)</f>
        <v>0.8640000000000001</v>
      </c>
      <c r="G20" s="202">
        <v>232.91</v>
      </c>
      <c r="H20" s="203">
        <f t="shared" si="0"/>
        <v>0.20123424000000004</v>
      </c>
      <c r="I20" s="18">
        <v>0</v>
      </c>
      <c r="J20" s="34"/>
      <c r="K20" s="8"/>
      <c r="L20" s="8"/>
      <c r="M20" s="8"/>
    </row>
    <row r="21" spans="1:13" ht="15.75" hidden="1" customHeight="1">
      <c r="A21" s="49"/>
      <c r="B21" s="199" t="s">
        <v>156</v>
      </c>
      <c r="C21" s="200" t="s">
        <v>151</v>
      </c>
      <c r="D21" s="199" t="s">
        <v>54</v>
      </c>
      <c r="E21" s="201">
        <v>10.08</v>
      </c>
      <c r="F21" s="202">
        <f>SUM(E21*2/100)</f>
        <v>0.2016</v>
      </c>
      <c r="G21" s="202">
        <v>231.03</v>
      </c>
      <c r="H21" s="203">
        <f t="shared" si="0"/>
        <v>4.6575648000000004E-2</v>
      </c>
      <c r="I21" s="18">
        <v>0</v>
      </c>
      <c r="J21" s="34"/>
      <c r="K21" s="8"/>
      <c r="L21" s="8"/>
      <c r="M21" s="8"/>
    </row>
    <row r="22" spans="1:13" ht="15.75" hidden="1" customHeight="1">
      <c r="A22" s="49"/>
      <c r="B22" s="199" t="s">
        <v>157</v>
      </c>
      <c r="C22" s="200" t="s">
        <v>66</v>
      </c>
      <c r="D22" s="199" t="s">
        <v>154</v>
      </c>
      <c r="E22" s="201">
        <v>642.6</v>
      </c>
      <c r="F22" s="202">
        <f>SUM(E22/100)</f>
        <v>6.4260000000000002</v>
      </c>
      <c r="G22" s="202">
        <v>287.83999999999997</v>
      </c>
      <c r="H22" s="203">
        <f t="shared" si="0"/>
        <v>1.8496598399999997</v>
      </c>
      <c r="I22" s="18">
        <v>0</v>
      </c>
      <c r="J22" s="34"/>
      <c r="K22" s="8"/>
      <c r="L22" s="8"/>
      <c r="M22" s="8"/>
    </row>
    <row r="23" spans="1:13" ht="15.75" hidden="1" customHeight="1">
      <c r="A23" s="49"/>
      <c r="B23" s="199" t="s">
        <v>158</v>
      </c>
      <c r="C23" s="200" t="s">
        <v>66</v>
      </c>
      <c r="D23" s="199" t="s">
        <v>154</v>
      </c>
      <c r="E23" s="204">
        <v>35.28</v>
      </c>
      <c r="F23" s="202">
        <f>SUM(E23/100)</f>
        <v>0.3528</v>
      </c>
      <c r="G23" s="202">
        <v>47.35</v>
      </c>
      <c r="H23" s="203">
        <f t="shared" si="0"/>
        <v>1.6705080000000004E-2</v>
      </c>
      <c r="I23" s="18">
        <v>0</v>
      </c>
      <c r="J23" s="34"/>
      <c r="K23" s="8"/>
      <c r="L23" s="8"/>
      <c r="M23" s="8"/>
    </row>
    <row r="24" spans="1:13" ht="15.75" hidden="1" customHeight="1">
      <c r="A24" s="49"/>
      <c r="B24" s="199" t="s">
        <v>159</v>
      </c>
      <c r="C24" s="200" t="s">
        <v>66</v>
      </c>
      <c r="D24" s="199" t="s">
        <v>154</v>
      </c>
      <c r="E24" s="201">
        <v>28.8</v>
      </c>
      <c r="F24" s="202">
        <f>SUM(E24/100)</f>
        <v>0.28800000000000003</v>
      </c>
      <c r="G24" s="202">
        <v>556.74</v>
      </c>
      <c r="H24" s="203">
        <f t="shared" si="0"/>
        <v>0.16034112000000003</v>
      </c>
      <c r="I24" s="18">
        <v>0</v>
      </c>
      <c r="J24" s="34"/>
      <c r="K24" s="8"/>
      <c r="L24" s="8"/>
      <c r="M24" s="8"/>
    </row>
    <row r="25" spans="1:13" ht="15.75" customHeight="1">
      <c r="A25" s="49">
        <v>4</v>
      </c>
      <c r="B25" s="199" t="s">
        <v>85</v>
      </c>
      <c r="C25" s="200" t="s">
        <v>39</v>
      </c>
      <c r="D25" s="199" t="s">
        <v>219</v>
      </c>
      <c r="E25" s="201">
        <v>0.1</v>
      </c>
      <c r="F25" s="202">
        <f>SUM(E25*365)</f>
        <v>36.5</v>
      </c>
      <c r="G25" s="202">
        <v>157.18</v>
      </c>
      <c r="H25" s="203">
        <f>SUM(F25*G25/1000)</f>
        <v>5.737070000000001</v>
      </c>
      <c r="I25" s="18">
        <f>F25/12*G25</f>
        <v>478.08916666666664</v>
      </c>
      <c r="J25" s="34"/>
      <c r="K25" s="8"/>
      <c r="L25" s="8"/>
      <c r="M25" s="8"/>
    </row>
    <row r="26" spans="1:13" ht="15.75" customHeight="1">
      <c r="A26" s="49">
        <v>5</v>
      </c>
      <c r="B26" s="207" t="s">
        <v>26</v>
      </c>
      <c r="C26" s="200" t="s">
        <v>27</v>
      </c>
      <c r="D26" s="207" t="s">
        <v>207</v>
      </c>
      <c r="E26" s="201">
        <v>3945</v>
      </c>
      <c r="F26" s="202">
        <f>SUM(E26*12)</f>
        <v>47340</v>
      </c>
      <c r="G26" s="202">
        <v>5.33</v>
      </c>
      <c r="H26" s="203">
        <f>SUM(F26*G26/1000)</f>
        <v>252.32220000000001</v>
      </c>
      <c r="I26" s="18">
        <f>F26/12*G26</f>
        <v>21026.85</v>
      </c>
      <c r="J26" s="35"/>
    </row>
    <row r="27" spans="1:13" ht="15.75" customHeight="1">
      <c r="A27" s="245" t="s">
        <v>119</v>
      </c>
      <c r="B27" s="246"/>
      <c r="C27" s="246"/>
      <c r="D27" s="246"/>
      <c r="E27" s="246"/>
      <c r="F27" s="246"/>
      <c r="G27" s="246"/>
      <c r="H27" s="246"/>
      <c r="I27" s="247"/>
      <c r="J27" s="34"/>
      <c r="K27" s="8"/>
      <c r="L27" s="8"/>
      <c r="M27" s="8"/>
    </row>
    <row r="28" spans="1:13" ht="15.75" customHeight="1">
      <c r="A28" s="49"/>
      <c r="B28" s="224" t="s">
        <v>34</v>
      </c>
      <c r="C28" s="200"/>
      <c r="D28" s="199"/>
      <c r="E28" s="201"/>
      <c r="F28" s="202"/>
      <c r="G28" s="202"/>
      <c r="H28" s="203"/>
      <c r="I28" s="18"/>
      <c r="J28" s="34"/>
      <c r="K28" s="8"/>
      <c r="L28" s="8"/>
      <c r="M28" s="8"/>
    </row>
    <row r="29" spans="1:13" ht="31.5" customHeight="1">
      <c r="A29" s="49">
        <v>6</v>
      </c>
      <c r="B29" s="199" t="s">
        <v>160</v>
      </c>
      <c r="C29" s="200" t="s">
        <v>216</v>
      </c>
      <c r="D29" s="199" t="s">
        <v>217</v>
      </c>
      <c r="E29" s="202">
        <v>1044.6500000000001</v>
      </c>
      <c r="F29" s="202">
        <f>SUM(E29*52/1000)</f>
        <v>54.321800000000003</v>
      </c>
      <c r="G29" s="202">
        <v>166.65</v>
      </c>
      <c r="H29" s="203">
        <f t="shared" ref="H29:H35" si="1">SUM(F29*G29/1000)</f>
        <v>9.0527279700000012</v>
      </c>
      <c r="I29" s="18">
        <f>F29/6*G29</f>
        <v>1508.7879950000001</v>
      </c>
      <c r="J29" s="34"/>
      <c r="K29" s="8"/>
      <c r="L29" s="8"/>
      <c r="M29" s="8"/>
    </row>
    <row r="30" spans="1:13" ht="31.5" customHeight="1">
      <c r="A30" s="49">
        <v>7</v>
      </c>
      <c r="B30" s="199" t="s">
        <v>235</v>
      </c>
      <c r="C30" s="200" t="s">
        <v>161</v>
      </c>
      <c r="D30" s="199" t="s">
        <v>218</v>
      </c>
      <c r="E30" s="202">
        <v>116.93</v>
      </c>
      <c r="F30" s="202">
        <f>SUM(E30*78/1000)</f>
        <v>9.1205400000000001</v>
      </c>
      <c r="G30" s="202">
        <v>276.48</v>
      </c>
      <c r="H30" s="203">
        <f t="shared" si="1"/>
        <v>2.5216468991999998</v>
      </c>
      <c r="I30" s="18">
        <f t="shared" ref="I30:I33" si="2">F30/6*G30</f>
        <v>420.27448320000002</v>
      </c>
      <c r="J30" s="34"/>
      <c r="K30" s="8"/>
      <c r="L30" s="8"/>
      <c r="M30" s="8"/>
    </row>
    <row r="31" spans="1:13" ht="15.75" hidden="1" customHeight="1">
      <c r="A31" s="49"/>
      <c r="B31" s="199" t="s">
        <v>33</v>
      </c>
      <c r="C31" s="200" t="s">
        <v>161</v>
      </c>
      <c r="D31" s="199" t="s">
        <v>67</v>
      </c>
      <c r="E31" s="202">
        <v>1044.6500000000001</v>
      </c>
      <c r="F31" s="202">
        <f>SUM(E31/1000)</f>
        <v>1.0446500000000001</v>
      </c>
      <c r="G31" s="202">
        <v>3228.73</v>
      </c>
      <c r="H31" s="203">
        <f t="shared" si="1"/>
        <v>3.3728927945000007</v>
      </c>
      <c r="I31" s="18">
        <f>F31*G31</f>
        <v>3372.8927945000005</v>
      </c>
      <c r="J31" s="34"/>
      <c r="K31" s="8"/>
      <c r="L31" s="8"/>
      <c r="M31" s="8"/>
    </row>
    <row r="32" spans="1:13" ht="15.75" customHeight="1">
      <c r="A32" s="49">
        <v>8</v>
      </c>
      <c r="B32" s="199" t="s">
        <v>193</v>
      </c>
      <c r="C32" s="200" t="s">
        <v>50</v>
      </c>
      <c r="D32" s="199" t="s">
        <v>84</v>
      </c>
      <c r="E32" s="202">
        <v>6</v>
      </c>
      <c r="F32" s="202">
        <v>9.3000000000000007</v>
      </c>
      <c r="G32" s="202">
        <v>1391.86</v>
      </c>
      <c r="H32" s="203">
        <f>G32*F32/1000</f>
        <v>12.944298</v>
      </c>
      <c r="I32" s="18">
        <f t="shared" si="2"/>
        <v>2157.3829999999998</v>
      </c>
      <c r="J32" s="34"/>
      <c r="K32" s="8"/>
      <c r="L32" s="8"/>
      <c r="M32" s="8"/>
    </row>
    <row r="33" spans="1:14" ht="15.75" customHeight="1">
      <c r="A33" s="49">
        <v>9</v>
      </c>
      <c r="B33" s="199" t="s">
        <v>165</v>
      </c>
      <c r="C33" s="200" t="s">
        <v>37</v>
      </c>
      <c r="D33" s="199" t="s">
        <v>84</v>
      </c>
      <c r="E33" s="206">
        <v>0.33333333333333331</v>
      </c>
      <c r="F33" s="202">
        <f>155/3</f>
        <v>51.666666666666664</v>
      </c>
      <c r="G33" s="202">
        <v>60.6</v>
      </c>
      <c r="H33" s="203">
        <f>SUM(G33*155/3/1000)</f>
        <v>3.1309999999999998</v>
      </c>
      <c r="I33" s="18">
        <f t="shared" si="2"/>
        <v>521.83333333333337</v>
      </c>
      <c r="J33" s="34"/>
      <c r="K33" s="8"/>
      <c r="L33" s="8"/>
      <c r="M33" s="8"/>
    </row>
    <row r="34" spans="1:14" ht="15.75" hidden="1" customHeight="1">
      <c r="A34" s="49"/>
      <c r="B34" s="199" t="s">
        <v>86</v>
      </c>
      <c r="C34" s="200" t="s">
        <v>39</v>
      </c>
      <c r="D34" s="199" t="s">
        <v>88</v>
      </c>
      <c r="E34" s="201"/>
      <c r="F34" s="202">
        <v>3</v>
      </c>
      <c r="G34" s="202">
        <v>204.52</v>
      </c>
      <c r="H34" s="203">
        <f t="shared" si="1"/>
        <v>0.61356000000000011</v>
      </c>
      <c r="I34" s="18">
        <v>0</v>
      </c>
      <c r="J34" s="34"/>
      <c r="K34" s="8"/>
    </row>
    <row r="35" spans="1:14" ht="15.75" hidden="1" customHeight="1">
      <c r="A35" s="49"/>
      <c r="B35" s="199" t="s">
        <v>87</v>
      </c>
      <c r="C35" s="200" t="s">
        <v>38</v>
      </c>
      <c r="D35" s="199" t="s">
        <v>88</v>
      </c>
      <c r="E35" s="201"/>
      <c r="F35" s="202">
        <v>2</v>
      </c>
      <c r="G35" s="202">
        <v>1136.33</v>
      </c>
      <c r="H35" s="203">
        <f t="shared" si="1"/>
        <v>2.2726599999999997</v>
      </c>
      <c r="I35" s="18">
        <v>0</v>
      </c>
      <c r="J35" s="35"/>
    </row>
    <row r="36" spans="1:14" ht="15.75" hidden="1" customHeight="1">
      <c r="A36" s="49"/>
      <c r="B36" s="224" t="s">
        <v>5</v>
      </c>
      <c r="C36" s="200"/>
      <c r="D36" s="199"/>
      <c r="E36" s="201"/>
      <c r="F36" s="202"/>
      <c r="G36" s="202"/>
      <c r="H36" s="203" t="s">
        <v>207</v>
      </c>
      <c r="I36" s="18"/>
      <c r="J36" s="35"/>
    </row>
    <row r="37" spans="1:14" ht="15.75" hidden="1" customHeight="1">
      <c r="A37" s="49">
        <v>6</v>
      </c>
      <c r="B37" s="199" t="s">
        <v>31</v>
      </c>
      <c r="C37" s="200" t="s">
        <v>38</v>
      </c>
      <c r="D37" s="199"/>
      <c r="E37" s="201"/>
      <c r="F37" s="202">
        <v>8</v>
      </c>
      <c r="G37" s="202">
        <v>1632.6</v>
      </c>
      <c r="H37" s="203">
        <f t="shared" ref="H37:H44" si="3">SUM(F37*G37/1000)</f>
        <v>13.060799999999999</v>
      </c>
      <c r="I37" s="18">
        <f>F37/6*G37</f>
        <v>2176.7999999999997</v>
      </c>
      <c r="J37" s="35"/>
    </row>
    <row r="38" spans="1:14" ht="15.75" hidden="1" customHeight="1">
      <c r="A38" s="49">
        <v>7</v>
      </c>
      <c r="B38" s="199" t="s">
        <v>135</v>
      </c>
      <c r="C38" s="200" t="s">
        <v>35</v>
      </c>
      <c r="D38" s="199" t="s">
        <v>194</v>
      </c>
      <c r="E38" s="201">
        <v>477.19</v>
      </c>
      <c r="F38" s="202">
        <f>E38*12/1000</f>
        <v>5.72628</v>
      </c>
      <c r="G38" s="202">
        <v>2247.8000000000002</v>
      </c>
      <c r="H38" s="203">
        <f>G38*F38/1000</f>
        <v>12.871532184000001</v>
      </c>
      <c r="I38" s="18">
        <f>F38/6*G38</f>
        <v>2145.2553640000001</v>
      </c>
      <c r="J38" s="35"/>
    </row>
    <row r="39" spans="1:14" ht="15.75" hidden="1" customHeight="1">
      <c r="A39" s="49">
        <v>8</v>
      </c>
      <c r="B39" s="199" t="s">
        <v>167</v>
      </c>
      <c r="C39" s="200" t="s">
        <v>35</v>
      </c>
      <c r="D39" s="199" t="s">
        <v>166</v>
      </c>
      <c r="E39" s="201">
        <v>116.93</v>
      </c>
      <c r="F39" s="202">
        <f>E39*30/1000</f>
        <v>3.5079000000000002</v>
      </c>
      <c r="G39" s="202">
        <v>2247.8000000000002</v>
      </c>
      <c r="H39" s="203">
        <f>G39*F39/1000</f>
        <v>7.8850576200000013</v>
      </c>
      <c r="I39" s="18">
        <f>F39/6*G39</f>
        <v>1314.1762700000002</v>
      </c>
      <c r="J39" s="35"/>
    </row>
    <row r="40" spans="1:14" ht="15.75" hidden="1" customHeight="1">
      <c r="A40" s="49"/>
      <c r="B40" s="199" t="s">
        <v>169</v>
      </c>
      <c r="C40" s="200" t="s">
        <v>170</v>
      </c>
      <c r="D40" s="199" t="s">
        <v>88</v>
      </c>
      <c r="E40" s="201"/>
      <c r="F40" s="202">
        <v>135</v>
      </c>
      <c r="G40" s="202">
        <v>213.2</v>
      </c>
      <c r="H40" s="203">
        <f>G40*F40/1000</f>
        <v>28.782</v>
      </c>
      <c r="I40" s="18">
        <v>0</v>
      </c>
      <c r="J40" s="35"/>
      <c r="L40" s="27"/>
      <c r="M40" s="28"/>
      <c r="N40" s="29"/>
    </row>
    <row r="41" spans="1:14" ht="15.75" hidden="1" customHeight="1">
      <c r="A41" s="49">
        <v>9</v>
      </c>
      <c r="B41" s="199" t="s">
        <v>89</v>
      </c>
      <c r="C41" s="200" t="s">
        <v>35</v>
      </c>
      <c r="D41" s="199" t="s">
        <v>168</v>
      </c>
      <c r="E41" s="202">
        <v>116.93</v>
      </c>
      <c r="F41" s="202">
        <f>SUM(E41*155/1000)</f>
        <v>18.12415</v>
      </c>
      <c r="G41" s="202">
        <v>374.95</v>
      </c>
      <c r="H41" s="203">
        <f t="shared" si="3"/>
        <v>6.7956500424999993</v>
      </c>
      <c r="I41" s="18">
        <f>F41/6*G41</f>
        <v>1132.6083404166666</v>
      </c>
      <c r="J41" s="35"/>
      <c r="L41" s="27"/>
      <c r="M41" s="28"/>
      <c r="N41" s="29"/>
    </row>
    <row r="42" spans="1:14" ht="47.25" hidden="1" customHeight="1">
      <c r="A42" s="49">
        <v>10</v>
      </c>
      <c r="B42" s="199" t="s">
        <v>115</v>
      </c>
      <c r="C42" s="200" t="s">
        <v>161</v>
      </c>
      <c r="D42" s="199" t="s">
        <v>196</v>
      </c>
      <c r="E42" s="202">
        <v>116.93</v>
      </c>
      <c r="F42" s="202">
        <f>SUM(E42*24/1000)</f>
        <v>2.8063200000000004</v>
      </c>
      <c r="G42" s="202">
        <v>6203.71</v>
      </c>
      <c r="H42" s="203">
        <f t="shared" si="3"/>
        <v>17.409595447200001</v>
      </c>
      <c r="I42" s="18">
        <f>F42/6*G42</f>
        <v>2901.5992412000005</v>
      </c>
      <c r="J42" s="35"/>
      <c r="L42" s="27"/>
      <c r="M42" s="28"/>
      <c r="N42" s="29"/>
    </row>
    <row r="43" spans="1:14" ht="15.75" hidden="1" customHeight="1">
      <c r="A43" s="49">
        <v>11</v>
      </c>
      <c r="B43" s="199" t="s">
        <v>171</v>
      </c>
      <c r="C43" s="200" t="s">
        <v>161</v>
      </c>
      <c r="D43" s="199" t="s">
        <v>90</v>
      </c>
      <c r="E43" s="202">
        <v>116.93</v>
      </c>
      <c r="F43" s="202">
        <f>SUM(E43*45/1000)</f>
        <v>5.2618500000000008</v>
      </c>
      <c r="G43" s="202">
        <v>458.28</v>
      </c>
      <c r="H43" s="203">
        <f t="shared" si="3"/>
        <v>2.4114006180000001</v>
      </c>
      <c r="I43" s="18">
        <f>F43/6*G43</f>
        <v>401.90010300000006</v>
      </c>
      <c r="J43" s="35"/>
      <c r="L43" s="27"/>
      <c r="M43" s="28"/>
      <c r="N43" s="29"/>
    </row>
    <row r="44" spans="1:14" ht="15.75" hidden="1" customHeight="1">
      <c r="A44" s="49">
        <v>12</v>
      </c>
      <c r="B44" s="199" t="s">
        <v>91</v>
      </c>
      <c r="C44" s="200" t="s">
        <v>39</v>
      </c>
      <c r="D44" s="199"/>
      <c r="E44" s="201"/>
      <c r="F44" s="202">
        <v>0.9</v>
      </c>
      <c r="G44" s="202">
        <v>798</v>
      </c>
      <c r="H44" s="203">
        <f t="shared" si="3"/>
        <v>0.71820000000000006</v>
      </c>
      <c r="I44" s="18">
        <f>F44/6*G44</f>
        <v>119.69999999999999</v>
      </c>
      <c r="J44" s="35"/>
      <c r="L44" s="27"/>
      <c r="M44" s="28"/>
      <c r="N44" s="29"/>
    </row>
    <row r="45" spans="1:14" ht="15.75" customHeight="1">
      <c r="A45" s="245" t="s">
        <v>236</v>
      </c>
      <c r="B45" s="246"/>
      <c r="C45" s="246"/>
      <c r="D45" s="246"/>
      <c r="E45" s="246"/>
      <c r="F45" s="246"/>
      <c r="G45" s="246"/>
      <c r="H45" s="246"/>
      <c r="I45" s="247"/>
      <c r="J45" s="35"/>
      <c r="L45" s="27"/>
      <c r="M45" s="28"/>
      <c r="N45" s="29"/>
    </row>
    <row r="46" spans="1:14" ht="15.75" hidden="1" customHeight="1">
      <c r="A46" s="49"/>
      <c r="B46" s="199" t="s">
        <v>198</v>
      </c>
      <c r="C46" s="200" t="s">
        <v>161</v>
      </c>
      <c r="D46" s="199" t="s">
        <v>54</v>
      </c>
      <c r="E46" s="201">
        <v>1030.4000000000001</v>
      </c>
      <c r="F46" s="202">
        <f>SUM(E46*2/1000)</f>
        <v>2.0608</v>
      </c>
      <c r="G46" s="18">
        <v>908.1</v>
      </c>
      <c r="H46" s="203">
        <f t="shared" ref="H46:H55" si="4">SUM(F46*G46/1000)</f>
        <v>1.87141248</v>
      </c>
      <c r="I46" s="18">
        <v>0</v>
      </c>
      <c r="J46" s="35"/>
      <c r="L46" s="27"/>
      <c r="M46" s="28"/>
      <c r="N46" s="29"/>
    </row>
    <row r="47" spans="1:14" ht="15.75" hidden="1" customHeight="1">
      <c r="A47" s="49"/>
      <c r="B47" s="199" t="s">
        <v>43</v>
      </c>
      <c r="C47" s="200" t="s">
        <v>161</v>
      </c>
      <c r="D47" s="199" t="s">
        <v>54</v>
      </c>
      <c r="E47" s="201">
        <v>132</v>
      </c>
      <c r="F47" s="202">
        <f>E47*2/1000</f>
        <v>0.26400000000000001</v>
      </c>
      <c r="G47" s="18">
        <v>619.46</v>
      </c>
      <c r="H47" s="203">
        <f t="shared" si="4"/>
        <v>0.16353744000000001</v>
      </c>
      <c r="I47" s="18">
        <v>0</v>
      </c>
      <c r="J47" s="35"/>
      <c r="L47" s="27"/>
      <c r="M47" s="28"/>
      <c r="N47" s="29"/>
    </row>
    <row r="48" spans="1:14" ht="15.75" hidden="1" customHeight="1">
      <c r="A48" s="49"/>
      <c r="B48" s="199" t="s">
        <v>44</v>
      </c>
      <c r="C48" s="200" t="s">
        <v>161</v>
      </c>
      <c r="D48" s="199" t="s">
        <v>54</v>
      </c>
      <c r="E48" s="201">
        <v>4248.22</v>
      </c>
      <c r="F48" s="202">
        <f>SUM(E48*2/1000)</f>
        <v>8.4964399999999998</v>
      </c>
      <c r="G48" s="18">
        <v>619.46</v>
      </c>
      <c r="H48" s="203">
        <f t="shared" si="4"/>
        <v>5.2632047223999994</v>
      </c>
      <c r="I48" s="18">
        <v>0</v>
      </c>
      <c r="J48" s="35"/>
      <c r="L48" s="27"/>
      <c r="M48" s="28"/>
      <c r="N48" s="29"/>
    </row>
    <row r="49" spans="1:14" ht="15.75" hidden="1" customHeight="1">
      <c r="A49" s="49"/>
      <c r="B49" s="199" t="s">
        <v>45</v>
      </c>
      <c r="C49" s="200" t="s">
        <v>161</v>
      </c>
      <c r="D49" s="199" t="s">
        <v>54</v>
      </c>
      <c r="E49" s="201">
        <v>2163.66</v>
      </c>
      <c r="F49" s="202">
        <f>SUM(E49*2/1000)</f>
        <v>4.3273199999999994</v>
      </c>
      <c r="G49" s="18">
        <v>648.64</v>
      </c>
      <c r="H49" s="203">
        <f t="shared" si="4"/>
        <v>2.8068728447999995</v>
      </c>
      <c r="I49" s="18">
        <v>0</v>
      </c>
      <c r="J49" s="35"/>
      <c r="L49" s="27"/>
      <c r="M49" s="28"/>
      <c r="N49" s="29"/>
    </row>
    <row r="50" spans="1:14" ht="31.5" hidden="1" customHeight="1">
      <c r="A50" s="49">
        <v>13</v>
      </c>
      <c r="B50" s="199" t="s">
        <v>71</v>
      </c>
      <c r="C50" s="200" t="s">
        <v>161</v>
      </c>
      <c r="D50" s="199" t="s">
        <v>237</v>
      </c>
      <c r="E50" s="201">
        <v>1015.4</v>
      </c>
      <c r="F50" s="202">
        <f>SUM(E50*5/1000)</f>
        <v>5.077</v>
      </c>
      <c r="G50" s="18">
        <v>1297.28</v>
      </c>
      <c r="H50" s="203">
        <f t="shared" si="4"/>
        <v>6.5862905599999992</v>
      </c>
      <c r="I50" s="18">
        <f>F50/5*G50</f>
        <v>1317.258112</v>
      </c>
      <c r="J50" s="35"/>
      <c r="L50" s="27"/>
      <c r="M50" s="28"/>
      <c r="N50" s="29"/>
    </row>
    <row r="51" spans="1:14" ht="31.5" hidden="1" customHeight="1">
      <c r="A51" s="49"/>
      <c r="B51" s="199" t="s">
        <v>173</v>
      </c>
      <c r="C51" s="200" t="s">
        <v>161</v>
      </c>
      <c r="D51" s="199" t="s">
        <v>54</v>
      </c>
      <c r="E51" s="201">
        <v>1015.4</v>
      </c>
      <c r="F51" s="202">
        <f>SUM(E51*2/1000)</f>
        <v>2.0308000000000002</v>
      </c>
      <c r="G51" s="18">
        <v>1297.28</v>
      </c>
      <c r="H51" s="203">
        <f t="shared" si="4"/>
        <v>2.634516224</v>
      </c>
      <c r="I51" s="18">
        <v>0</v>
      </c>
      <c r="J51" s="35"/>
      <c r="L51" s="27"/>
      <c r="M51" s="28"/>
      <c r="N51" s="29"/>
    </row>
    <row r="52" spans="1:14" ht="31.5" hidden="1" customHeight="1">
      <c r="A52" s="49"/>
      <c r="B52" s="199" t="s">
        <v>174</v>
      </c>
      <c r="C52" s="200" t="s">
        <v>48</v>
      </c>
      <c r="D52" s="199" t="s">
        <v>54</v>
      </c>
      <c r="E52" s="201">
        <v>30</v>
      </c>
      <c r="F52" s="202">
        <f>SUM(E52*2/100)</f>
        <v>0.6</v>
      </c>
      <c r="G52" s="18">
        <v>2918.89</v>
      </c>
      <c r="H52" s="203">
        <f t="shared" si="4"/>
        <v>1.7513339999999997</v>
      </c>
      <c r="I52" s="18">
        <v>0</v>
      </c>
      <c r="J52" s="35"/>
      <c r="L52" s="27"/>
      <c r="M52" s="28"/>
      <c r="N52" s="29"/>
    </row>
    <row r="53" spans="1:14" ht="15.75" hidden="1" customHeight="1">
      <c r="A53" s="49"/>
      <c r="B53" s="199" t="s">
        <v>49</v>
      </c>
      <c r="C53" s="200" t="s">
        <v>50</v>
      </c>
      <c r="D53" s="199" t="s">
        <v>54</v>
      </c>
      <c r="E53" s="201">
        <v>1</v>
      </c>
      <c r="F53" s="202">
        <v>0.02</v>
      </c>
      <c r="G53" s="18">
        <v>6042.13</v>
      </c>
      <c r="H53" s="203">
        <f t="shared" si="4"/>
        <v>0.12084260000000001</v>
      </c>
      <c r="I53" s="18">
        <v>0</v>
      </c>
      <c r="J53" s="35"/>
      <c r="L53" s="27"/>
      <c r="M53" s="28"/>
      <c r="N53" s="29"/>
    </row>
    <row r="54" spans="1:14" ht="15.75" customHeight="1">
      <c r="A54" s="49">
        <v>10</v>
      </c>
      <c r="B54" s="199" t="s">
        <v>197</v>
      </c>
      <c r="C54" s="200" t="s">
        <v>144</v>
      </c>
      <c r="D54" s="199" t="s">
        <v>92</v>
      </c>
      <c r="E54" s="201">
        <v>90</v>
      </c>
      <c r="F54" s="202">
        <f>E54*4</f>
        <v>360</v>
      </c>
      <c r="G54" s="18">
        <v>150.86000000000001</v>
      </c>
      <c r="H54" s="203">
        <f>F54*G54/1000</f>
        <v>54.309600000000003</v>
      </c>
      <c r="I54" s="18">
        <f>G54*E54</f>
        <v>13577.400000000001</v>
      </c>
      <c r="J54" s="35"/>
      <c r="L54" s="27"/>
      <c r="M54" s="28"/>
      <c r="N54" s="29"/>
    </row>
    <row r="55" spans="1:14" ht="15.75" customHeight="1">
      <c r="A55" s="49">
        <v>11</v>
      </c>
      <c r="B55" s="199" t="s">
        <v>53</v>
      </c>
      <c r="C55" s="200" t="s">
        <v>144</v>
      </c>
      <c r="D55" s="199" t="s">
        <v>92</v>
      </c>
      <c r="E55" s="201">
        <v>180</v>
      </c>
      <c r="F55" s="202">
        <f>SUM(E55)*3</f>
        <v>540</v>
      </c>
      <c r="G55" s="18">
        <v>70.2</v>
      </c>
      <c r="H55" s="203">
        <f t="shared" si="4"/>
        <v>37.908000000000001</v>
      </c>
      <c r="I55" s="18">
        <f>G55*E55</f>
        <v>12636</v>
      </c>
      <c r="J55" s="35"/>
      <c r="L55" s="27"/>
      <c r="M55" s="28"/>
      <c r="N55" s="29"/>
    </row>
    <row r="56" spans="1:14" ht="15.75" customHeight="1">
      <c r="A56" s="245" t="s">
        <v>238</v>
      </c>
      <c r="B56" s="246"/>
      <c r="C56" s="246"/>
      <c r="D56" s="246"/>
      <c r="E56" s="246"/>
      <c r="F56" s="246"/>
      <c r="G56" s="246"/>
      <c r="H56" s="246"/>
      <c r="I56" s="247"/>
      <c r="J56" s="35"/>
      <c r="L56" s="27"/>
      <c r="M56" s="28"/>
      <c r="N56" s="29"/>
    </row>
    <row r="57" spans="1:14" ht="15.75" hidden="1" customHeight="1">
      <c r="A57" s="49"/>
      <c r="B57" s="224" t="s">
        <v>55</v>
      </c>
      <c r="C57" s="200"/>
      <c r="D57" s="199"/>
      <c r="E57" s="201"/>
      <c r="F57" s="202"/>
      <c r="G57" s="202"/>
      <c r="H57" s="203"/>
      <c r="I57" s="18"/>
      <c r="J57" s="35"/>
      <c r="L57" s="27"/>
      <c r="M57" s="28"/>
      <c r="N57" s="29"/>
    </row>
    <row r="58" spans="1:14" ht="31.5" hidden="1" customHeight="1">
      <c r="A58" s="49">
        <v>16</v>
      </c>
      <c r="B58" s="199" t="s">
        <v>199</v>
      </c>
      <c r="C58" s="200" t="s">
        <v>151</v>
      </c>
      <c r="D58" s="199" t="s">
        <v>175</v>
      </c>
      <c r="E58" s="201">
        <v>148.04</v>
      </c>
      <c r="F58" s="202">
        <f>SUM(E58*6/100)</f>
        <v>8.8824000000000005</v>
      </c>
      <c r="G58" s="18">
        <v>1654.04</v>
      </c>
      <c r="H58" s="203">
        <f>SUM(F58*G58/1000)</f>
        <v>14.691844896000001</v>
      </c>
      <c r="I58" s="18">
        <f>F58/6*G58</f>
        <v>2448.6408160000001</v>
      </c>
      <c r="J58" s="35"/>
      <c r="L58" s="27"/>
      <c r="M58" s="28"/>
      <c r="N58" s="29"/>
    </row>
    <row r="59" spans="1:14" ht="31.5" hidden="1" customHeight="1">
      <c r="A59" s="49">
        <v>17</v>
      </c>
      <c r="B59" s="199" t="s">
        <v>142</v>
      </c>
      <c r="C59" s="200" t="s">
        <v>151</v>
      </c>
      <c r="D59" s="199" t="s">
        <v>143</v>
      </c>
      <c r="E59" s="201">
        <v>39.700000000000003</v>
      </c>
      <c r="F59" s="202">
        <f>SUM(E59*12/100)</f>
        <v>4.7640000000000002</v>
      </c>
      <c r="G59" s="18">
        <v>1654.04</v>
      </c>
      <c r="H59" s="203">
        <f>SUM(F59*G59/1000)</f>
        <v>7.8798465599999998</v>
      </c>
      <c r="I59" s="18">
        <f>F59/6*G59</f>
        <v>1313.3077600000001</v>
      </c>
      <c r="J59" s="35"/>
      <c r="L59" s="27"/>
      <c r="M59" s="28"/>
      <c r="N59" s="29"/>
    </row>
    <row r="60" spans="1:14" ht="15.75" hidden="1" customHeight="1">
      <c r="A60" s="49">
        <v>18</v>
      </c>
      <c r="B60" s="208" t="s">
        <v>200</v>
      </c>
      <c r="C60" s="209" t="s">
        <v>201</v>
      </c>
      <c r="D60" s="208" t="s">
        <v>54</v>
      </c>
      <c r="E60" s="210">
        <v>8</v>
      </c>
      <c r="F60" s="211">
        <v>16</v>
      </c>
      <c r="G60" s="18">
        <v>193.25</v>
      </c>
      <c r="H60" s="212">
        <f>F60*G60/1000</f>
        <v>3.0920000000000001</v>
      </c>
      <c r="I60" s="18">
        <f>F60/2*G60</f>
        <v>1546</v>
      </c>
      <c r="J60" s="35"/>
      <c r="L60" s="27"/>
      <c r="M60" s="28"/>
      <c r="N60" s="29"/>
    </row>
    <row r="61" spans="1:14" ht="15.75" hidden="1" customHeight="1">
      <c r="A61" s="49">
        <v>19</v>
      </c>
      <c r="B61" s="199" t="s">
        <v>202</v>
      </c>
      <c r="C61" s="200" t="s">
        <v>151</v>
      </c>
      <c r="D61" s="199" t="s">
        <v>175</v>
      </c>
      <c r="E61" s="201">
        <v>41.73</v>
      </c>
      <c r="F61" s="202">
        <f>SUM(E61*6/100)</f>
        <v>2.5038</v>
      </c>
      <c r="G61" s="18">
        <v>1654.04</v>
      </c>
      <c r="H61" s="203">
        <f>SUM(F61*G61/1000)</f>
        <v>4.1413853520000004</v>
      </c>
      <c r="I61" s="18">
        <f>F61/6*G61</f>
        <v>690.23089200000004</v>
      </c>
      <c r="J61" s="35"/>
      <c r="L61" s="27"/>
      <c r="M61" s="28"/>
      <c r="N61" s="29"/>
    </row>
    <row r="62" spans="1:14" ht="15.75" customHeight="1">
      <c r="A62" s="49"/>
      <c r="B62" s="225" t="s">
        <v>56</v>
      </c>
      <c r="C62" s="209"/>
      <c r="D62" s="208"/>
      <c r="E62" s="210"/>
      <c r="F62" s="211"/>
      <c r="G62" s="18"/>
      <c r="H62" s="212"/>
      <c r="I62" s="18"/>
      <c r="J62" s="35"/>
      <c r="L62" s="27"/>
      <c r="M62" s="28"/>
      <c r="N62" s="29"/>
    </row>
    <row r="63" spans="1:14" ht="15.75" hidden="1" customHeight="1">
      <c r="A63" s="49"/>
      <c r="B63" s="208" t="s">
        <v>57</v>
      </c>
      <c r="C63" s="209" t="s">
        <v>66</v>
      </c>
      <c r="D63" s="208" t="s">
        <v>67</v>
      </c>
      <c r="E63" s="210">
        <v>1015.4</v>
      </c>
      <c r="F63" s="211">
        <v>10.154</v>
      </c>
      <c r="G63" s="18">
        <v>848.37</v>
      </c>
      <c r="H63" s="212">
        <f>F63*G63/1000</f>
        <v>8.6143489800000008</v>
      </c>
      <c r="I63" s="18">
        <v>0</v>
      </c>
      <c r="J63" s="35"/>
      <c r="L63" s="27"/>
      <c r="M63" s="28"/>
      <c r="N63" s="29"/>
    </row>
    <row r="64" spans="1:14" ht="15.75" customHeight="1">
      <c r="A64" s="49">
        <v>12</v>
      </c>
      <c r="B64" s="208" t="s">
        <v>146</v>
      </c>
      <c r="C64" s="209" t="s">
        <v>29</v>
      </c>
      <c r="D64" s="208" t="s">
        <v>36</v>
      </c>
      <c r="E64" s="210">
        <v>203.1</v>
      </c>
      <c r="F64" s="213">
        <f>E64*12</f>
        <v>2437.1999999999998</v>
      </c>
      <c r="G64" s="194">
        <v>2.6</v>
      </c>
      <c r="H64" s="211">
        <f>F64*G64/1000</f>
        <v>6.3367199999999997</v>
      </c>
      <c r="I64" s="18">
        <f>F64/12*G64</f>
        <v>528.06000000000006</v>
      </c>
      <c r="J64" s="35"/>
      <c r="L64" s="27"/>
      <c r="M64" s="28"/>
      <c r="N64" s="29"/>
    </row>
    <row r="65" spans="1:21" ht="15.75" hidden="1" customHeight="1">
      <c r="A65" s="49"/>
      <c r="B65" s="225" t="s">
        <v>58</v>
      </c>
      <c r="C65" s="209"/>
      <c r="D65" s="208"/>
      <c r="E65" s="210"/>
      <c r="F65" s="213"/>
      <c r="G65" s="213"/>
      <c r="H65" s="211" t="s">
        <v>207</v>
      </c>
      <c r="I65" s="18"/>
      <c r="J65" s="35"/>
      <c r="L65" s="27"/>
    </row>
    <row r="66" spans="1:21" ht="15.75" hidden="1" customHeight="1">
      <c r="A66" s="49"/>
      <c r="B66" s="20" t="s">
        <v>59</v>
      </c>
      <c r="C66" s="22" t="s">
        <v>144</v>
      </c>
      <c r="D66" s="20" t="s">
        <v>88</v>
      </c>
      <c r="E66" s="25">
        <v>10</v>
      </c>
      <c r="F66" s="202">
        <v>10</v>
      </c>
      <c r="G66" s="18">
        <v>237.75</v>
      </c>
      <c r="H66" s="214">
        <f t="shared" ref="H66:H79" si="5">SUM(F66*G66/1000)</f>
        <v>2.3774999999999999</v>
      </c>
      <c r="I66" s="18">
        <v>0</v>
      </c>
      <c r="J66" s="35"/>
      <c r="L66" s="27"/>
    </row>
    <row r="67" spans="1:21" ht="15.75" hidden="1" customHeight="1">
      <c r="A67" s="49"/>
      <c r="B67" s="20" t="s">
        <v>60</v>
      </c>
      <c r="C67" s="22" t="s">
        <v>144</v>
      </c>
      <c r="D67" s="20" t="s">
        <v>88</v>
      </c>
      <c r="E67" s="25">
        <v>5</v>
      </c>
      <c r="F67" s="202">
        <v>5</v>
      </c>
      <c r="G67" s="18">
        <v>81.510000000000005</v>
      </c>
      <c r="H67" s="214">
        <f t="shared" si="5"/>
        <v>0.40755000000000002</v>
      </c>
      <c r="I67" s="18">
        <v>0</v>
      </c>
      <c r="J67" s="35"/>
      <c r="L67" s="27"/>
    </row>
    <row r="68" spans="1:21" ht="15.75" hidden="1" customHeight="1">
      <c r="A68" s="49"/>
      <c r="B68" s="20" t="s">
        <v>61</v>
      </c>
      <c r="C68" s="22" t="s">
        <v>177</v>
      </c>
      <c r="D68" s="20" t="s">
        <v>67</v>
      </c>
      <c r="E68" s="201">
        <v>14205</v>
      </c>
      <c r="F68" s="18">
        <f>SUM(E68/100)</f>
        <v>142.05000000000001</v>
      </c>
      <c r="G68" s="18">
        <v>226.79</v>
      </c>
      <c r="H68" s="214">
        <f t="shared" si="5"/>
        <v>32.215519499999999</v>
      </c>
      <c r="I68" s="18">
        <v>0</v>
      </c>
    </row>
    <row r="69" spans="1:21" ht="15.75" hidden="1" customHeight="1">
      <c r="A69" s="49"/>
      <c r="B69" s="20" t="s">
        <v>62</v>
      </c>
      <c r="C69" s="22" t="s">
        <v>178</v>
      </c>
      <c r="D69" s="20" t="s">
        <v>67</v>
      </c>
      <c r="E69" s="201">
        <v>14205</v>
      </c>
      <c r="F69" s="18">
        <f>SUM(E69/1000)</f>
        <v>14.205</v>
      </c>
      <c r="G69" s="18">
        <v>176.61</v>
      </c>
      <c r="H69" s="214">
        <f t="shared" si="5"/>
        <v>2.5087450499999999</v>
      </c>
      <c r="I69" s="18">
        <v>0</v>
      </c>
      <c r="J69" s="40"/>
      <c r="K69" s="40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49"/>
      <c r="B70" s="20" t="s">
        <v>63</v>
      </c>
      <c r="C70" s="22" t="s">
        <v>98</v>
      </c>
      <c r="D70" s="20" t="s">
        <v>67</v>
      </c>
      <c r="E70" s="201">
        <v>2131</v>
      </c>
      <c r="F70" s="18">
        <f>SUM(E70/100)</f>
        <v>21.31</v>
      </c>
      <c r="G70" s="18">
        <v>2217.7800000000002</v>
      </c>
      <c r="H70" s="214">
        <f t="shared" si="5"/>
        <v>47.260891800000003</v>
      </c>
      <c r="I70" s="18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49"/>
      <c r="B71" s="215" t="s">
        <v>179</v>
      </c>
      <c r="C71" s="22" t="s">
        <v>39</v>
      </c>
      <c r="D71" s="20" t="s">
        <v>67</v>
      </c>
      <c r="E71" s="201">
        <v>12.48</v>
      </c>
      <c r="F71" s="18">
        <f>SUM(E71)</f>
        <v>12.48</v>
      </c>
      <c r="G71" s="18">
        <v>42.67</v>
      </c>
      <c r="H71" s="214">
        <f t="shared" si="5"/>
        <v>0.53252160000000004</v>
      </c>
      <c r="I71" s="18">
        <v>0</v>
      </c>
      <c r="J71" s="5"/>
      <c r="K71" s="5"/>
      <c r="L71" s="5"/>
      <c r="M71" s="5"/>
      <c r="N71" s="5"/>
      <c r="O71" s="5"/>
      <c r="P71" s="5"/>
      <c r="Q71" s="5"/>
      <c r="R71" s="248"/>
      <c r="S71" s="248"/>
      <c r="T71" s="248"/>
      <c r="U71" s="248"/>
    </row>
    <row r="72" spans="1:21" ht="15.75" hidden="1" customHeight="1">
      <c r="A72" s="49"/>
      <c r="B72" s="215" t="s">
        <v>180</v>
      </c>
      <c r="C72" s="22" t="s">
        <v>39</v>
      </c>
      <c r="D72" s="20" t="s">
        <v>67</v>
      </c>
      <c r="E72" s="201">
        <v>12.48</v>
      </c>
      <c r="F72" s="18">
        <f>SUM(E72)</f>
        <v>12.48</v>
      </c>
      <c r="G72" s="18">
        <v>39.81</v>
      </c>
      <c r="H72" s="214">
        <f t="shared" si="5"/>
        <v>0.49682880000000007</v>
      </c>
      <c r="I72" s="18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hidden="1" customHeight="1">
      <c r="A73" s="49"/>
      <c r="B73" s="20" t="s">
        <v>72</v>
      </c>
      <c r="C73" s="22" t="s">
        <v>73</v>
      </c>
      <c r="D73" s="20" t="s">
        <v>67</v>
      </c>
      <c r="E73" s="25">
        <v>5</v>
      </c>
      <c r="F73" s="202">
        <v>5</v>
      </c>
      <c r="G73" s="18">
        <v>53.32</v>
      </c>
      <c r="H73" s="214">
        <f t="shared" si="5"/>
        <v>0.2666</v>
      </c>
      <c r="I73" s="18">
        <v>0</v>
      </c>
    </row>
    <row r="74" spans="1:21" ht="15.75" hidden="1" customHeight="1">
      <c r="A74" s="49"/>
      <c r="B74" s="193" t="s">
        <v>93</v>
      </c>
      <c r="C74" s="22"/>
      <c r="D74" s="20"/>
      <c r="E74" s="25"/>
      <c r="F74" s="18"/>
      <c r="G74" s="18"/>
      <c r="H74" s="214" t="s">
        <v>207</v>
      </c>
      <c r="I74" s="18"/>
    </row>
    <row r="75" spans="1:21" ht="15.75" hidden="1" customHeight="1">
      <c r="A75" s="49">
        <v>21</v>
      </c>
      <c r="B75" s="20" t="s">
        <v>94</v>
      </c>
      <c r="C75" s="22" t="s">
        <v>96</v>
      </c>
      <c r="D75" s="20" t="s">
        <v>88</v>
      </c>
      <c r="E75" s="25">
        <v>2</v>
      </c>
      <c r="F75" s="18">
        <v>0.2</v>
      </c>
      <c r="G75" s="18">
        <v>536.23</v>
      </c>
      <c r="H75" s="214">
        <f t="shared" si="5"/>
        <v>0.10724600000000001</v>
      </c>
      <c r="I75" s="18">
        <f>G75*0.1</f>
        <v>53.623000000000005</v>
      </c>
    </row>
    <row r="76" spans="1:21" ht="15.75" hidden="1" customHeight="1">
      <c r="A76" s="49"/>
      <c r="B76" s="20" t="s">
        <v>95</v>
      </c>
      <c r="C76" s="22" t="s">
        <v>37</v>
      </c>
      <c r="D76" s="20" t="s">
        <v>88</v>
      </c>
      <c r="E76" s="25">
        <v>1</v>
      </c>
      <c r="F76" s="194">
        <v>1</v>
      </c>
      <c r="G76" s="18">
        <v>911.85</v>
      </c>
      <c r="H76" s="214">
        <f>F76*G76/1000</f>
        <v>0.91185000000000005</v>
      </c>
      <c r="I76" s="18">
        <v>0</v>
      </c>
    </row>
    <row r="77" spans="1:21" ht="15.75" hidden="1" customHeight="1">
      <c r="A77" s="49"/>
      <c r="B77" s="20" t="s">
        <v>203</v>
      </c>
      <c r="C77" s="22" t="s">
        <v>37</v>
      </c>
      <c r="D77" s="20" t="s">
        <v>88</v>
      </c>
      <c r="E77" s="25">
        <v>1</v>
      </c>
      <c r="F77" s="18">
        <v>1</v>
      </c>
      <c r="G77" s="18">
        <v>383.25</v>
      </c>
      <c r="H77" s="214">
        <f>G77*F77/1000</f>
        <v>0.38324999999999998</v>
      </c>
      <c r="I77" s="18">
        <v>0</v>
      </c>
    </row>
    <row r="78" spans="1:21" ht="15.75" hidden="1" customHeight="1">
      <c r="A78" s="49"/>
      <c r="B78" s="216" t="s">
        <v>97</v>
      </c>
      <c r="C78" s="22"/>
      <c r="D78" s="20"/>
      <c r="E78" s="25"/>
      <c r="F78" s="18"/>
      <c r="G78" s="18" t="s">
        <v>207</v>
      </c>
      <c r="H78" s="214" t="s">
        <v>207</v>
      </c>
      <c r="I78" s="18"/>
    </row>
    <row r="79" spans="1:21" ht="15.75" hidden="1" customHeight="1">
      <c r="A79" s="49">
        <v>22</v>
      </c>
      <c r="B79" s="86" t="s">
        <v>183</v>
      </c>
      <c r="C79" s="22" t="s">
        <v>98</v>
      </c>
      <c r="D79" s="20"/>
      <c r="E79" s="25"/>
      <c r="F79" s="18">
        <v>0.9</v>
      </c>
      <c r="G79" s="18">
        <v>2757.42</v>
      </c>
      <c r="H79" s="214">
        <f t="shared" si="5"/>
        <v>2.4816780000000005</v>
      </c>
      <c r="I79" s="18">
        <f>G79*F79</f>
        <v>2481.6780000000003</v>
      </c>
    </row>
    <row r="80" spans="1:21" ht="15.75" hidden="1" customHeight="1">
      <c r="A80" s="49"/>
      <c r="B80" s="193" t="s">
        <v>181</v>
      </c>
      <c r="C80" s="216"/>
      <c r="D80" s="54"/>
      <c r="E80" s="58"/>
      <c r="F80" s="205"/>
      <c r="G80" s="205"/>
      <c r="H80" s="217">
        <f>SUM(H58:H79)</f>
        <v>134.70632653799998</v>
      </c>
      <c r="I80" s="205"/>
    </row>
    <row r="81" spans="1:9" ht="15.75" hidden="1" customHeight="1">
      <c r="A81" s="226">
        <v>23</v>
      </c>
      <c r="B81" s="208" t="s">
        <v>182</v>
      </c>
      <c r="C81" s="227"/>
      <c r="D81" s="228"/>
      <c r="E81" s="195"/>
      <c r="F81" s="220">
        <v>1</v>
      </c>
      <c r="G81" s="220">
        <v>27901.200000000001</v>
      </c>
      <c r="H81" s="229">
        <f>G81*F81/1000</f>
        <v>27.901199999999999</v>
      </c>
      <c r="I81" s="220">
        <f>G81</f>
        <v>27901.200000000001</v>
      </c>
    </row>
    <row r="82" spans="1:9" ht="15.75" customHeight="1">
      <c r="A82" s="251" t="s">
        <v>239</v>
      </c>
      <c r="B82" s="252"/>
      <c r="C82" s="252"/>
      <c r="D82" s="252"/>
      <c r="E82" s="252"/>
      <c r="F82" s="252"/>
      <c r="G82" s="252"/>
      <c r="H82" s="252"/>
      <c r="I82" s="253"/>
    </row>
    <row r="83" spans="1:9" ht="15.75" customHeight="1">
      <c r="A83" s="230">
        <v>13</v>
      </c>
      <c r="B83" s="235" t="s">
        <v>184</v>
      </c>
      <c r="C83" s="231" t="s">
        <v>68</v>
      </c>
      <c r="D83" s="232" t="s">
        <v>69</v>
      </c>
      <c r="E83" s="233">
        <v>3945</v>
      </c>
      <c r="F83" s="233">
        <f>SUM(E83*12)</f>
        <v>47340</v>
      </c>
      <c r="G83" s="233">
        <v>2.2400000000000002</v>
      </c>
      <c r="H83" s="234">
        <f>SUM(F83*G83/1000)</f>
        <v>106.0416</v>
      </c>
      <c r="I83" s="233">
        <f>F83/12*G83</f>
        <v>8836.8000000000011</v>
      </c>
    </row>
    <row r="84" spans="1:9" ht="31.5" customHeight="1">
      <c r="A84" s="49">
        <v>14</v>
      </c>
      <c r="B84" s="20" t="s">
        <v>99</v>
      </c>
      <c r="C84" s="22"/>
      <c r="D84" s="232" t="s">
        <v>69</v>
      </c>
      <c r="E84" s="201">
        <f>E83</f>
        <v>3945</v>
      </c>
      <c r="F84" s="18">
        <f>E84*12</f>
        <v>47340</v>
      </c>
      <c r="G84" s="18">
        <v>1.74</v>
      </c>
      <c r="H84" s="214">
        <f>F84*G84/1000</f>
        <v>82.371600000000001</v>
      </c>
      <c r="I84" s="18">
        <f>F84/12*G84</f>
        <v>6864.3</v>
      </c>
    </row>
    <row r="85" spans="1:9" ht="15.75" customHeight="1">
      <c r="A85" s="49"/>
      <c r="B85" s="73" t="s">
        <v>105</v>
      </c>
      <c r="C85" s="75"/>
      <c r="D85" s="21"/>
      <c r="E85" s="21"/>
      <c r="F85" s="25"/>
      <c r="G85" s="31"/>
      <c r="H85" s="217">
        <f>H84</f>
        <v>82.371600000000001</v>
      </c>
      <c r="I85" s="58">
        <f>SUM(I16+I17+I18+I25+I26+I29+I30+I32+I33+I54+I55+I64+I83+I84)</f>
        <v>82174.674170200014</v>
      </c>
    </row>
    <row r="86" spans="1:9" ht="15.75" customHeight="1">
      <c r="A86" s="49"/>
      <c r="B86" s="173" t="s">
        <v>76</v>
      </c>
      <c r="C86" s="173"/>
      <c r="D86" s="173"/>
      <c r="E86" s="173"/>
      <c r="F86" s="173"/>
      <c r="G86" s="31"/>
      <c r="H86" s="217" t="e">
        <f>SUM(H85+#REF!+H80+H56+#REF!+#REF!+H27)</f>
        <v>#REF!</v>
      </c>
      <c r="I86" s="173"/>
    </row>
    <row r="87" spans="1:9" ht="15.75" customHeight="1">
      <c r="A87" s="49">
        <v>15</v>
      </c>
      <c r="B87" s="218" t="s">
        <v>221</v>
      </c>
      <c r="C87" s="219" t="s">
        <v>116</v>
      </c>
      <c r="D87" s="86"/>
      <c r="E87" s="18"/>
      <c r="F87" s="18">
        <v>2</v>
      </c>
      <c r="G87" s="18">
        <v>185.81</v>
      </c>
      <c r="H87" s="214">
        <f t="shared" ref="H87:H89" si="6">G87*F87/1000</f>
        <v>0.37162000000000001</v>
      </c>
      <c r="I87" s="18">
        <f>G87</f>
        <v>185.81</v>
      </c>
    </row>
    <row r="88" spans="1:9" ht="31.5" customHeight="1">
      <c r="A88" s="49">
        <v>16</v>
      </c>
      <c r="B88" s="218" t="s">
        <v>132</v>
      </c>
      <c r="C88" s="219" t="s">
        <v>222</v>
      </c>
      <c r="D88" s="20"/>
      <c r="E88" s="25"/>
      <c r="F88" s="18">
        <v>2</v>
      </c>
      <c r="G88" s="18">
        <v>559.62</v>
      </c>
      <c r="H88" s="214">
        <f t="shared" si="6"/>
        <v>1.11924</v>
      </c>
      <c r="I88" s="18">
        <f t="shared" ref="I88" si="7">G88</f>
        <v>559.62</v>
      </c>
    </row>
    <row r="89" spans="1:9" ht="31.5" customHeight="1">
      <c r="A89" s="49">
        <v>17</v>
      </c>
      <c r="B89" s="218" t="s">
        <v>114</v>
      </c>
      <c r="C89" s="219" t="s">
        <v>48</v>
      </c>
      <c r="D89" s="86"/>
      <c r="E89" s="18"/>
      <c r="F89" s="18">
        <v>0.09</v>
      </c>
      <c r="G89" s="18">
        <v>3397.65</v>
      </c>
      <c r="H89" s="214">
        <f t="shared" si="6"/>
        <v>0.30578850000000002</v>
      </c>
      <c r="I89" s="18">
        <f>G89*0.01</f>
        <v>33.976500000000001</v>
      </c>
    </row>
    <row r="90" spans="1:9" ht="47.25" customHeight="1">
      <c r="A90" s="49">
        <v>18</v>
      </c>
      <c r="B90" s="218" t="s">
        <v>232</v>
      </c>
      <c r="C90" s="219" t="s">
        <v>222</v>
      </c>
      <c r="D90" s="20"/>
      <c r="E90" s="25"/>
      <c r="F90" s="18">
        <v>1</v>
      </c>
      <c r="G90" s="18">
        <v>625.07000000000005</v>
      </c>
      <c r="H90" s="214">
        <f t="shared" ref="H90:H92" si="8">G90*F90/1000</f>
        <v>0.62507000000000001</v>
      </c>
      <c r="I90" s="220">
        <f>G90</f>
        <v>625.07000000000005</v>
      </c>
    </row>
    <row r="91" spans="1:9" ht="31.5" customHeight="1">
      <c r="A91" s="49">
        <v>19</v>
      </c>
      <c r="B91" s="218" t="s">
        <v>233</v>
      </c>
      <c r="C91" s="222" t="s">
        <v>107</v>
      </c>
      <c r="D91" s="86"/>
      <c r="E91" s="18"/>
      <c r="F91" s="18">
        <v>9.5</v>
      </c>
      <c r="G91" s="18">
        <v>1187</v>
      </c>
      <c r="H91" s="214">
        <f t="shared" si="8"/>
        <v>11.2765</v>
      </c>
      <c r="I91" s="220">
        <f>G91*9.5</f>
        <v>11276.5</v>
      </c>
    </row>
    <row r="92" spans="1:9" ht="31.5" customHeight="1">
      <c r="A92" s="49">
        <v>20</v>
      </c>
      <c r="B92" s="218" t="s">
        <v>234</v>
      </c>
      <c r="C92" s="219" t="s">
        <v>222</v>
      </c>
      <c r="D92" s="86"/>
      <c r="E92" s="18"/>
      <c r="F92" s="18">
        <v>1</v>
      </c>
      <c r="G92" s="18">
        <v>1750.55</v>
      </c>
      <c r="H92" s="214">
        <f t="shared" si="8"/>
        <v>1.7505500000000001</v>
      </c>
      <c r="I92" s="220">
        <f t="shared" ref="I92" si="9">G92</f>
        <v>1750.55</v>
      </c>
    </row>
    <row r="93" spans="1:9">
      <c r="A93" s="49"/>
      <c r="B93" s="80" t="s">
        <v>64</v>
      </c>
      <c r="C93" s="76"/>
      <c r="D93" s="129"/>
      <c r="E93" s="76">
        <v>1</v>
      </c>
      <c r="F93" s="76"/>
      <c r="G93" s="76"/>
      <c r="H93" s="76"/>
      <c r="I93" s="58">
        <f>SUM(I87:I92)</f>
        <v>14431.5265</v>
      </c>
    </row>
    <row r="94" spans="1:9" ht="16.5" customHeight="1">
      <c r="A94" s="49"/>
      <c r="B94" s="86" t="s">
        <v>100</v>
      </c>
      <c r="C94" s="21"/>
      <c r="D94" s="21"/>
      <c r="E94" s="77"/>
      <c r="F94" s="77"/>
      <c r="G94" s="78"/>
      <c r="H94" s="78"/>
      <c r="I94" s="24">
        <v>0</v>
      </c>
    </row>
    <row r="95" spans="1:9" ht="16.5" customHeight="1">
      <c r="A95" s="130"/>
      <c r="B95" s="81" t="s">
        <v>65</v>
      </c>
      <c r="C95" s="64"/>
      <c r="D95" s="64"/>
      <c r="E95" s="64"/>
      <c r="F95" s="64"/>
      <c r="G95" s="64"/>
      <c r="H95" s="64"/>
      <c r="I95" s="79">
        <f>I85+I93</f>
        <v>96606.200670200022</v>
      </c>
    </row>
    <row r="96" spans="1:9" ht="15.75" customHeight="1">
      <c r="A96" s="249" t="s">
        <v>261</v>
      </c>
      <c r="B96" s="249"/>
      <c r="C96" s="249"/>
      <c r="D96" s="249"/>
      <c r="E96" s="249"/>
      <c r="F96" s="249"/>
      <c r="G96" s="249"/>
      <c r="H96" s="249"/>
      <c r="I96" s="249"/>
    </row>
    <row r="97" spans="1:9" ht="15.75" customHeight="1">
      <c r="A97" s="190"/>
      <c r="B97" s="258" t="s">
        <v>262</v>
      </c>
      <c r="C97" s="258"/>
      <c r="D97" s="258"/>
      <c r="E97" s="258"/>
      <c r="F97" s="258"/>
      <c r="G97" s="258"/>
      <c r="H97" s="198"/>
      <c r="I97" s="3"/>
    </row>
    <row r="98" spans="1:9" ht="15.75" customHeight="1">
      <c r="A98" s="188"/>
      <c r="B98" s="255" t="s">
        <v>7</v>
      </c>
      <c r="C98" s="255"/>
      <c r="D98" s="255"/>
      <c r="E98" s="255"/>
      <c r="F98" s="255"/>
      <c r="G98" s="255"/>
      <c r="H98" s="39"/>
      <c r="I98" s="5"/>
    </row>
    <row r="99" spans="1:9" ht="15.75" customHeight="1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5.75">
      <c r="A100" s="259" t="s">
        <v>8</v>
      </c>
      <c r="B100" s="259"/>
      <c r="C100" s="259"/>
      <c r="D100" s="259"/>
      <c r="E100" s="259"/>
      <c r="F100" s="259"/>
      <c r="G100" s="259"/>
      <c r="H100" s="259"/>
      <c r="I100" s="259"/>
    </row>
    <row r="101" spans="1:9" ht="15.75">
      <c r="A101" s="259" t="s">
        <v>9</v>
      </c>
      <c r="B101" s="259"/>
      <c r="C101" s="259"/>
      <c r="D101" s="259"/>
      <c r="E101" s="259"/>
      <c r="F101" s="259"/>
      <c r="G101" s="259"/>
      <c r="H101" s="259"/>
      <c r="I101" s="259"/>
    </row>
    <row r="102" spans="1:9" ht="15.75">
      <c r="A102" s="242" t="s">
        <v>79</v>
      </c>
      <c r="B102" s="242"/>
      <c r="C102" s="242"/>
      <c r="D102" s="242"/>
      <c r="E102" s="242"/>
      <c r="F102" s="242"/>
      <c r="G102" s="242"/>
      <c r="H102" s="242"/>
      <c r="I102" s="242"/>
    </row>
    <row r="103" spans="1:9" ht="15.75">
      <c r="A103" s="12"/>
    </row>
    <row r="104" spans="1:9" ht="15.75">
      <c r="A104" s="243" t="s">
        <v>11</v>
      </c>
      <c r="B104" s="243"/>
      <c r="C104" s="243"/>
      <c r="D104" s="243"/>
      <c r="E104" s="243"/>
      <c r="F104" s="243"/>
      <c r="G104" s="243"/>
      <c r="H104" s="243"/>
      <c r="I104" s="243"/>
    </row>
    <row r="105" spans="1:9" ht="15.75">
      <c r="A105" s="4"/>
    </row>
    <row r="106" spans="1:9" ht="15.75">
      <c r="B106" s="189" t="s">
        <v>12</v>
      </c>
      <c r="C106" s="254" t="s">
        <v>187</v>
      </c>
      <c r="D106" s="254"/>
      <c r="E106" s="254"/>
      <c r="F106" s="196"/>
      <c r="I106" s="192"/>
    </row>
    <row r="107" spans="1:9">
      <c r="A107" s="188"/>
      <c r="C107" s="255" t="s">
        <v>13</v>
      </c>
      <c r="D107" s="255"/>
      <c r="E107" s="255"/>
      <c r="F107" s="39"/>
      <c r="I107" s="191" t="s">
        <v>14</v>
      </c>
    </row>
    <row r="108" spans="1:9" ht="15.75">
      <c r="A108" s="40"/>
      <c r="C108" s="13"/>
      <c r="D108" s="13"/>
      <c r="G108" s="13"/>
      <c r="H108" s="13"/>
    </row>
    <row r="109" spans="1:9" ht="15.75">
      <c r="B109" s="189" t="s">
        <v>15</v>
      </c>
      <c r="C109" s="256"/>
      <c r="D109" s="256"/>
      <c r="E109" s="256"/>
      <c r="F109" s="197"/>
      <c r="I109" s="192"/>
    </row>
    <row r="110" spans="1:9">
      <c r="A110" s="188"/>
      <c r="C110" s="248" t="s">
        <v>13</v>
      </c>
      <c r="D110" s="248"/>
      <c r="E110" s="248"/>
      <c r="F110" s="188"/>
      <c r="I110" s="191" t="s">
        <v>14</v>
      </c>
    </row>
    <row r="111" spans="1:9" ht="15.75">
      <c r="A111" s="4" t="s">
        <v>16</v>
      </c>
    </row>
    <row r="112" spans="1:9">
      <c r="A112" s="257" t="s">
        <v>17</v>
      </c>
      <c r="B112" s="257"/>
      <c r="C112" s="257"/>
      <c r="D112" s="257"/>
      <c r="E112" s="257"/>
      <c r="F112" s="257"/>
      <c r="G112" s="257"/>
      <c r="H112" s="257"/>
      <c r="I112" s="257"/>
    </row>
    <row r="113" spans="1:9" ht="47.25" customHeight="1">
      <c r="A113" s="250" t="s">
        <v>18</v>
      </c>
      <c r="B113" s="250"/>
      <c r="C113" s="250"/>
      <c r="D113" s="250"/>
      <c r="E113" s="250"/>
      <c r="F113" s="250"/>
      <c r="G113" s="250"/>
      <c r="H113" s="250"/>
      <c r="I113" s="250"/>
    </row>
    <row r="114" spans="1:9" ht="31.5" customHeight="1">
      <c r="A114" s="250" t="s">
        <v>19</v>
      </c>
      <c r="B114" s="250"/>
      <c r="C114" s="250"/>
      <c r="D114" s="250"/>
      <c r="E114" s="250"/>
      <c r="F114" s="250"/>
      <c r="G114" s="250"/>
      <c r="H114" s="250"/>
      <c r="I114" s="250"/>
    </row>
    <row r="115" spans="1:9" ht="31.5" customHeight="1">
      <c r="A115" s="250" t="s">
        <v>24</v>
      </c>
      <c r="B115" s="250"/>
      <c r="C115" s="250"/>
      <c r="D115" s="250"/>
      <c r="E115" s="250"/>
      <c r="F115" s="250"/>
      <c r="G115" s="250"/>
      <c r="H115" s="250"/>
      <c r="I115" s="250"/>
    </row>
    <row r="116" spans="1:9" ht="15.75">
      <c r="A116" s="250" t="s">
        <v>23</v>
      </c>
      <c r="B116" s="250"/>
      <c r="C116" s="250"/>
      <c r="D116" s="250"/>
      <c r="E116" s="250"/>
      <c r="F116" s="250"/>
      <c r="G116" s="250"/>
      <c r="H116" s="250"/>
      <c r="I116" s="250"/>
    </row>
  </sheetData>
  <autoFilter ref="I12:I67"/>
  <mergeCells count="28"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  <mergeCell ref="A102:I102"/>
    <mergeCell ref="A15:I15"/>
    <mergeCell ref="A27:I27"/>
    <mergeCell ref="A45:I45"/>
    <mergeCell ref="A56:I56"/>
    <mergeCell ref="A96:I96"/>
    <mergeCell ref="B97:G97"/>
    <mergeCell ref="B98:G98"/>
    <mergeCell ref="A100:I100"/>
    <mergeCell ref="A101:I101"/>
    <mergeCell ref="R71:U71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U111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4" t="s">
        <v>122</v>
      </c>
      <c r="I1" s="43"/>
      <c r="J1" s="1"/>
      <c r="K1" s="1"/>
      <c r="L1" s="1"/>
      <c r="M1" s="1"/>
    </row>
    <row r="2" spans="1:13" ht="15.75">
      <c r="A2" s="45" t="s">
        <v>83</v>
      </c>
      <c r="J2" s="2"/>
      <c r="K2" s="2"/>
      <c r="L2" s="2"/>
      <c r="M2" s="2"/>
    </row>
    <row r="3" spans="1:13" ht="15.75" customHeight="1">
      <c r="A3" s="237" t="s">
        <v>263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188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113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187"/>
      <c r="C6" s="187"/>
      <c r="D6" s="187"/>
      <c r="E6" s="187"/>
      <c r="F6" s="187"/>
      <c r="G6" s="187"/>
      <c r="H6" s="187"/>
      <c r="I6" s="53">
        <v>42643</v>
      </c>
      <c r="J6" s="2"/>
      <c r="K6" s="2"/>
      <c r="L6" s="2"/>
      <c r="M6" s="2"/>
    </row>
    <row r="7" spans="1:13" ht="15.75">
      <c r="B7" s="189"/>
      <c r="C7" s="189"/>
      <c r="D7" s="18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271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189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6" t="s">
        <v>74</v>
      </c>
      <c r="B14" s="236"/>
      <c r="C14" s="236"/>
      <c r="D14" s="236"/>
      <c r="E14" s="236"/>
      <c r="F14" s="236"/>
      <c r="G14" s="236"/>
      <c r="H14" s="236"/>
      <c r="I14" s="236"/>
      <c r="J14" s="8"/>
      <c r="K14" s="8"/>
      <c r="L14" s="8"/>
      <c r="M14" s="8"/>
    </row>
    <row r="15" spans="1:13">
      <c r="A15" s="244" t="s">
        <v>4</v>
      </c>
      <c r="B15" s="244"/>
      <c r="C15" s="244"/>
      <c r="D15" s="244"/>
      <c r="E15" s="244"/>
      <c r="F15" s="244"/>
      <c r="G15" s="244"/>
      <c r="H15" s="244"/>
      <c r="I15" s="244"/>
      <c r="J15" s="8"/>
      <c r="K15" s="8"/>
      <c r="L15" s="8"/>
      <c r="M15" s="8"/>
    </row>
    <row r="16" spans="1:13" ht="31.5" customHeight="1">
      <c r="A16" s="49">
        <v>1</v>
      </c>
      <c r="B16" s="199" t="s">
        <v>124</v>
      </c>
      <c r="C16" s="200" t="s">
        <v>151</v>
      </c>
      <c r="D16" s="199" t="s">
        <v>190</v>
      </c>
      <c r="E16" s="201">
        <v>95.04</v>
      </c>
      <c r="F16" s="202">
        <f>SUM(E16*156/100)</f>
        <v>148.26240000000001</v>
      </c>
      <c r="G16" s="202">
        <v>187.48</v>
      </c>
      <c r="H16" s="203">
        <f t="shared" ref="H16:H24" si="0">SUM(F16*G16/1000)</f>
        <v>27.796234752</v>
      </c>
      <c r="I16" s="18">
        <f>F16/12*G16</f>
        <v>2316.3528960000003</v>
      </c>
      <c r="J16" s="8"/>
      <c r="K16" s="8"/>
      <c r="L16" s="8"/>
      <c r="M16" s="8"/>
    </row>
    <row r="17" spans="1:13" ht="31.5" customHeight="1">
      <c r="A17" s="49">
        <v>2</v>
      </c>
      <c r="B17" s="199" t="s">
        <v>147</v>
      </c>
      <c r="C17" s="200" t="s">
        <v>151</v>
      </c>
      <c r="D17" s="199" t="s">
        <v>191</v>
      </c>
      <c r="E17" s="201">
        <v>380.16</v>
      </c>
      <c r="F17" s="202">
        <f>SUM(E17*104/100)</f>
        <v>395.3664</v>
      </c>
      <c r="G17" s="202">
        <v>187.48</v>
      </c>
      <c r="H17" s="203">
        <f t="shared" si="0"/>
        <v>74.123292671999991</v>
      </c>
      <c r="I17" s="18">
        <f>F17/12*G17</f>
        <v>6176.9410559999997</v>
      </c>
      <c r="J17" s="34"/>
      <c r="K17" s="8"/>
      <c r="L17" s="8"/>
      <c r="M17" s="8"/>
    </row>
    <row r="18" spans="1:13" ht="31.5" customHeight="1">
      <c r="A18" s="49">
        <v>3</v>
      </c>
      <c r="B18" s="199" t="s">
        <v>148</v>
      </c>
      <c r="C18" s="200" t="s">
        <v>151</v>
      </c>
      <c r="D18" s="199" t="s">
        <v>192</v>
      </c>
      <c r="E18" s="201">
        <f>SUM(E16+E17)</f>
        <v>475.20000000000005</v>
      </c>
      <c r="F18" s="202">
        <f>SUM(E18*24/100)</f>
        <v>114.04800000000002</v>
      </c>
      <c r="G18" s="202">
        <v>539.30999999999995</v>
      </c>
      <c r="H18" s="203">
        <f t="shared" si="0"/>
        <v>61.507226880000005</v>
      </c>
      <c r="I18" s="18">
        <f>F18/12*G18</f>
        <v>5125.6022400000002</v>
      </c>
      <c r="J18" s="34"/>
      <c r="K18" s="8"/>
      <c r="L18" s="8"/>
      <c r="M18" s="8"/>
    </row>
    <row r="19" spans="1:13" ht="15.75" hidden="1" customHeight="1">
      <c r="A19" s="49">
        <v>4</v>
      </c>
      <c r="B19" s="199" t="s">
        <v>152</v>
      </c>
      <c r="C19" s="200" t="s">
        <v>153</v>
      </c>
      <c r="D19" s="199" t="s">
        <v>154</v>
      </c>
      <c r="E19" s="201">
        <v>93.4</v>
      </c>
      <c r="F19" s="202">
        <f>SUM(E19/10)</f>
        <v>9.34</v>
      </c>
      <c r="G19" s="202">
        <v>181.9</v>
      </c>
      <c r="H19" s="203">
        <f t="shared" si="0"/>
        <v>1.6989460000000001</v>
      </c>
      <c r="I19" s="18">
        <f t="shared" ref="I19" si="1">F19/12*G19</f>
        <v>141.57883333333334</v>
      </c>
      <c r="J19" s="34"/>
      <c r="K19" s="8"/>
      <c r="L19" s="8"/>
      <c r="M19" s="8"/>
    </row>
    <row r="20" spans="1:13" ht="15.75" customHeight="1">
      <c r="A20" s="49">
        <v>4</v>
      </c>
      <c r="B20" s="199" t="s">
        <v>155</v>
      </c>
      <c r="C20" s="200" t="s">
        <v>151</v>
      </c>
      <c r="D20" s="199" t="s">
        <v>54</v>
      </c>
      <c r="E20" s="201">
        <v>43.2</v>
      </c>
      <c r="F20" s="202">
        <f>SUM(E20*2/100)</f>
        <v>0.8640000000000001</v>
      </c>
      <c r="G20" s="202">
        <v>232.91</v>
      </c>
      <c r="H20" s="203">
        <f t="shared" si="0"/>
        <v>0.20123424000000004</v>
      </c>
      <c r="I20" s="18">
        <f>F20/2*G20</f>
        <v>100.61712000000001</v>
      </c>
      <c r="J20" s="34"/>
      <c r="K20" s="8"/>
      <c r="L20" s="8"/>
      <c r="M20" s="8"/>
    </row>
    <row r="21" spans="1:13" ht="15.75" customHeight="1">
      <c r="A21" s="49">
        <v>5</v>
      </c>
      <c r="B21" s="199" t="s">
        <v>156</v>
      </c>
      <c r="C21" s="200" t="s">
        <v>151</v>
      </c>
      <c r="D21" s="199" t="s">
        <v>54</v>
      </c>
      <c r="E21" s="201">
        <v>10.08</v>
      </c>
      <c r="F21" s="202">
        <f>SUM(E21*2/100)</f>
        <v>0.2016</v>
      </c>
      <c r="G21" s="202">
        <v>231.03</v>
      </c>
      <c r="H21" s="203">
        <f t="shared" si="0"/>
        <v>4.6575648000000004E-2</v>
      </c>
      <c r="I21" s="18">
        <f t="shared" ref="I21:I24" si="2">F21/2*G21</f>
        <v>23.287824000000001</v>
      </c>
      <c r="J21" s="34"/>
      <c r="K21" s="8"/>
      <c r="L21" s="8"/>
      <c r="M21" s="8"/>
    </row>
    <row r="22" spans="1:13" ht="15.75" hidden="1" customHeight="1">
      <c r="A22" s="49"/>
      <c r="B22" s="199" t="s">
        <v>157</v>
      </c>
      <c r="C22" s="200" t="s">
        <v>66</v>
      </c>
      <c r="D22" s="199" t="s">
        <v>154</v>
      </c>
      <c r="E22" s="201">
        <v>642.6</v>
      </c>
      <c r="F22" s="202">
        <f>SUM(E22/100)</f>
        <v>6.4260000000000002</v>
      </c>
      <c r="G22" s="202">
        <v>287.83999999999997</v>
      </c>
      <c r="H22" s="203">
        <f t="shared" si="0"/>
        <v>1.8496598399999997</v>
      </c>
      <c r="I22" s="18">
        <f t="shared" si="2"/>
        <v>924.8299199999999</v>
      </c>
      <c r="J22" s="34"/>
      <c r="K22" s="8"/>
      <c r="L22" s="8"/>
      <c r="M22" s="8"/>
    </row>
    <row r="23" spans="1:13" ht="15.75" hidden="1" customHeight="1">
      <c r="A23" s="49"/>
      <c r="B23" s="199" t="s">
        <v>158</v>
      </c>
      <c r="C23" s="200" t="s">
        <v>66</v>
      </c>
      <c r="D23" s="199" t="s">
        <v>154</v>
      </c>
      <c r="E23" s="204">
        <v>35.28</v>
      </c>
      <c r="F23" s="202">
        <f>SUM(E23/100)</f>
        <v>0.3528</v>
      </c>
      <c r="G23" s="202">
        <v>47.35</v>
      </c>
      <c r="H23" s="203">
        <f t="shared" si="0"/>
        <v>1.6705080000000004E-2</v>
      </c>
      <c r="I23" s="18">
        <f t="shared" si="2"/>
        <v>8.3525400000000012</v>
      </c>
      <c r="J23" s="34"/>
      <c r="K23" s="8"/>
      <c r="L23" s="8"/>
      <c r="M23" s="8"/>
    </row>
    <row r="24" spans="1:13" ht="15.75" hidden="1" customHeight="1">
      <c r="A24" s="49"/>
      <c r="B24" s="199" t="s">
        <v>159</v>
      </c>
      <c r="C24" s="200" t="s">
        <v>66</v>
      </c>
      <c r="D24" s="199" t="s">
        <v>154</v>
      </c>
      <c r="E24" s="201">
        <v>28.8</v>
      </c>
      <c r="F24" s="202">
        <f>SUM(E24/100)</f>
        <v>0.28800000000000003</v>
      </c>
      <c r="G24" s="202">
        <v>556.74</v>
      </c>
      <c r="H24" s="203">
        <f t="shared" si="0"/>
        <v>0.16034112000000003</v>
      </c>
      <c r="I24" s="18">
        <f t="shared" si="2"/>
        <v>80.170560000000009</v>
      </c>
      <c r="J24" s="34"/>
      <c r="K24" s="8"/>
      <c r="L24" s="8"/>
      <c r="M24" s="8"/>
    </row>
    <row r="25" spans="1:13" ht="15.75" customHeight="1">
      <c r="A25" s="49">
        <v>6</v>
      </c>
      <c r="B25" s="199" t="s">
        <v>85</v>
      </c>
      <c r="C25" s="200" t="s">
        <v>39</v>
      </c>
      <c r="D25" s="199" t="s">
        <v>219</v>
      </c>
      <c r="E25" s="201">
        <v>0.1</v>
      </c>
      <c r="F25" s="202">
        <f>SUM(E25*365)</f>
        <v>36.5</v>
      </c>
      <c r="G25" s="202">
        <v>157.18</v>
      </c>
      <c r="H25" s="203">
        <f>SUM(F25*G25/1000)</f>
        <v>5.737070000000001</v>
      </c>
      <c r="I25" s="18">
        <f>F25/12*G25</f>
        <v>478.08916666666664</v>
      </c>
      <c r="J25" s="34"/>
      <c r="K25" s="8"/>
      <c r="L25" s="8"/>
      <c r="M25" s="8"/>
    </row>
    <row r="26" spans="1:13" ht="15.75" customHeight="1">
      <c r="A26" s="49">
        <v>7</v>
      </c>
      <c r="B26" s="207" t="s">
        <v>26</v>
      </c>
      <c r="C26" s="200" t="s">
        <v>27</v>
      </c>
      <c r="D26" s="207" t="s">
        <v>207</v>
      </c>
      <c r="E26" s="201">
        <v>3945</v>
      </c>
      <c r="F26" s="202">
        <f>SUM(E26*12)</f>
        <v>47340</v>
      </c>
      <c r="G26" s="202">
        <v>5.33</v>
      </c>
      <c r="H26" s="203">
        <f>SUM(F26*G26/1000)</f>
        <v>252.32220000000001</v>
      </c>
      <c r="I26" s="18">
        <f>F26/12*G26</f>
        <v>21026.85</v>
      </c>
      <c r="J26" s="35"/>
    </row>
    <row r="27" spans="1:13" ht="15.75" customHeight="1">
      <c r="A27" s="245" t="s">
        <v>119</v>
      </c>
      <c r="B27" s="246"/>
      <c r="C27" s="246"/>
      <c r="D27" s="246"/>
      <c r="E27" s="246"/>
      <c r="F27" s="246"/>
      <c r="G27" s="246"/>
      <c r="H27" s="246"/>
      <c r="I27" s="247"/>
      <c r="J27" s="34"/>
      <c r="K27" s="8"/>
      <c r="L27" s="8"/>
      <c r="M27" s="8"/>
    </row>
    <row r="28" spans="1:13" ht="15.75" customHeight="1">
      <c r="A28" s="49"/>
      <c r="B28" s="224" t="s">
        <v>34</v>
      </c>
      <c r="C28" s="200"/>
      <c r="D28" s="199"/>
      <c r="E28" s="201"/>
      <c r="F28" s="202"/>
      <c r="G28" s="202"/>
      <c r="H28" s="203"/>
      <c r="I28" s="18"/>
      <c r="J28" s="34"/>
      <c r="K28" s="8"/>
      <c r="L28" s="8"/>
      <c r="M28" s="8"/>
    </row>
    <row r="29" spans="1:13" ht="31.5" customHeight="1">
      <c r="A29" s="49">
        <v>8</v>
      </c>
      <c r="B29" s="199" t="s">
        <v>160</v>
      </c>
      <c r="C29" s="200" t="s">
        <v>216</v>
      </c>
      <c r="D29" s="199" t="s">
        <v>217</v>
      </c>
      <c r="E29" s="202">
        <v>1044.6500000000001</v>
      </c>
      <c r="F29" s="202">
        <f>SUM(E29*52/1000)</f>
        <v>54.321800000000003</v>
      </c>
      <c r="G29" s="202">
        <v>166.65</v>
      </c>
      <c r="H29" s="203">
        <f t="shared" ref="H29:H35" si="3">SUM(F29*G29/1000)</f>
        <v>9.0527279700000012</v>
      </c>
      <c r="I29" s="18">
        <f>F29/6*G29</f>
        <v>1508.7879950000001</v>
      </c>
      <c r="J29" s="34"/>
      <c r="K29" s="8"/>
      <c r="L29" s="8"/>
      <c r="M29" s="8"/>
    </row>
    <row r="30" spans="1:13" ht="31.5" customHeight="1">
      <c r="A30" s="49">
        <v>9</v>
      </c>
      <c r="B30" s="199" t="s">
        <v>235</v>
      </c>
      <c r="C30" s="200" t="s">
        <v>161</v>
      </c>
      <c r="D30" s="199" t="s">
        <v>218</v>
      </c>
      <c r="E30" s="202">
        <v>116.93</v>
      </c>
      <c r="F30" s="202">
        <f>SUM(E30*78/1000)</f>
        <v>9.1205400000000001</v>
      </c>
      <c r="G30" s="202">
        <v>276.48</v>
      </c>
      <c r="H30" s="203">
        <f t="shared" si="3"/>
        <v>2.5216468991999998</v>
      </c>
      <c r="I30" s="18">
        <f t="shared" ref="I30:I33" si="4">F30/6*G30</f>
        <v>420.27448320000002</v>
      </c>
      <c r="J30" s="34"/>
      <c r="K30" s="8"/>
      <c r="L30" s="8"/>
      <c r="M30" s="8"/>
    </row>
    <row r="31" spans="1:13" ht="15.75" hidden="1" customHeight="1">
      <c r="A31" s="49"/>
      <c r="B31" s="199" t="s">
        <v>33</v>
      </c>
      <c r="C31" s="200" t="s">
        <v>161</v>
      </c>
      <c r="D31" s="199" t="s">
        <v>67</v>
      </c>
      <c r="E31" s="202">
        <v>1044.6500000000001</v>
      </c>
      <c r="F31" s="202">
        <f>SUM(E31/1000)</f>
        <v>1.0446500000000001</v>
      </c>
      <c r="G31" s="202">
        <v>3228.73</v>
      </c>
      <c r="H31" s="203">
        <f t="shared" si="3"/>
        <v>3.3728927945000007</v>
      </c>
      <c r="I31" s="18">
        <f>F31*G31</f>
        <v>3372.8927945000005</v>
      </c>
      <c r="J31" s="34"/>
      <c r="K31" s="8"/>
      <c r="L31" s="8"/>
      <c r="M31" s="8"/>
    </row>
    <row r="32" spans="1:13" ht="15.75" customHeight="1">
      <c r="A32" s="49">
        <v>10</v>
      </c>
      <c r="B32" s="199" t="s">
        <v>193</v>
      </c>
      <c r="C32" s="200" t="s">
        <v>50</v>
      </c>
      <c r="D32" s="199" t="s">
        <v>84</v>
      </c>
      <c r="E32" s="202">
        <v>6</v>
      </c>
      <c r="F32" s="202">
        <v>9.3000000000000007</v>
      </c>
      <c r="G32" s="202">
        <v>1391.86</v>
      </c>
      <c r="H32" s="203">
        <f>G32*F32/1000</f>
        <v>12.944298</v>
      </c>
      <c r="I32" s="18">
        <f t="shared" si="4"/>
        <v>2157.3829999999998</v>
      </c>
      <c r="J32" s="34"/>
      <c r="K32" s="8"/>
      <c r="L32" s="8"/>
      <c r="M32" s="8"/>
    </row>
    <row r="33" spans="1:14" ht="15.75" customHeight="1">
      <c r="A33" s="49">
        <v>11</v>
      </c>
      <c r="B33" s="199" t="s">
        <v>165</v>
      </c>
      <c r="C33" s="200" t="s">
        <v>37</v>
      </c>
      <c r="D33" s="199" t="s">
        <v>84</v>
      </c>
      <c r="E33" s="206">
        <v>0.33333333333333331</v>
      </c>
      <c r="F33" s="202">
        <f>155/3</f>
        <v>51.666666666666664</v>
      </c>
      <c r="G33" s="202">
        <v>60.6</v>
      </c>
      <c r="H33" s="203">
        <f>SUM(G33*155/3/1000)</f>
        <v>3.1309999999999998</v>
      </c>
      <c r="I33" s="18">
        <f t="shared" si="4"/>
        <v>521.83333333333337</v>
      </c>
      <c r="J33" s="34"/>
      <c r="K33" s="8"/>
      <c r="L33" s="8"/>
      <c r="M33" s="8"/>
    </row>
    <row r="34" spans="1:14" ht="15.75" hidden="1" customHeight="1">
      <c r="A34" s="49"/>
      <c r="B34" s="199" t="s">
        <v>86</v>
      </c>
      <c r="C34" s="200" t="s">
        <v>39</v>
      </c>
      <c r="D34" s="199" t="s">
        <v>88</v>
      </c>
      <c r="E34" s="201"/>
      <c r="F34" s="202">
        <v>3</v>
      </c>
      <c r="G34" s="202">
        <v>204.52</v>
      </c>
      <c r="H34" s="203">
        <f t="shared" si="3"/>
        <v>0.61356000000000011</v>
      </c>
      <c r="I34" s="18">
        <v>0</v>
      </c>
      <c r="J34" s="34"/>
      <c r="K34" s="8"/>
    </row>
    <row r="35" spans="1:14" ht="15.75" hidden="1" customHeight="1">
      <c r="A35" s="49"/>
      <c r="B35" s="199" t="s">
        <v>87</v>
      </c>
      <c r="C35" s="200" t="s">
        <v>38</v>
      </c>
      <c r="D35" s="199" t="s">
        <v>88</v>
      </c>
      <c r="E35" s="201"/>
      <c r="F35" s="202">
        <v>2</v>
      </c>
      <c r="G35" s="202">
        <v>1136.33</v>
      </c>
      <c r="H35" s="203">
        <f t="shared" si="3"/>
        <v>2.2726599999999997</v>
      </c>
      <c r="I35" s="18">
        <v>0</v>
      </c>
      <c r="J35" s="35"/>
    </row>
    <row r="36" spans="1:14" ht="15.75" hidden="1" customHeight="1">
      <c r="A36" s="49"/>
      <c r="B36" s="224" t="s">
        <v>5</v>
      </c>
      <c r="C36" s="200"/>
      <c r="D36" s="199"/>
      <c r="E36" s="201"/>
      <c r="F36" s="202"/>
      <c r="G36" s="202"/>
      <c r="H36" s="203" t="s">
        <v>207</v>
      </c>
      <c r="I36" s="18"/>
      <c r="J36" s="35"/>
    </row>
    <row r="37" spans="1:14" ht="15.75" hidden="1" customHeight="1">
      <c r="A37" s="49">
        <v>6</v>
      </c>
      <c r="B37" s="199" t="s">
        <v>31</v>
      </c>
      <c r="C37" s="200" t="s">
        <v>38</v>
      </c>
      <c r="D37" s="199"/>
      <c r="E37" s="201"/>
      <c r="F37" s="202">
        <v>8</v>
      </c>
      <c r="G37" s="202">
        <v>1632.6</v>
      </c>
      <c r="H37" s="203">
        <f t="shared" ref="H37:H44" si="5">SUM(F37*G37/1000)</f>
        <v>13.060799999999999</v>
      </c>
      <c r="I37" s="18">
        <f>F37/6*G37</f>
        <v>2176.7999999999997</v>
      </c>
      <c r="J37" s="35"/>
    </row>
    <row r="38" spans="1:14" ht="15.75" hidden="1" customHeight="1">
      <c r="A38" s="49">
        <v>7</v>
      </c>
      <c r="B38" s="199" t="s">
        <v>135</v>
      </c>
      <c r="C38" s="200" t="s">
        <v>35</v>
      </c>
      <c r="D38" s="199" t="s">
        <v>194</v>
      </c>
      <c r="E38" s="201">
        <v>477.19</v>
      </c>
      <c r="F38" s="202">
        <f>E38*12/1000</f>
        <v>5.72628</v>
      </c>
      <c r="G38" s="202">
        <v>2247.8000000000002</v>
      </c>
      <c r="H38" s="203">
        <f>G38*F38/1000</f>
        <v>12.871532184000001</v>
      </c>
      <c r="I38" s="18">
        <f>F38/6*G38</f>
        <v>2145.2553640000001</v>
      </c>
      <c r="J38" s="35"/>
    </row>
    <row r="39" spans="1:14" ht="15.75" hidden="1" customHeight="1">
      <c r="A39" s="49">
        <v>8</v>
      </c>
      <c r="B39" s="199" t="s">
        <v>167</v>
      </c>
      <c r="C39" s="200" t="s">
        <v>35</v>
      </c>
      <c r="D39" s="199" t="s">
        <v>166</v>
      </c>
      <c r="E39" s="201">
        <v>116.93</v>
      </c>
      <c r="F39" s="202">
        <f>E39*30/1000</f>
        <v>3.5079000000000002</v>
      </c>
      <c r="G39" s="202">
        <v>2247.8000000000002</v>
      </c>
      <c r="H39" s="203">
        <f>G39*F39/1000</f>
        <v>7.8850576200000013</v>
      </c>
      <c r="I39" s="18">
        <f>F39/6*G39</f>
        <v>1314.1762700000002</v>
      </c>
      <c r="J39" s="35"/>
    </row>
    <row r="40" spans="1:14" ht="15.75" hidden="1" customHeight="1">
      <c r="A40" s="49"/>
      <c r="B40" s="199" t="s">
        <v>169</v>
      </c>
      <c r="C40" s="200" t="s">
        <v>170</v>
      </c>
      <c r="D40" s="199" t="s">
        <v>88</v>
      </c>
      <c r="E40" s="201"/>
      <c r="F40" s="202">
        <v>135</v>
      </c>
      <c r="G40" s="202">
        <v>213.2</v>
      </c>
      <c r="H40" s="203">
        <f>G40*F40/1000</f>
        <v>28.782</v>
      </c>
      <c r="I40" s="18">
        <v>0</v>
      </c>
      <c r="J40" s="35"/>
      <c r="L40" s="27"/>
      <c r="M40" s="28"/>
      <c r="N40" s="29"/>
    </row>
    <row r="41" spans="1:14" ht="15.75" hidden="1" customHeight="1">
      <c r="A41" s="49">
        <v>9</v>
      </c>
      <c r="B41" s="199" t="s">
        <v>89</v>
      </c>
      <c r="C41" s="200" t="s">
        <v>35</v>
      </c>
      <c r="D41" s="199" t="s">
        <v>168</v>
      </c>
      <c r="E41" s="202">
        <v>116.93</v>
      </c>
      <c r="F41" s="202">
        <f>SUM(E41*155/1000)</f>
        <v>18.12415</v>
      </c>
      <c r="G41" s="202">
        <v>374.95</v>
      </c>
      <c r="H41" s="203">
        <f t="shared" si="5"/>
        <v>6.7956500424999993</v>
      </c>
      <c r="I41" s="18">
        <f>F41/6*G41</f>
        <v>1132.6083404166666</v>
      </c>
      <c r="J41" s="35"/>
      <c r="L41" s="27"/>
      <c r="M41" s="28"/>
      <c r="N41" s="29"/>
    </row>
    <row r="42" spans="1:14" ht="47.25" hidden="1" customHeight="1">
      <c r="A42" s="49">
        <v>10</v>
      </c>
      <c r="B42" s="199" t="s">
        <v>115</v>
      </c>
      <c r="C42" s="200" t="s">
        <v>161</v>
      </c>
      <c r="D42" s="199" t="s">
        <v>196</v>
      </c>
      <c r="E42" s="202">
        <v>116.93</v>
      </c>
      <c r="F42" s="202">
        <f>SUM(E42*24/1000)</f>
        <v>2.8063200000000004</v>
      </c>
      <c r="G42" s="202">
        <v>6203.71</v>
      </c>
      <c r="H42" s="203">
        <f t="shared" si="5"/>
        <v>17.409595447200001</v>
      </c>
      <c r="I42" s="18">
        <f>F42/6*G42</f>
        <v>2901.5992412000005</v>
      </c>
      <c r="J42" s="35"/>
      <c r="L42" s="27"/>
      <c r="M42" s="28"/>
      <c r="N42" s="29"/>
    </row>
    <row r="43" spans="1:14" ht="15.75" hidden="1" customHeight="1">
      <c r="A43" s="49">
        <v>11</v>
      </c>
      <c r="B43" s="199" t="s">
        <v>171</v>
      </c>
      <c r="C43" s="200" t="s">
        <v>161</v>
      </c>
      <c r="D43" s="199" t="s">
        <v>90</v>
      </c>
      <c r="E43" s="202">
        <v>116.93</v>
      </c>
      <c r="F43" s="202">
        <f>SUM(E43*45/1000)</f>
        <v>5.2618500000000008</v>
      </c>
      <c r="G43" s="202">
        <v>458.28</v>
      </c>
      <c r="H43" s="203">
        <f t="shared" si="5"/>
        <v>2.4114006180000001</v>
      </c>
      <c r="I43" s="18">
        <f>F43/6*G43</f>
        <v>401.90010300000006</v>
      </c>
      <c r="J43" s="35"/>
      <c r="L43" s="27"/>
      <c r="M43" s="28"/>
      <c r="N43" s="29"/>
    </row>
    <row r="44" spans="1:14" ht="15.75" hidden="1" customHeight="1">
      <c r="A44" s="49">
        <v>12</v>
      </c>
      <c r="B44" s="199" t="s">
        <v>91</v>
      </c>
      <c r="C44" s="200" t="s">
        <v>39</v>
      </c>
      <c r="D44" s="199"/>
      <c r="E44" s="201"/>
      <c r="F44" s="202">
        <v>0.9</v>
      </c>
      <c r="G44" s="202">
        <v>798</v>
      </c>
      <c r="H44" s="203">
        <f t="shared" si="5"/>
        <v>0.71820000000000006</v>
      </c>
      <c r="I44" s="18">
        <f>F44/6*G44</f>
        <v>119.69999999999999</v>
      </c>
      <c r="J44" s="35"/>
      <c r="L44" s="27"/>
      <c r="M44" s="28"/>
      <c r="N44" s="29"/>
    </row>
    <row r="45" spans="1:14" ht="15.75" customHeight="1">
      <c r="A45" s="245" t="s">
        <v>236</v>
      </c>
      <c r="B45" s="246"/>
      <c r="C45" s="246"/>
      <c r="D45" s="246"/>
      <c r="E45" s="246"/>
      <c r="F45" s="246"/>
      <c r="G45" s="246"/>
      <c r="H45" s="246"/>
      <c r="I45" s="247"/>
      <c r="J45" s="35"/>
      <c r="L45" s="27"/>
      <c r="M45" s="28"/>
      <c r="N45" s="29"/>
    </row>
    <row r="46" spans="1:14" ht="15.75" customHeight="1">
      <c r="A46" s="49">
        <v>12</v>
      </c>
      <c r="B46" s="199" t="s">
        <v>198</v>
      </c>
      <c r="C46" s="200" t="s">
        <v>161</v>
      </c>
      <c r="D46" s="199" t="s">
        <v>54</v>
      </c>
      <c r="E46" s="201">
        <v>1030.4000000000001</v>
      </c>
      <c r="F46" s="202">
        <f>SUM(E46*2/1000)</f>
        <v>2.0608</v>
      </c>
      <c r="G46" s="18">
        <v>908.1</v>
      </c>
      <c r="H46" s="203">
        <f t="shared" ref="H46:H55" si="6">SUM(F46*G46/1000)</f>
        <v>1.87141248</v>
      </c>
      <c r="I46" s="18">
        <f t="shared" ref="I46:I48" si="7">F46/2*G46</f>
        <v>935.70623999999998</v>
      </c>
      <c r="J46" s="35"/>
      <c r="L46" s="27"/>
      <c r="M46" s="28"/>
      <c r="N46" s="29"/>
    </row>
    <row r="47" spans="1:14" ht="15.75" customHeight="1">
      <c r="A47" s="49">
        <v>13</v>
      </c>
      <c r="B47" s="199" t="s">
        <v>43</v>
      </c>
      <c r="C47" s="200" t="s">
        <v>161</v>
      </c>
      <c r="D47" s="199" t="s">
        <v>54</v>
      </c>
      <c r="E47" s="201">
        <v>132</v>
      </c>
      <c r="F47" s="202">
        <f>E47*2/1000</f>
        <v>0.26400000000000001</v>
      </c>
      <c r="G47" s="18">
        <v>619.46</v>
      </c>
      <c r="H47" s="203">
        <f t="shared" si="6"/>
        <v>0.16353744000000001</v>
      </c>
      <c r="I47" s="18">
        <f t="shared" si="7"/>
        <v>81.768720000000002</v>
      </c>
      <c r="J47" s="35"/>
      <c r="L47" s="27"/>
      <c r="M47" s="28"/>
      <c r="N47" s="29"/>
    </row>
    <row r="48" spans="1:14" ht="15.75" customHeight="1">
      <c r="A48" s="49">
        <v>14</v>
      </c>
      <c r="B48" s="199" t="s">
        <v>44</v>
      </c>
      <c r="C48" s="200" t="s">
        <v>161</v>
      </c>
      <c r="D48" s="199" t="s">
        <v>54</v>
      </c>
      <c r="E48" s="201">
        <v>4248.22</v>
      </c>
      <c r="F48" s="202">
        <f>SUM(E48*2/1000)</f>
        <v>8.4964399999999998</v>
      </c>
      <c r="G48" s="18">
        <v>619.46</v>
      </c>
      <c r="H48" s="203">
        <f t="shared" si="6"/>
        <v>5.2632047223999994</v>
      </c>
      <c r="I48" s="18">
        <f t="shared" si="7"/>
        <v>2631.6023611999999</v>
      </c>
      <c r="J48" s="35"/>
      <c r="L48" s="27"/>
      <c r="M48" s="28"/>
      <c r="N48" s="29"/>
    </row>
    <row r="49" spans="1:14" ht="15.75" customHeight="1">
      <c r="A49" s="49">
        <v>15</v>
      </c>
      <c r="B49" s="199" t="s">
        <v>45</v>
      </c>
      <c r="C49" s="200" t="s">
        <v>161</v>
      </c>
      <c r="D49" s="199" t="s">
        <v>54</v>
      </c>
      <c r="E49" s="201">
        <v>2163.66</v>
      </c>
      <c r="F49" s="202">
        <f>SUM(E49*2/1000)</f>
        <v>4.3273199999999994</v>
      </c>
      <c r="G49" s="18">
        <v>648.64</v>
      </c>
      <c r="H49" s="203">
        <f t="shared" si="6"/>
        <v>2.8068728447999995</v>
      </c>
      <c r="I49" s="18">
        <f>F49/2*G49</f>
        <v>1403.4364223999999</v>
      </c>
      <c r="J49" s="35"/>
      <c r="L49" s="27"/>
      <c r="M49" s="28"/>
      <c r="N49" s="29"/>
    </row>
    <row r="50" spans="1:14" ht="31.5" customHeight="1">
      <c r="A50" s="49">
        <v>16</v>
      </c>
      <c r="B50" s="199" t="s">
        <v>71</v>
      </c>
      <c r="C50" s="200" t="s">
        <v>161</v>
      </c>
      <c r="D50" s="199" t="s">
        <v>237</v>
      </c>
      <c r="E50" s="201">
        <v>1015.4</v>
      </c>
      <c r="F50" s="202">
        <f>SUM(E50*5/1000)</f>
        <v>5.077</v>
      </c>
      <c r="G50" s="18">
        <v>1297.28</v>
      </c>
      <c r="H50" s="203">
        <f t="shared" si="6"/>
        <v>6.5862905599999992</v>
      </c>
      <c r="I50" s="18">
        <f>F50/5*G50</f>
        <v>1317.258112</v>
      </c>
      <c r="J50" s="35"/>
      <c r="L50" s="27"/>
      <c r="M50" s="28"/>
      <c r="N50" s="29"/>
    </row>
    <row r="51" spans="1:14" ht="31.5" customHeight="1">
      <c r="A51" s="49">
        <v>17</v>
      </c>
      <c r="B51" s="199" t="s">
        <v>173</v>
      </c>
      <c r="C51" s="200" t="s">
        <v>161</v>
      </c>
      <c r="D51" s="199" t="s">
        <v>54</v>
      </c>
      <c r="E51" s="201">
        <v>1015.4</v>
      </c>
      <c r="F51" s="202">
        <f>SUM(E51*2/1000)</f>
        <v>2.0308000000000002</v>
      </c>
      <c r="G51" s="18">
        <v>1297.28</v>
      </c>
      <c r="H51" s="203">
        <f t="shared" si="6"/>
        <v>2.634516224</v>
      </c>
      <c r="I51" s="18">
        <f>F51/2*G51</f>
        <v>1317.258112</v>
      </c>
      <c r="J51" s="35"/>
      <c r="L51" s="27"/>
      <c r="M51" s="28"/>
      <c r="N51" s="29"/>
    </row>
    <row r="52" spans="1:14" ht="31.5" customHeight="1">
      <c r="A52" s="49">
        <v>18</v>
      </c>
      <c r="B52" s="199" t="s">
        <v>174</v>
      </c>
      <c r="C52" s="200" t="s">
        <v>48</v>
      </c>
      <c r="D52" s="199" t="s">
        <v>54</v>
      </c>
      <c r="E52" s="201">
        <v>30</v>
      </c>
      <c r="F52" s="202">
        <f>SUM(E52*2/100)</f>
        <v>0.6</v>
      </c>
      <c r="G52" s="18">
        <v>2918.89</v>
      </c>
      <c r="H52" s="203">
        <f t="shared" si="6"/>
        <v>1.7513339999999997</v>
      </c>
      <c r="I52" s="18">
        <f t="shared" ref="I52:I53" si="8">F52/2*G52</f>
        <v>875.66699999999992</v>
      </c>
      <c r="J52" s="35"/>
      <c r="L52" s="27"/>
      <c r="M52" s="28"/>
      <c r="N52" s="29"/>
    </row>
    <row r="53" spans="1:14" ht="15.75" customHeight="1">
      <c r="A53" s="49">
        <v>19</v>
      </c>
      <c r="B53" s="199" t="s">
        <v>49</v>
      </c>
      <c r="C53" s="200" t="s">
        <v>50</v>
      </c>
      <c r="D53" s="199" t="s">
        <v>54</v>
      </c>
      <c r="E53" s="201">
        <v>1</v>
      </c>
      <c r="F53" s="202">
        <v>0.02</v>
      </c>
      <c r="G53" s="18">
        <v>6042.13</v>
      </c>
      <c r="H53" s="203">
        <f t="shared" si="6"/>
        <v>0.12084260000000001</v>
      </c>
      <c r="I53" s="18">
        <f t="shared" si="8"/>
        <v>60.421300000000002</v>
      </c>
      <c r="J53" s="35"/>
      <c r="L53" s="27"/>
      <c r="M53" s="28"/>
      <c r="N53" s="29"/>
    </row>
    <row r="54" spans="1:14" ht="15.75" hidden="1" customHeight="1">
      <c r="A54" s="49">
        <v>14</v>
      </c>
      <c r="B54" s="199" t="s">
        <v>197</v>
      </c>
      <c r="C54" s="200" t="s">
        <v>144</v>
      </c>
      <c r="D54" s="199" t="s">
        <v>92</v>
      </c>
      <c r="E54" s="201">
        <v>90</v>
      </c>
      <c r="F54" s="202">
        <f>E54*4</f>
        <v>360</v>
      </c>
      <c r="G54" s="18">
        <v>150.86000000000001</v>
      </c>
      <c r="H54" s="203">
        <f>F54*G54/1000</f>
        <v>54.309600000000003</v>
      </c>
      <c r="I54" s="18">
        <f>G54*E54</f>
        <v>13577.400000000001</v>
      </c>
      <c r="J54" s="35"/>
      <c r="L54" s="27"/>
      <c r="M54" s="28"/>
      <c r="N54" s="29"/>
    </row>
    <row r="55" spans="1:14" ht="15.75" hidden="1" customHeight="1">
      <c r="A55" s="49">
        <v>15</v>
      </c>
      <c r="B55" s="199" t="s">
        <v>53</v>
      </c>
      <c r="C55" s="200" t="s">
        <v>144</v>
      </c>
      <c r="D55" s="199" t="s">
        <v>92</v>
      </c>
      <c r="E55" s="201">
        <v>180</v>
      </c>
      <c r="F55" s="202">
        <f>SUM(E55)*3</f>
        <v>540</v>
      </c>
      <c r="G55" s="18">
        <v>70.2</v>
      </c>
      <c r="H55" s="203">
        <f t="shared" si="6"/>
        <v>37.908000000000001</v>
      </c>
      <c r="I55" s="18">
        <f>G55*E55</f>
        <v>12636</v>
      </c>
      <c r="J55" s="35"/>
      <c r="L55" s="27"/>
      <c r="M55" s="28"/>
      <c r="N55" s="29"/>
    </row>
    <row r="56" spans="1:14" ht="15.75" customHeight="1">
      <c r="A56" s="245" t="s">
        <v>238</v>
      </c>
      <c r="B56" s="246"/>
      <c r="C56" s="246"/>
      <c r="D56" s="246"/>
      <c r="E56" s="246"/>
      <c r="F56" s="246"/>
      <c r="G56" s="246"/>
      <c r="H56" s="246"/>
      <c r="I56" s="247"/>
      <c r="J56" s="35"/>
      <c r="L56" s="27"/>
      <c r="M56" s="28"/>
      <c r="N56" s="29"/>
    </row>
    <row r="57" spans="1:14" ht="15.75" hidden="1" customHeight="1">
      <c r="A57" s="49"/>
      <c r="B57" s="224" t="s">
        <v>55</v>
      </c>
      <c r="C57" s="200"/>
      <c r="D57" s="199"/>
      <c r="E57" s="201"/>
      <c r="F57" s="202"/>
      <c r="G57" s="202"/>
      <c r="H57" s="203"/>
      <c r="I57" s="18"/>
      <c r="J57" s="35"/>
      <c r="L57" s="27"/>
      <c r="M57" s="28"/>
      <c r="N57" s="29"/>
    </row>
    <row r="58" spans="1:14" ht="31.5" hidden="1" customHeight="1">
      <c r="A58" s="49">
        <v>16</v>
      </c>
      <c r="B58" s="199" t="s">
        <v>199</v>
      </c>
      <c r="C58" s="200" t="s">
        <v>151</v>
      </c>
      <c r="D58" s="199" t="s">
        <v>175</v>
      </c>
      <c r="E58" s="201">
        <v>148.04</v>
      </c>
      <c r="F58" s="202">
        <f>SUM(E58*6/100)</f>
        <v>8.8824000000000005</v>
      </c>
      <c r="G58" s="18">
        <v>1654.04</v>
      </c>
      <c r="H58" s="203">
        <f>SUM(F58*G58/1000)</f>
        <v>14.691844896000001</v>
      </c>
      <c r="I58" s="18">
        <f>F58/6*G58</f>
        <v>2448.6408160000001</v>
      </c>
      <c r="J58" s="35"/>
      <c r="L58" s="27"/>
      <c r="M58" s="28"/>
      <c r="N58" s="29"/>
    </row>
    <row r="59" spans="1:14" ht="31.5" hidden="1" customHeight="1">
      <c r="A59" s="49">
        <v>17</v>
      </c>
      <c r="B59" s="199" t="s">
        <v>142</v>
      </c>
      <c r="C59" s="200" t="s">
        <v>151</v>
      </c>
      <c r="D59" s="199" t="s">
        <v>143</v>
      </c>
      <c r="E59" s="201">
        <v>39.700000000000003</v>
      </c>
      <c r="F59" s="202">
        <f>SUM(E59*12/100)</f>
        <v>4.7640000000000002</v>
      </c>
      <c r="G59" s="18">
        <v>1654.04</v>
      </c>
      <c r="H59" s="203">
        <f>SUM(F59*G59/1000)</f>
        <v>7.8798465599999998</v>
      </c>
      <c r="I59" s="18">
        <f>F59/6*G59</f>
        <v>1313.3077600000001</v>
      </c>
      <c r="J59" s="35"/>
      <c r="L59" s="27"/>
      <c r="M59" s="28"/>
      <c r="N59" s="29"/>
    </row>
    <row r="60" spans="1:14" ht="15.75" hidden="1" customHeight="1">
      <c r="A60" s="49">
        <v>18</v>
      </c>
      <c r="B60" s="208" t="s">
        <v>200</v>
      </c>
      <c r="C60" s="209" t="s">
        <v>201</v>
      </c>
      <c r="D60" s="208" t="s">
        <v>54</v>
      </c>
      <c r="E60" s="210">
        <v>8</v>
      </c>
      <c r="F60" s="211">
        <v>16</v>
      </c>
      <c r="G60" s="18">
        <v>193.25</v>
      </c>
      <c r="H60" s="212">
        <f>F60*G60/1000</f>
        <v>3.0920000000000001</v>
      </c>
      <c r="I60" s="18">
        <f>F60/2*G60</f>
        <v>1546</v>
      </c>
      <c r="J60" s="35"/>
      <c r="L60" s="27"/>
      <c r="M60" s="28"/>
      <c r="N60" s="29"/>
    </row>
    <row r="61" spans="1:14" ht="15.75" hidden="1" customHeight="1">
      <c r="A61" s="49">
        <v>19</v>
      </c>
      <c r="B61" s="199" t="s">
        <v>202</v>
      </c>
      <c r="C61" s="200" t="s">
        <v>151</v>
      </c>
      <c r="D61" s="199" t="s">
        <v>175</v>
      </c>
      <c r="E61" s="201">
        <v>41.73</v>
      </c>
      <c r="F61" s="202">
        <f>SUM(E61*6/100)</f>
        <v>2.5038</v>
      </c>
      <c r="G61" s="18">
        <v>1654.04</v>
      </c>
      <c r="H61" s="203">
        <f>SUM(F61*G61/1000)</f>
        <v>4.1413853520000004</v>
      </c>
      <c r="I61" s="18">
        <f>F61/6*G61</f>
        <v>690.23089200000004</v>
      </c>
      <c r="J61" s="35"/>
      <c r="L61" s="27"/>
      <c r="M61" s="28"/>
      <c r="N61" s="29"/>
    </row>
    <row r="62" spans="1:14" ht="15.75" customHeight="1">
      <c r="A62" s="49"/>
      <c r="B62" s="225" t="s">
        <v>56</v>
      </c>
      <c r="C62" s="209"/>
      <c r="D62" s="208"/>
      <c r="E62" s="210"/>
      <c r="F62" s="211"/>
      <c r="G62" s="18"/>
      <c r="H62" s="212"/>
      <c r="I62" s="18"/>
      <c r="J62" s="35"/>
      <c r="L62" s="27"/>
      <c r="M62" s="28"/>
      <c r="N62" s="29"/>
    </row>
    <row r="63" spans="1:14" ht="15.75" hidden="1" customHeight="1">
      <c r="A63" s="49"/>
      <c r="B63" s="208" t="s">
        <v>57</v>
      </c>
      <c r="C63" s="209" t="s">
        <v>66</v>
      </c>
      <c r="D63" s="208" t="s">
        <v>67</v>
      </c>
      <c r="E63" s="210">
        <v>1015.4</v>
      </c>
      <c r="F63" s="211">
        <v>10.154</v>
      </c>
      <c r="G63" s="18">
        <v>848.37</v>
      </c>
      <c r="H63" s="212">
        <f>F63*G63/1000</f>
        <v>8.6143489800000008</v>
      </c>
      <c r="I63" s="18">
        <v>0</v>
      </c>
      <c r="J63" s="35"/>
      <c r="L63" s="27"/>
      <c r="M63" s="28"/>
      <c r="N63" s="29"/>
    </row>
    <row r="64" spans="1:14" ht="15.75" customHeight="1">
      <c r="A64" s="49">
        <v>20</v>
      </c>
      <c r="B64" s="208" t="s">
        <v>146</v>
      </c>
      <c r="C64" s="209" t="s">
        <v>29</v>
      </c>
      <c r="D64" s="208" t="s">
        <v>36</v>
      </c>
      <c r="E64" s="210">
        <v>203.1</v>
      </c>
      <c r="F64" s="213">
        <f>E64*12</f>
        <v>2437.1999999999998</v>
      </c>
      <c r="G64" s="194">
        <v>2.6</v>
      </c>
      <c r="H64" s="211">
        <f>F64*G64/1000</f>
        <v>6.3367199999999997</v>
      </c>
      <c r="I64" s="18">
        <f>F64/12*G64</f>
        <v>528.06000000000006</v>
      </c>
      <c r="J64" s="35"/>
      <c r="L64" s="27"/>
      <c r="M64" s="28"/>
      <c r="N64" s="29"/>
    </row>
    <row r="65" spans="1:21" ht="15.75" customHeight="1">
      <c r="A65" s="49"/>
      <c r="B65" s="225" t="s">
        <v>58</v>
      </c>
      <c r="C65" s="209"/>
      <c r="D65" s="208"/>
      <c r="E65" s="210"/>
      <c r="F65" s="213"/>
      <c r="G65" s="213"/>
      <c r="H65" s="211" t="s">
        <v>207</v>
      </c>
      <c r="I65" s="18"/>
      <c r="J65" s="35"/>
      <c r="L65" s="27"/>
    </row>
    <row r="66" spans="1:21" ht="15.75" customHeight="1">
      <c r="A66" s="49">
        <v>21</v>
      </c>
      <c r="B66" s="20" t="s">
        <v>59</v>
      </c>
      <c r="C66" s="22" t="s">
        <v>144</v>
      </c>
      <c r="D66" s="20" t="s">
        <v>88</v>
      </c>
      <c r="E66" s="25">
        <v>10</v>
      </c>
      <c r="F66" s="202">
        <v>10</v>
      </c>
      <c r="G66" s="18">
        <v>237.75</v>
      </c>
      <c r="H66" s="214">
        <f t="shared" ref="H66:H79" si="9">SUM(F66*G66/1000)</f>
        <v>2.3774999999999999</v>
      </c>
      <c r="I66" s="18">
        <f>G66*8</f>
        <v>1902</v>
      </c>
      <c r="J66" s="35"/>
      <c r="L66" s="27"/>
    </row>
    <row r="67" spans="1:21" ht="15.75" hidden="1" customHeight="1">
      <c r="A67" s="49"/>
      <c r="B67" s="20" t="s">
        <v>60</v>
      </c>
      <c r="C67" s="22" t="s">
        <v>144</v>
      </c>
      <c r="D67" s="20" t="s">
        <v>88</v>
      </c>
      <c r="E67" s="25">
        <v>5</v>
      </c>
      <c r="F67" s="202">
        <v>5</v>
      </c>
      <c r="G67" s="18">
        <v>81.510000000000005</v>
      </c>
      <c r="H67" s="214">
        <f t="shared" si="9"/>
        <v>0.40755000000000002</v>
      </c>
      <c r="I67" s="18">
        <v>0</v>
      </c>
      <c r="J67" s="35"/>
      <c r="L67" s="27"/>
    </row>
    <row r="68" spans="1:21" ht="15.75" hidden="1" customHeight="1">
      <c r="A68" s="49"/>
      <c r="B68" s="20" t="s">
        <v>61</v>
      </c>
      <c r="C68" s="22" t="s">
        <v>177</v>
      </c>
      <c r="D68" s="20" t="s">
        <v>67</v>
      </c>
      <c r="E68" s="201">
        <v>14205</v>
      </c>
      <c r="F68" s="18">
        <f>SUM(E68/100)</f>
        <v>142.05000000000001</v>
      </c>
      <c r="G68" s="18">
        <v>226.79</v>
      </c>
      <c r="H68" s="214">
        <f t="shared" si="9"/>
        <v>32.215519499999999</v>
      </c>
      <c r="I68" s="18">
        <v>0</v>
      </c>
    </row>
    <row r="69" spans="1:21" ht="15.75" hidden="1" customHeight="1">
      <c r="A69" s="49"/>
      <c r="B69" s="20" t="s">
        <v>62</v>
      </c>
      <c r="C69" s="22" t="s">
        <v>178</v>
      </c>
      <c r="D69" s="20" t="s">
        <v>67</v>
      </c>
      <c r="E69" s="201">
        <v>14205</v>
      </c>
      <c r="F69" s="18">
        <f>SUM(E69/1000)</f>
        <v>14.205</v>
      </c>
      <c r="G69" s="18">
        <v>176.61</v>
      </c>
      <c r="H69" s="214">
        <f t="shared" si="9"/>
        <v>2.5087450499999999</v>
      </c>
      <c r="I69" s="18">
        <v>0</v>
      </c>
      <c r="J69" s="40"/>
      <c r="K69" s="40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49"/>
      <c r="B70" s="20" t="s">
        <v>63</v>
      </c>
      <c r="C70" s="22" t="s">
        <v>98</v>
      </c>
      <c r="D70" s="20" t="s">
        <v>67</v>
      </c>
      <c r="E70" s="201">
        <v>2131</v>
      </c>
      <c r="F70" s="18">
        <f>SUM(E70/100)</f>
        <v>21.31</v>
      </c>
      <c r="G70" s="18">
        <v>2217.7800000000002</v>
      </c>
      <c r="H70" s="214">
        <f t="shared" si="9"/>
        <v>47.260891800000003</v>
      </c>
      <c r="I70" s="18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49"/>
      <c r="B71" s="215" t="s">
        <v>179</v>
      </c>
      <c r="C71" s="22" t="s">
        <v>39</v>
      </c>
      <c r="D71" s="20" t="s">
        <v>67</v>
      </c>
      <c r="E71" s="201">
        <v>12.48</v>
      </c>
      <c r="F71" s="18">
        <f>SUM(E71)</f>
        <v>12.48</v>
      </c>
      <c r="G71" s="18">
        <v>42.67</v>
      </c>
      <c r="H71" s="214">
        <f t="shared" si="9"/>
        <v>0.53252160000000004</v>
      </c>
      <c r="I71" s="18">
        <v>0</v>
      </c>
      <c r="J71" s="5"/>
      <c r="K71" s="5"/>
      <c r="L71" s="5"/>
      <c r="M71" s="5"/>
      <c r="N71" s="5"/>
      <c r="O71" s="5"/>
      <c r="P71" s="5"/>
      <c r="Q71" s="5"/>
      <c r="R71" s="248"/>
      <c r="S71" s="248"/>
      <c r="T71" s="248"/>
      <c r="U71" s="248"/>
    </row>
    <row r="72" spans="1:21" ht="15.75" hidden="1" customHeight="1">
      <c r="A72" s="49"/>
      <c r="B72" s="215" t="s">
        <v>180</v>
      </c>
      <c r="C72" s="22" t="s">
        <v>39</v>
      </c>
      <c r="D72" s="20" t="s">
        <v>67</v>
      </c>
      <c r="E72" s="201">
        <v>12.48</v>
      </c>
      <c r="F72" s="18">
        <f>SUM(E72)</f>
        <v>12.48</v>
      </c>
      <c r="G72" s="18">
        <v>39.81</v>
      </c>
      <c r="H72" s="214">
        <f t="shared" si="9"/>
        <v>0.49682880000000007</v>
      </c>
      <c r="I72" s="18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customHeight="1">
      <c r="A73" s="49">
        <v>22</v>
      </c>
      <c r="B73" s="20" t="s">
        <v>72</v>
      </c>
      <c r="C73" s="22" t="s">
        <v>73</v>
      </c>
      <c r="D73" s="20" t="s">
        <v>67</v>
      </c>
      <c r="E73" s="25">
        <v>5</v>
      </c>
      <c r="F73" s="202">
        <v>5</v>
      </c>
      <c r="G73" s="18">
        <v>53.32</v>
      </c>
      <c r="H73" s="214">
        <f t="shared" si="9"/>
        <v>0.2666</v>
      </c>
      <c r="I73" s="18">
        <f>F73*G73</f>
        <v>266.60000000000002</v>
      </c>
    </row>
    <row r="74" spans="1:21" ht="15.75" hidden="1" customHeight="1">
      <c r="A74" s="49"/>
      <c r="B74" s="193" t="s">
        <v>93</v>
      </c>
      <c r="C74" s="22"/>
      <c r="D74" s="20"/>
      <c r="E74" s="25"/>
      <c r="F74" s="18"/>
      <c r="G74" s="18"/>
      <c r="H74" s="214" t="s">
        <v>207</v>
      </c>
      <c r="I74" s="18"/>
    </row>
    <row r="75" spans="1:21" ht="15.75" hidden="1" customHeight="1">
      <c r="A75" s="49">
        <v>21</v>
      </c>
      <c r="B75" s="20" t="s">
        <v>94</v>
      </c>
      <c r="C75" s="22" t="s">
        <v>96</v>
      </c>
      <c r="D75" s="20" t="s">
        <v>88</v>
      </c>
      <c r="E75" s="25">
        <v>2</v>
      </c>
      <c r="F75" s="18">
        <v>0.2</v>
      </c>
      <c r="G75" s="18">
        <v>536.23</v>
      </c>
      <c r="H75" s="214">
        <f t="shared" si="9"/>
        <v>0.10724600000000001</v>
      </c>
      <c r="I75" s="18">
        <f>G75*0.1</f>
        <v>53.623000000000005</v>
      </c>
    </row>
    <row r="76" spans="1:21" ht="15.75" hidden="1" customHeight="1">
      <c r="A76" s="49"/>
      <c r="B76" s="20" t="s">
        <v>95</v>
      </c>
      <c r="C76" s="22" t="s">
        <v>37</v>
      </c>
      <c r="D76" s="20" t="s">
        <v>88</v>
      </c>
      <c r="E76" s="25">
        <v>1</v>
      </c>
      <c r="F76" s="194">
        <v>1</v>
      </c>
      <c r="G76" s="18">
        <v>911.85</v>
      </c>
      <c r="H76" s="214">
        <f>F76*G76/1000</f>
        <v>0.91185000000000005</v>
      </c>
      <c r="I76" s="18">
        <v>0</v>
      </c>
    </row>
    <row r="77" spans="1:21" ht="15.75" hidden="1" customHeight="1">
      <c r="A77" s="49"/>
      <c r="B77" s="20" t="s">
        <v>203</v>
      </c>
      <c r="C77" s="22" t="s">
        <v>37</v>
      </c>
      <c r="D77" s="20" t="s">
        <v>88</v>
      </c>
      <c r="E77" s="25">
        <v>1</v>
      </c>
      <c r="F77" s="18">
        <v>1</v>
      </c>
      <c r="G77" s="18">
        <v>383.25</v>
      </c>
      <c r="H77" s="214">
        <f>G77*F77/1000</f>
        <v>0.38324999999999998</v>
      </c>
      <c r="I77" s="18">
        <v>0</v>
      </c>
    </row>
    <row r="78" spans="1:21" ht="15.75" hidden="1" customHeight="1">
      <c r="A78" s="49"/>
      <c r="B78" s="216" t="s">
        <v>97</v>
      </c>
      <c r="C78" s="22"/>
      <c r="D78" s="20"/>
      <c r="E78" s="25"/>
      <c r="F78" s="18"/>
      <c r="G78" s="18" t="s">
        <v>207</v>
      </c>
      <c r="H78" s="214" t="s">
        <v>207</v>
      </c>
      <c r="I78" s="18"/>
    </row>
    <row r="79" spans="1:21" ht="15.75" hidden="1" customHeight="1">
      <c r="A79" s="49">
        <v>22</v>
      </c>
      <c r="B79" s="86" t="s">
        <v>183</v>
      </c>
      <c r="C79" s="22" t="s">
        <v>98</v>
      </c>
      <c r="D79" s="20"/>
      <c r="E79" s="25"/>
      <c r="F79" s="18">
        <v>0.9</v>
      </c>
      <c r="G79" s="18">
        <v>2757.42</v>
      </c>
      <c r="H79" s="214">
        <f t="shared" si="9"/>
        <v>2.4816780000000005</v>
      </c>
      <c r="I79" s="18">
        <f>G79*F79</f>
        <v>2481.6780000000003</v>
      </c>
    </row>
    <row r="80" spans="1:21" ht="15.75" hidden="1" customHeight="1">
      <c r="A80" s="49"/>
      <c r="B80" s="193" t="s">
        <v>181</v>
      </c>
      <c r="C80" s="216"/>
      <c r="D80" s="54"/>
      <c r="E80" s="58"/>
      <c r="F80" s="205"/>
      <c r="G80" s="205"/>
      <c r="H80" s="217">
        <f>SUM(H58:H79)</f>
        <v>134.70632653799998</v>
      </c>
      <c r="I80" s="205"/>
    </row>
    <row r="81" spans="1:9" ht="15.75" hidden="1" customHeight="1">
      <c r="A81" s="226">
        <v>23</v>
      </c>
      <c r="B81" s="208" t="s">
        <v>182</v>
      </c>
      <c r="C81" s="227"/>
      <c r="D81" s="228"/>
      <c r="E81" s="195"/>
      <c r="F81" s="220">
        <v>1</v>
      </c>
      <c r="G81" s="220">
        <v>27901.200000000001</v>
      </c>
      <c r="H81" s="229">
        <f>G81*F81/1000</f>
        <v>27.901199999999999</v>
      </c>
      <c r="I81" s="220">
        <f>G81</f>
        <v>27901.200000000001</v>
      </c>
    </row>
    <row r="82" spans="1:9" ht="15.75" customHeight="1">
      <c r="A82" s="251" t="s">
        <v>239</v>
      </c>
      <c r="B82" s="252"/>
      <c r="C82" s="252"/>
      <c r="D82" s="252"/>
      <c r="E82" s="252"/>
      <c r="F82" s="252"/>
      <c r="G82" s="252"/>
      <c r="H82" s="252"/>
      <c r="I82" s="253"/>
    </row>
    <row r="83" spans="1:9" ht="15.75" customHeight="1">
      <c r="A83" s="230">
        <v>23</v>
      </c>
      <c r="B83" s="235" t="s">
        <v>184</v>
      </c>
      <c r="C83" s="231" t="s">
        <v>68</v>
      </c>
      <c r="D83" s="232" t="s">
        <v>69</v>
      </c>
      <c r="E83" s="233">
        <v>3945</v>
      </c>
      <c r="F83" s="233">
        <f>SUM(E83*12)</f>
        <v>47340</v>
      </c>
      <c r="G83" s="233">
        <v>2.2400000000000002</v>
      </c>
      <c r="H83" s="234">
        <f>SUM(F83*G83/1000)</f>
        <v>106.0416</v>
      </c>
      <c r="I83" s="233">
        <f>F83/12*G83</f>
        <v>8836.8000000000011</v>
      </c>
    </row>
    <row r="84" spans="1:9" ht="31.5" customHeight="1">
      <c r="A84" s="49">
        <v>24</v>
      </c>
      <c r="B84" s="20" t="s">
        <v>99</v>
      </c>
      <c r="C84" s="22"/>
      <c r="D84" s="232" t="s">
        <v>69</v>
      </c>
      <c r="E84" s="201">
        <f>E83</f>
        <v>3945</v>
      </c>
      <c r="F84" s="18">
        <f>E84*12</f>
        <v>47340</v>
      </c>
      <c r="G84" s="18">
        <v>1.74</v>
      </c>
      <c r="H84" s="214">
        <f>F84*G84/1000</f>
        <v>82.371600000000001</v>
      </c>
      <c r="I84" s="18">
        <f>F84/12*G84</f>
        <v>6864.3</v>
      </c>
    </row>
    <row r="85" spans="1:9" ht="15.75" customHeight="1">
      <c r="A85" s="49"/>
      <c r="B85" s="73" t="s">
        <v>105</v>
      </c>
      <c r="C85" s="75"/>
      <c r="D85" s="21"/>
      <c r="E85" s="21"/>
      <c r="F85" s="25"/>
      <c r="G85" s="31"/>
      <c r="H85" s="217">
        <f>H84</f>
        <v>82.371600000000001</v>
      </c>
      <c r="I85" s="58">
        <f>SUM(I16+I17+I18+I20+I21+I25+I26+I29+I30+I32+I33+I46+I47+I48+I49+I50+I51+I52+I53+I64+I66+I73+I83+I84)</f>
        <v>66876.897381800009</v>
      </c>
    </row>
    <row r="86" spans="1:9" ht="15.75" customHeight="1">
      <c r="A86" s="49"/>
      <c r="B86" s="173" t="s">
        <v>76</v>
      </c>
      <c r="C86" s="173"/>
      <c r="D86" s="173"/>
      <c r="E86" s="173"/>
      <c r="F86" s="173"/>
      <c r="G86" s="31"/>
      <c r="H86" s="217" t="e">
        <f>SUM(H85+#REF!+H80+H56+#REF!+#REF!+H27)</f>
        <v>#REF!</v>
      </c>
      <c r="I86" s="173"/>
    </row>
    <row r="87" spans="1:9" ht="15.75" customHeight="1">
      <c r="A87" s="49">
        <v>25</v>
      </c>
      <c r="B87" s="175" t="s">
        <v>185</v>
      </c>
      <c r="C87" s="176" t="s">
        <v>186</v>
      </c>
      <c r="D87" s="86"/>
      <c r="E87" s="18"/>
      <c r="F87" s="18">
        <f>15/3</f>
        <v>5</v>
      </c>
      <c r="G87" s="18">
        <v>1063.47</v>
      </c>
      <c r="H87" s="214">
        <f t="shared" ref="H87" si="10">G87*F87/1000</f>
        <v>5.3173500000000002</v>
      </c>
      <c r="I87" s="220">
        <f>G87*2</f>
        <v>2126.94</v>
      </c>
    </row>
    <row r="88" spans="1:9">
      <c r="A88" s="49"/>
      <c r="B88" s="80" t="s">
        <v>64</v>
      </c>
      <c r="C88" s="76"/>
      <c r="D88" s="129"/>
      <c r="E88" s="76">
        <v>1</v>
      </c>
      <c r="F88" s="76"/>
      <c r="G88" s="76"/>
      <c r="H88" s="76"/>
      <c r="I88" s="58">
        <f>SUM(I87)</f>
        <v>2126.94</v>
      </c>
    </row>
    <row r="89" spans="1:9" ht="16.5" customHeight="1">
      <c r="A89" s="49"/>
      <c r="B89" s="86" t="s">
        <v>100</v>
      </c>
      <c r="C89" s="21"/>
      <c r="D89" s="21"/>
      <c r="E89" s="77"/>
      <c r="F89" s="77"/>
      <c r="G89" s="78"/>
      <c r="H89" s="78"/>
      <c r="I89" s="24">
        <v>0</v>
      </c>
    </row>
    <row r="90" spans="1:9" ht="16.5" customHeight="1">
      <c r="A90" s="130"/>
      <c r="B90" s="81" t="s">
        <v>65</v>
      </c>
      <c r="C90" s="64"/>
      <c r="D90" s="64"/>
      <c r="E90" s="64"/>
      <c r="F90" s="64"/>
      <c r="G90" s="64"/>
      <c r="H90" s="64"/>
      <c r="I90" s="79">
        <f>I85+I88</f>
        <v>69003.837381800011</v>
      </c>
    </row>
    <row r="91" spans="1:9" ht="15.75" customHeight="1">
      <c r="A91" s="249" t="s">
        <v>269</v>
      </c>
      <c r="B91" s="249"/>
      <c r="C91" s="249"/>
      <c r="D91" s="249"/>
      <c r="E91" s="249"/>
      <c r="F91" s="249"/>
      <c r="G91" s="249"/>
      <c r="H91" s="249"/>
      <c r="I91" s="249"/>
    </row>
    <row r="92" spans="1:9" ht="15.75" customHeight="1">
      <c r="A92" s="190"/>
      <c r="B92" s="258" t="s">
        <v>270</v>
      </c>
      <c r="C92" s="258"/>
      <c r="D92" s="258"/>
      <c r="E92" s="258"/>
      <c r="F92" s="258"/>
      <c r="G92" s="258"/>
      <c r="H92" s="198"/>
      <c r="I92" s="3"/>
    </row>
    <row r="93" spans="1:9" ht="15.75" customHeight="1">
      <c r="A93" s="188"/>
      <c r="B93" s="255" t="s">
        <v>7</v>
      </c>
      <c r="C93" s="255"/>
      <c r="D93" s="255"/>
      <c r="E93" s="255"/>
      <c r="F93" s="255"/>
      <c r="G93" s="255"/>
      <c r="H93" s="39"/>
      <c r="I93" s="5"/>
    </row>
    <row r="94" spans="1:9" ht="15.75" customHeight="1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5.75">
      <c r="A95" s="259" t="s">
        <v>8</v>
      </c>
      <c r="B95" s="259"/>
      <c r="C95" s="259"/>
      <c r="D95" s="259"/>
      <c r="E95" s="259"/>
      <c r="F95" s="259"/>
      <c r="G95" s="259"/>
      <c r="H95" s="259"/>
      <c r="I95" s="259"/>
    </row>
    <row r="96" spans="1:9" ht="15.75">
      <c r="A96" s="259" t="s">
        <v>9</v>
      </c>
      <c r="B96" s="259"/>
      <c r="C96" s="259"/>
      <c r="D96" s="259"/>
      <c r="E96" s="259"/>
      <c r="F96" s="259"/>
      <c r="G96" s="259"/>
      <c r="H96" s="259"/>
      <c r="I96" s="259"/>
    </row>
    <row r="97" spans="1:9" ht="15.75">
      <c r="A97" s="242" t="s">
        <v>79</v>
      </c>
      <c r="B97" s="242"/>
      <c r="C97" s="242"/>
      <c r="D97" s="242"/>
      <c r="E97" s="242"/>
      <c r="F97" s="242"/>
      <c r="G97" s="242"/>
      <c r="H97" s="242"/>
      <c r="I97" s="242"/>
    </row>
    <row r="98" spans="1:9" ht="15.75">
      <c r="A98" s="12"/>
    </row>
    <row r="99" spans="1:9" ht="15.75">
      <c r="A99" s="243" t="s">
        <v>11</v>
      </c>
      <c r="B99" s="243"/>
      <c r="C99" s="243"/>
      <c r="D99" s="243"/>
      <c r="E99" s="243"/>
      <c r="F99" s="243"/>
      <c r="G99" s="243"/>
      <c r="H99" s="243"/>
      <c r="I99" s="243"/>
    </row>
    <row r="100" spans="1:9" ht="15.75">
      <c r="A100" s="4"/>
    </row>
    <row r="101" spans="1:9" ht="15.75">
      <c r="B101" s="189" t="s">
        <v>12</v>
      </c>
      <c r="C101" s="254" t="s">
        <v>187</v>
      </c>
      <c r="D101" s="254"/>
      <c r="E101" s="254"/>
      <c r="F101" s="196"/>
      <c r="I101" s="192"/>
    </row>
    <row r="102" spans="1:9">
      <c r="A102" s="188"/>
      <c r="C102" s="255" t="s">
        <v>13</v>
      </c>
      <c r="D102" s="255"/>
      <c r="E102" s="255"/>
      <c r="F102" s="39"/>
      <c r="I102" s="191" t="s">
        <v>14</v>
      </c>
    </row>
    <row r="103" spans="1:9" ht="15.75">
      <c r="A103" s="40"/>
      <c r="C103" s="13"/>
      <c r="D103" s="13"/>
      <c r="G103" s="13"/>
      <c r="H103" s="13"/>
    </row>
    <row r="104" spans="1:9" ht="15.75">
      <c r="B104" s="189" t="s">
        <v>15</v>
      </c>
      <c r="C104" s="256"/>
      <c r="D104" s="256"/>
      <c r="E104" s="256"/>
      <c r="F104" s="197"/>
      <c r="I104" s="192"/>
    </row>
    <row r="105" spans="1:9">
      <c r="A105" s="188"/>
      <c r="C105" s="248" t="s">
        <v>13</v>
      </c>
      <c r="D105" s="248"/>
      <c r="E105" s="248"/>
      <c r="F105" s="188"/>
      <c r="I105" s="191" t="s">
        <v>14</v>
      </c>
    </row>
    <row r="106" spans="1:9" ht="15.75">
      <c r="A106" s="4" t="s">
        <v>16</v>
      </c>
    </row>
    <row r="107" spans="1:9">
      <c r="A107" s="257" t="s">
        <v>17</v>
      </c>
      <c r="B107" s="257"/>
      <c r="C107" s="257"/>
      <c r="D107" s="257"/>
      <c r="E107" s="257"/>
      <c r="F107" s="257"/>
      <c r="G107" s="257"/>
      <c r="H107" s="257"/>
      <c r="I107" s="257"/>
    </row>
    <row r="108" spans="1:9" ht="47.25" customHeight="1">
      <c r="A108" s="250" t="s">
        <v>18</v>
      </c>
      <c r="B108" s="250"/>
      <c r="C108" s="250"/>
      <c r="D108" s="250"/>
      <c r="E108" s="250"/>
      <c r="F108" s="250"/>
      <c r="G108" s="250"/>
      <c r="H108" s="250"/>
      <c r="I108" s="250"/>
    </row>
    <row r="109" spans="1:9" ht="31.5" customHeight="1">
      <c r="A109" s="250" t="s">
        <v>19</v>
      </c>
      <c r="B109" s="250"/>
      <c r="C109" s="250"/>
      <c r="D109" s="250"/>
      <c r="E109" s="250"/>
      <c r="F109" s="250"/>
      <c r="G109" s="250"/>
      <c r="H109" s="250"/>
      <c r="I109" s="250"/>
    </row>
    <row r="110" spans="1:9" ht="31.5" customHeight="1">
      <c r="A110" s="250" t="s">
        <v>24</v>
      </c>
      <c r="B110" s="250"/>
      <c r="C110" s="250"/>
      <c r="D110" s="250"/>
      <c r="E110" s="250"/>
      <c r="F110" s="250"/>
      <c r="G110" s="250"/>
      <c r="H110" s="250"/>
      <c r="I110" s="250"/>
    </row>
    <row r="111" spans="1:9" ht="15.75">
      <c r="A111" s="250" t="s">
        <v>23</v>
      </c>
      <c r="B111" s="250"/>
      <c r="C111" s="250"/>
      <c r="D111" s="250"/>
      <c r="E111" s="250"/>
      <c r="F111" s="250"/>
      <c r="G111" s="250"/>
      <c r="H111" s="250"/>
      <c r="I111" s="250"/>
    </row>
  </sheetData>
  <autoFilter ref="I12:I67"/>
  <mergeCells count="28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7:I27"/>
    <mergeCell ref="A45:I45"/>
    <mergeCell ref="A56:I56"/>
    <mergeCell ref="A91:I91"/>
    <mergeCell ref="B92:G92"/>
    <mergeCell ref="B93:G93"/>
    <mergeCell ref="A95:I95"/>
    <mergeCell ref="A96:I96"/>
    <mergeCell ref="R71:U71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U112"/>
  <sheetViews>
    <sheetView workbookViewId="0">
      <selection activeCell="A8" sqref="A8:I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4" t="s">
        <v>122</v>
      </c>
      <c r="I1" s="43"/>
      <c r="J1" s="1"/>
      <c r="K1" s="1"/>
      <c r="L1" s="1"/>
      <c r="M1" s="1"/>
    </row>
    <row r="2" spans="1:13" ht="15.75">
      <c r="A2" s="45" t="s">
        <v>83</v>
      </c>
      <c r="J2" s="2"/>
      <c r="K2" s="2"/>
      <c r="L2" s="2"/>
      <c r="M2" s="2"/>
    </row>
    <row r="3" spans="1:13" ht="15.75" customHeight="1">
      <c r="A3" s="237" t="s">
        <v>264</v>
      </c>
      <c r="B3" s="237"/>
      <c r="C3" s="237"/>
      <c r="D3" s="237"/>
      <c r="E3" s="237"/>
      <c r="F3" s="237"/>
      <c r="G3" s="237"/>
      <c r="H3" s="237"/>
      <c r="I3" s="237"/>
      <c r="J3" s="3"/>
      <c r="K3" s="3"/>
      <c r="L3" s="3"/>
    </row>
    <row r="4" spans="1:13" ht="31.5" customHeight="1">
      <c r="A4" s="238" t="s">
        <v>188</v>
      </c>
      <c r="B4" s="238"/>
      <c r="C4" s="238"/>
      <c r="D4" s="238"/>
      <c r="E4" s="238"/>
      <c r="F4" s="238"/>
      <c r="G4" s="238"/>
      <c r="H4" s="238"/>
      <c r="I4" s="238"/>
    </row>
    <row r="5" spans="1:13" ht="15.75">
      <c r="A5" s="237" t="s">
        <v>82</v>
      </c>
      <c r="B5" s="239"/>
      <c r="C5" s="239"/>
      <c r="D5" s="239"/>
      <c r="E5" s="239"/>
      <c r="F5" s="239"/>
      <c r="G5" s="239"/>
      <c r="H5" s="239"/>
      <c r="I5" s="239"/>
      <c r="J5" s="2"/>
      <c r="K5" s="2"/>
      <c r="L5" s="2"/>
      <c r="M5" s="2"/>
    </row>
    <row r="6" spans="1:13" ht="15.75">
      <c r="A6" s="2"/>
      <c r="B6" s="187"/>
      <c r="C6" s="187"/>
      <c r="D6" s="187"/>
      <c r="E6" s="187"/>
      <c r="F6" s="187"/>
      <c r="G6" s="187"/>
      <c r="H6" s="187"/>
      <c r="I6" s="53">
        <v>42674</v>
      </c>
      <c r="J6" s="2"/>
      <c r="K6" s="2"/>
      <c r="L6" s="2"/>
      <c r="M6" s="2"/>
    </row>
    <row r="7" spans="1:13" ht="15.75">
      <c r="B7" s="189"/>
      <c r="C7" s="189"/>
      <c r="D7" s="18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40" t="s">
        <v>271</v>
      </c>
      <c r="B8" s="240"/>
      <c r="C8" s="240"/>
      <c r="D8" s="240"/>
      <c r="E8" s="240"/>
      <c r="F8" s="240"/>
      <c r="G8" s="240"/>
      <c r="H8" s="240"/>
      <c r="I8" s="24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41" t="s">
        <v>189</v>
      </c>
      <c r="B10" s="241"/>
      <c r="C10" s="241"/>
      <c r="D10" s="241"/>
      <c r="E10" s="241"/>
      <c r="F10" s="241"/>
      <c r="G10" s="241"/>
      <c r="H10" s="241"/>
      <c r="I10" s="241"/>
      <c r="J10" s="2"/>
      <c r="K10" s="2"/>
      <c r="L10" s="2"/>
      <c r="M10" s="2"/>
    </row>
    <row r="11" spans="1:13" ht="15.75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6" t="s">
        <v>74</v>
      </c>
      <c r="B14" s="236"/>
      <c r="C14" s="236"/>
      <c r="D14" s="236"/>
      <c r="E14" s="236"/>
      <c r="F14" s="236"/>
      <c r="G14" s="236"/>
      <c r="H14" s="236"/>
      <c r="I14" s="236"/>
      <c r="J14" s="8"/>
      <c r="K14" s="8"/>
      <c r="L14" s="8"/>
      <c r="M14" s="8"/>
    </row>
    <row r="15" spans="1:13">
      <c r="A15" s="244" t="s">
        <v>4</v>
      </c>
      <c r="B15" s="244"/>
      <c r="C15" s="244"/>
      <c r="D15" s="244"/>
      <c r="E15" s="244"/>
      <c r="F15" s="244"/>
      <c r="G15" s="244"/>
      <c r="H15" s="244"/>
      <c r="I15" s="244"/>
      <c r="J15" s="8"/>
      <c r="K15" s="8"/>
      <c r="L15" s="8"/>
      <c r="M15" s="8"/>
    </row>
    <row r="16" spans="1:13" ht="31.5" customHeight="1">
      <c r="A16" s="49">
        <v>1</v>
      </c>
      <c r="B16" s="199" t="s">
        <v>124</v>
      </c>
      <c r="C16" s="200" t="s">
        <v>151</v>
      </c>
      <c r="D16" s="199" t="s">
        <v>190</v>
      </c>
      <c r="E16" s="201">
        <v>95.04</v>
      </c>
      <c r="F16" s="202">
        <f>SUM(E16*156/100)</f>
        <v>148.26240000000001</v>
      </c>
      <c r="G16" s="202">
        <v>187.48</v>
      </c>
      <c r="H16" s="203">
        <f t="shared" ref="H16:H24" si="0">SUM(F16*G16/1000)</f>
        <v>27.796234752</v>
      </c>
      <c r="I16" s="18">
        <f>F16/12*G16</f>
        <v>2316.3528960000003</v>
      </c>
      <c r="J16" s="8"/>
      <c r="K16" s="8"/>
      <c r="L16" s="8"/>
      <c r="M16" s="8"/>
    </row>
    <row r="17" spans="1:13" ht="31.5" customHeight="1">
      <c r="A17" s="49">
        <v>2</v>
      </c>
      <c r="B17" s="199" t="s">
        <v>147</v>
      </c>
      <c r="C17" s="200" t="s">
        <v>151</v>
      </c>
      <c r="D17" s="199" t="s">
        <v>191</v>
      </c>
      <c r="E17" s="201">
        <v>380.16</v>
      </c>
      <c r="F17" s="202">
        <f>SUM(E17*104/100)</f>
        <v>395.3664</v>
      </c>
      <c r="G17" s="202">
        <v>187.48</v>
      </c>
      <c r="H17" s="203">
        <f t="shared" si="0"/>
        <v>74.123292671999991</v>
      </c>
      <c r="I17" s="18">
        <f>F17/12*G17</f>
        <v>6176.9410559999997</v>
      </c>
      <c r="J17" s="34"/>
      <c r="K17" s="8"/>
      <c r="L17" s="8"/>
      <c r="M17" s="8"/>
    </row>
    <row r="18" spans="1:13" ht="31.5" customHeight="1">
      <c r="A18" s="49">
        <v>3</v>
      </c>
      <c r="B18" s="199" t="s">
        <v>148</v>
      </c>
      <c r="C18" s="200" t="s">
        <v>151</v>
      </c>
      <c r="D18" s="199" t="s">
        <v>192</v>
      </c>
      <c r="E18" s="201">
        <f>SUM(E16+E17)</f>
        <v>475.20000000000005</v>
      </c>
      <c r="F18" s="202">
        <f>SUM(E18*24/100)</f>
        <v>114.04800000000002</v>
      </c>
      <c r="G18" s="202">
        <v>539.30999999999995</v>
      </c>
      <c r="H18" s="203">
        <f t="shared" si="0"/>
        <v>61.507226880000005</v>
      </c>
      <c r="I18" s="18">
        <f>F18/12*G18</f>
        <v>5125.6022400000002</v>
      </c>
      <c r="J18" s="34"/>
      <c r="K18" s="8"/>
      <c r="L18" s="8"/>
      <c r="M18" s="8"/>
    </row>
    <row r="19" spans="1:13" ht="15.75" hidden="1" customHeight="1">
      <c r="A19" s="49">
        <v>4</v>
      </c>
      <c r="B19" s="199" t="s">
        <v>152</v>
      </c>
      <c r="C19" s="200" t="s">
        <v>153</v>
      </c>
      <c r="D19" s="199" t="s">
        <v>154</v>
      </c>
      <c r="E19" s="201">
        <v>93.4</v>
      </c>
      <c r="F19" s="202">
        <f>SUM(E19/10)</f>
        <v>9.34</v>
      </c>
      <c r="G19" s="202">
        <v>181.9</v>
      </c>
      <c r="H19" s="203">
        <f t="shared" si="0"/>
        <v>1.6989460000000001</v>
      </c>
      <c r="I19" s="18">
        <v>0</v>
      </c>
      <c r="J19" s="34"/>
      <c r="K19" s="8"/>
      <c r="L19" s="8"/>
      <c r="M19" s="8"/>
    </row>
    <row r="20" spans="1:13" ht="15.75" hidden="1" customHeight="1">
      <c r="A20" s="49"/>
      <c r="B20" s="199" t="s">
        <v>155</v>
      </c>
      <c r="C20" s="200" t="s">
        <v>151</v>
      </c>
      <c r="D20" s="199" t="s">
        <v>54</v>
      </c>
      <c r="E20" s="201">
        <v>43.2</v>
      </c>
      <c r="F20" s="202">
        <f>SUM(E20*2/100)</f>
        <v>0.8640000000000001</v>
      </c>
      <c r="G20" s="202">
        <v>232.91</v>
      </c>
      <c r="H20" s="203">
        <f t="shared" si="0"/>
        <v>0.20123424000000004</v>
      </c>
      <c r="I20" s="18">
        <v>0</v>
      </c>
      <c r="J20" s="34"/>
      <c r="K20" s="8"/>
      <c r="L20" s="8"/>
      <c r="M20" s="8"/>
    </row>
    <row r="21" spans="1:13" ht="15.75" hidden="1" customHeight="1">
      <c r="A21" s="49"/>
      <c r="B21" s="199" t="s">
        <v>156</v>
      </c>
      <c r="C21" s="200" t="s">
        <v>151</v>
      </c>
      <c r="D21" s="199" t="s">
        <v>54</v>
      </c>
      <c r="E21" s="201">
        <v>10.08</v>
      </c>
      <c r="F21" s="202">
        <f>SUM(E21*2/100)</f>
        <v>0.2016</v>
      </c>
      <c r="G21" s="202">
        <v>231.03</v>
      </c>
      <c r="H21" s="203">
        <f t="shared" si="0"/>
        <v>4.6575648000000004E-2</v>
      </c>
      <c r="I21" s="18">
        <v>0</v>
      </c>
      <c r="J21" s="34"/>
      <c r="K21" s="8"/>
      <c r="L21" s="8"/>
      <c r="M21" s="8"/>
    </row>
    <row r="22" spans="1:13" ht="15.75" hidden="1" customHeight="1">
      <c r="A22" s="49"/>
      <c r="B22" s="199" t="s">
        <v>157</v>
      </c>
      <c r="C22" s="200" t="s">
        <v>66</v>
      </c>
      <c r="D22" s="199" t="s">
        <v>154</v>
      </c>
      <c r="E22" s="201">
        <v>642.6</v>
      </c>
      <c r="F22" s="202">
        <f>SUM(E22/100)</f>
        <v>6.4260000000000002</v>
      </c>
      <c r="G22" s="202">
        <v>287.83999999999997</v>
      </c>
      <c r="H22" s="203">
        <f t="shared" si="0"/>
        <v>1.8496598399999997</v>
      </c>
      <c r="I22" s="18">
        <v>0</v>
      </c>
      <c r="J22" s="34"/>
      <c r="K22" s="8"/>
      <c r="L22" s="8"/>
      <c r="M22" s="8"/>
    </row>
    <row r="23" spans="1:13" ht="15.75" hidden="1" customHeight="1">
      <c r="A23" s="49"/>
      <c r="B23" s="199" t="s">
        <v>158</v>
      </c>
      <c r="C23" s="200" t="s">
        <v>66</v>
      </c>
      <c r="D23" s="199" t="s">
        <v>154</v>
      </c>
      <c r="E23" s="204">
        <v>35.28</v>
      </c>
      <c r="F23" s="202">
        <f>SUM(E23/100)</f>
        <v>0.3528</v>
      </c>
      <c r="G23" s="202">
        <v>47.35</v>
      </c>
      <c r="H23" s="203">
        <f t="shared" si="0"/>
        <v>1.6705080000000004E-2</v>
      </c>
      <c r="I23" s="18">
        <v>0</v>
      </c>
      <c r="J23" s="34"/>
      <c r="K23" s="8"/>
      <c r="L23" s="8"/>
      <c r="M23" s="8"/>
    </row>
    <row r="24" spans="1:13" ht="15.75" hidden="1" customHeight="1">
      <c r="A24" s="49"/>
      <c r="B24" s="199" t="s">
        <v>159</v>
      </c>
      <c r="C24" s="200" t="s">
        <v>66</v>
      </c>
      <c r="D24" s="199" t="s">
        <v>154</v>
      </c>
      <c r="E24" s="201">
        <v>28.8</v>
      </c>
      <c r="F24" s="202">
        <f>SUM(E24/100)</f>
        <v>0.28800000000000003</v>
      </c>
      <c r="G24" s="202">
        <v>556.74</v>
      </c>
      <c r="H24" s="203">
        <f t="shared" si="0"/>
        <v>0.16034112000000003</v>
      </c>
      <c r="I24" s="18">
        <v>0</v>
      </c>
      <c r="J24" s="34"/>
      <c r="K24" s="8"/>
      <c r="L24" s="8"/>
      <c r="M24" s="8"/>
    </row>
    <row r="25" spans="1:13" ht="15.75" customHeight="1">
      <c r="A25" s="49">
        <v>4</v>
      </c>
      <c r="B25" s="199" t="s">
        <v>85</v>
      </c>
      <c r="C25" s="200" t="s">
        <v>39</v>
      </c>
      <c r="D25" s="199" t="s">
        <v>219</v>
      </c>
      <c r="E25" s="201">
        <v>0.1</v>
      </c>
      <c r="F25" s="202">
        <f>SUM(E25*365)</f>
        <v>36.5</v>
      </c>
      <c r="G25" s="202">
        <v>157.18</v>
      </c>
      <c r="H25" s="203">
        <f>SUM(F25*G25/1000)</f>
        <v>5.737070000000001</v>
      </c>
      <c r="I25" s="18">
        <f>F25/12*G25</f>
        <v>478.08916666666664</v>
      </c>
      <c r="J25" s="34"/>
      <c r="K25" s="8"/>
      <c r="L25" s="8"/>
      <c r="M25" s="8"/>
    </row>
    <row r="26" spans="1:13" ht="15.75" customHeight="1">
      <c r="A26" s="49">
        <v>5</v>
      </c>
      <c r="B26" s="207" t="s">
        <v>26</v>
      </c>
      <c r="C26" s="200" t="s">
        <v>27</v>
      </c>
      <c r="D26" s="207" t="s">
        <v>207</v>
      </c>
      <c r="E26" s="201">
        <v>3945</v>
      </c>
      <c r="F26" s="202">
        <f>SUM(E26*12)</f>
        <v>47340</v>
      </c>
      <c r="G26" s="202">
        <v>5.33</v>
      </c>
      <c r="H26" s="203">
        <f>SUM(F26*G26/1000)</f>
        <v>252.32220000000001</v>
      </c>
      <c r="I26" s="18">
        <f>F26/12*G26</f>
        <v>21026.85</v>
      </c>
      <c r="J26" s="35"/>
    </row>
    <row r="27" spans="1:13" ht="15.75" customHeight="1">
      <c r="A27" s="245" t="s">
        <v>119</v>
      </c>
      <c r="B27" s="246"/>
      <c r="C27" s="246"/>
      <c r="D27" s="246"/>
      <c r="E27" s="246"/>
      <c r="F27" s="246"/>
      <c r="G27" s="246"/>
      <c r="H27" s="246"/>
      <c r="I27" s="247"/>
      <c r="J27" s="34"/>
      <c r="K27" s="8"/>
      <c r="L27" s="8"/>
      <c r="M27" s="8"/>
    </row>
    <row r="28" spans="1:13" ht="15.75" customHeight="1">
      <c r="A28" s="49"/>
      <c r="B28" s="224" t="s">
        <v>34</v>
      </c>
      <c r="C28" s="200"/>
      <c r="D28" s="199"/>
      <c r="E28" s="201"/>
      <c r="F28" s="202"/>
      <c r="G28" s="202"/>
      <c r="H28" s="203"/>
      <c r="I28" s="18"/>
      <c r="J28" s="34"/>
      <c r="K28" s="8"/>
      <c r="L28" s="8"/>
      <c r="M28" s="8"/>
    </row>
    <row r="29" spans="1:13" ht="31.5" customHeight="1">
      <c r="A29" s="49">
        <v>6</v>
      </c>
      <c r="B29" s="199" t="s">
        <v>160</v>
      </c>
      <c r="C29" s="200" t="s">
        <v>216</v>
      </c>
      <c r="D29" s="199" t="s">
        <v>217</v>
      </c>
      <c r="E29" s="202">
        <v>1044.6500000000001</v>
      </c>
      <c r="F29" s="202">
        <f>SUM(E29*52/1000)</f>
        <v>54.321800000000003</v>
      </c>
      <c r="G29" s="202">
        <v>166.65</v>
      </c>
      <c r="H29" s="203">
        <f t="shared" ref="H29:H35" si="1">SUM(F29*G29/1000)</f>
        <v>9.0527279700000012</v>
      </c>
      <c r="I29" s="18">
        <f>F29/6*G29</f>
        <v>1508.7879950000001</v>
      </c>
      <c r="J29" s="34"/>
      <c r="K29" s="8"/>
      <c r="L29" s="8"/>
      <c r="M29" s="8"/>
    </row>
    <row r="30" spans="1:13" ht="31.5" customHeight="1">
      <c r="A30" s="49">
        <v>7</v>
      </c>
      <c r="B30" s="199" t="s">
        <v>235</v>
      </c>
      <c r="C30" s="200" t="s">
        <v>161</v>
      </c>
      <c r="D30" s="199" t="s">
        <v>218</v>
      </c>
      <c r="E30" s="202">
        <v>116.93</v>
      </c>
      <c r="F30" s="202">
        <f>SUM(E30*78/1000)</f>
        <v>9.1205400000000001</v>
      </c>
      <c r="G30" s="202">
        <v>276.48</v>
      </c>
      <c r="H30" s="203">
        <f t="shared" si="1"/>
        <v>2.5216468991999998</v>
      </c>
      <c r="I30" s="18">
        <f t="shared" ref="I30:I33" si="2">F30/6*G30</f>
        <v>420.27448320000002</v>
      </c>
      <c r="J30" s="34"/>
      <c r="K30" s="8"/>
      <c r="L30" s="8"/>
      <c r="M30" s="8"/>
    </row>
    <row r="31" spans="1:13" ht="15.75" hidden="1" customHeight="1">
      <c r="A31" s="49"/>
      <c r="B31" s="199" t="s">
        <v>33</v>
      </c>
      <c r="C31" s="200" t="s">
        <v>161</v>
      </c>
      <c r="D31" s="199" t="s">
        <v>67</v>
      </c>
      <c r="E31" s="202">
        <v>1044.6500000000001</v>
      </c>
      <c r="F31" s="202">
        <f>SUM(E31/1000)</f>
        <v>1.0446500000000001</v>
      </c>
      <c r="G31" s="202">
        <v>3228.73</v>
      </c>
      <c r="H31" s="203">
        <f t="shared" si="1"/>
        <v>3.3728927945000007</v>
      </c>
      <c r="I31" s="18">
        <f>F31*G31</f>
        <v>3372.8927945000005</v>
      </c>
      <c r="J31" s="34"/>
      <c r="K31" s="8"/>
      <c r="L31" s="8"/>
      <c r="M31" s="8"/>
    </row>
    <row r="32" spans="1:13" ht="15.75" customHeight="1">
      <c r="A32" s="49">
        <v>8</v>
      </c>
      <c r="B32" s="199" t="s">
        <v>193</v>
      </c>
      <c r="C32" s="200" t="s">
        <v>50</v>
      </c>
      <c r="D32" s="199" t="s">
        <v>84</v>
      </c>
      <c r="E32" s="202">
        <v>6</v>
      </c>
      <c r="F32" s="202">
        <v>9.3000000000000007</v>
      </c>
      <c r="G32" s="202">
        <v>1391.86</v>
      </c>
      <c r="H32" s="203">
        <f>G32*F32/1000</f>
        <v>12.944298</v>
      </c>
      <c r="I32" s="18">
        <f t="shared" si="2"/>
        <v>2157.3829999999998</v>
      </c>
      <c r="J32" s="34"/>
      <c r="K32" s="8"/>
      <c r="L32" s="8"/>
      <c r="M32" s="8"/>
    </row>
    <row r="33" spans="1:14" ht="15.75" customHeight="1">
      <c r="A33" s="49">
        <v>9</v>
      </c>
      <c r="B33" s="199" t="s">
        <v>165</v>
      </c>
      <c r="C33" s="200" t="s">
        <v>37</v>
      </c>
      <c r="D33" s="199" t="s">
        <v>84</v>
      </c>
      <c r="E33" s="206">
        <v>0.33333333333333331</v>
      </c>
      <c r="F33" s="202">
        <f>155/3</f>
        <v>51.666666666666664</v>
      </c>
      <c r="G33" s="202">
        <v>60.6</v>
      </c>
      <c r="H33" s="203">
        <f>SUM(G33*155/3/1000)</f>
        <v>3.1309999999999998</v>
      </c>
      <c r="I33" s="18">
        <f t="shared" si="2"/>
        <v>521.83333333333337</v>
      </c>
      <c r="J33" s="34"/>
      <c r="K33" s="8"/>
      <c r="L33" s="8"/>
      <c r="M33" s="8"/>
    </row>
    <row r="34" spans="1:14" ht="15.75" hidden="1" customHeight="1">
      <c r="A34" s="49"/>
      <c r="B34" s="199" t="s">
        <v>86</v>
      </c>
      <c r="C34" s="200" t="s">
        <v>39</v>
      </c>
      <c r="D34" s="199" t="s">
        <v>88</v>
      </c>
      <c r="E34" s="201"/>
      <c r="F34" s="202">
        <v>3</v>
      </c>
      <c r="G34" s="202">
        <v>204.52</v>
      </c>
      <c r="H34" s="203">
        <f t="shared" si="1"/>
        <v>0.61356000000000011</v>
      </c>
      <c r="I34" s="18">
        <v>0</v>
      </c>
      <c r="J34" s="34"/>
      <c r="K34" s="8"/>
    </row>
    <row r="35" spans="1:14" ht="15.75" hidden="1" customHeight="1">
      <c r="A35" s="49"/>
      <c r="B35" s="199" t="s">
        <v>87</v>
      </c>
      <c r="C35" s="200" t="s">
        <v>38</v>
      </c>
      <c r="D35" s="199" t="s">
        <v>88</v>
      </c>
      <c r="E35" s="201"/>
      <c r="F35" s="202">
        <v>2</v>
      </c>
      <c r="G35" s="202">
        <v>1136.33</v>
      </c>
      <c r="H35" s="203">
        <f t="shared" si="1"/>
        <v>2.2726599999999997</v>
      </c>
      <c r="I35" s="18">
        <v>0</v>
      </c>
      <c r="J35" s="35"/>
    </row>
    <row r="36" spans="1:14" ht="15.75" hidden="1" customHeight="1">
      <c r="A36" s="49"/>
      <c r="B36" s="224" t="s">
        <v>5</v>
      </c>
      <c r="C36" s="200"/>
      <c r="D36" s="199"/>
      <c r="E36" s="201"/>
      <c r="F36" s="202"/>
      <c r="G36" s="202"/>
      <c r="H36" s="203" t="s">
        <v>207</v>
      </c>
      <c r="I36" s="18"/>
      <c r="J36" s="35"/>
    </row>
    <row r="37" spans="1:14" ht="15.75" hidden="1" customHeight="1">
      <c r="A37" s="49">
        <v>6</v>
      </c>
      <c r="B37" s="199" t="s">
        <v>31</v>
      </c>
      <c r="C37" s="200" t="s">
        <v>38</v>
      </c>
      <c r="D37" s="199"/>
      <c r="E37" s="201"/>
      <c r="F37" s="202">
        <v>8</v>
      </c>
      <c r="G37" s="202">
        <v>1632.6</v>
      </c>
      <c r="H37" s="203">
        <f t="shared" ref="H37:H44" si="3">SUM(F37*G37/1000)</f>
        <v>13.060799999999999</v>
      </c>
      <c r="I37" s="18">
        <f>F37/6*G37</f>
        <v>2176.7999999999997</v>
      </c>
      <c r="J37" s="35"/>
    </row>
    <row r="38" spans="1:14" ht="15.75" hidden="1" customHeight="1">
      <c r="A38" s="49">
        <v>7</v>
      </c>
      <c r="B38" s="199" t="s">
        <v>135</v>
      </c>
      <c r="C38" s="200" t="s">
        <v>35</v>
      </c>
      <c r="D38" s="199" t="s">
        <v>194</v>
      </c>
      <c r="E38" s="201">
        <v>477.19</v>
      </c>
      <c r="F38" s="202">
        <f>E38*12/1000</f>
        <v>5.72628</v>
      </c>
      <c r="G38" s="202">
        <v>2247.8000000000002</v>
      </c>
      <c r="H38" s="203">
        <f>G38*F38/1000</f>
        <v>12.871532184000001</v>
      </c>
      <c r="I38" s="18">
        <f>F38/6*G38</f>
        <v>2145.2553640000001</v>
      </c>
      <c r="J38" s="35"/>
    </row>
    <row r="39" spans="1:14" ht="15.75" hidden="1" customHeight="1">
      <c r="A39" s="49">
        <v>8</v>
      </c>
      <c r="B39" s="199" t="s">
        <v>167</v>
      </c>
      <c r="C39" s="200" t="s">
        <v>35</v>
      </c>
      <c r="D39" s="199" t="s">
        <v>166</v>
      </c>
      <c r="E39" s="201">
        <v>116.93</v>
      </c>
      <c r="F39" s="202">
        <f>E39*30/1000</f>
        <v>3.5079000000000002</v>
      </c>
      <c r="G39" s="202">
        <v>2247.8000000000002</v>
      </c>
      <c r="H39" s="203">
        <f>G39*F39/1000</f>
        <v>7.8850576200000013</v>
      </c>
      <c r="I39" s="18">
        <f>F39/6*G39</f>
        <v>1314.1762700000002</v>
      </c>
      <c r="J39" s="35"/>
    </row>
    <row r="40" spans="1:14" ht="15.75" hidden="1" customHeight="1">
      <c r="A40" s="49"/>
      <c r="B40" s="199" t="s">
        <v>169</v>
      </c>
      <c r="C40" s="200" t="s">
        <v>170</v>
      </c>
      <c r="D40" s="199" t="s">
        <v>88</v>
      </c>
      <c r="E40" s="201"/>
      <c r="F40" s="202">
        <v>135</v>
      </c>
      <c r="G40" s="202">
        <v>213.2</v>
      </c>
      <c r="H40" s="203">
        <f>G40*F40/1000</f>
        <v>28.782</v>
      </c>
      <c r="I40" s="18">
        <v>0</v>
      </c>
      <c r="J40" s="35"/>
      <c r="L40" s="27"/>
      <c r="M40" s="28"/>
      <c r="N40" s="29"/>
    </row>
    <row r="41" spans="1:14" ht="15.75" hidden="1" customHeight="1">
      <c r="A41" s="49">
        <v>9</v>
      </c>
      <c r="B41" s="199" t="s">
        <v>89</v>
      </c>
      <c r="C41" s="200" t="s">
        <v>35</v>
      </c>
      <c r="D41" s="199" t="s">
        <v>168</v>
      </c>
      <c r="E41" s="202">
        <v>116.93</v>
      </c>
      <c r="F41" s="202">
        <f>SUM(E41*155/1000)</f>
        <v>18.12415</v>
      </c>
      <c r="G41" s="202">
        <v>374.95</v>
      </c>
      <c r="H41" s="203">
        <f t="shared" si="3"/>
        <v>6.7956500424999993</v>
      </c>
      <c r="I41" s="18">
        <f>F41/6*G41</f>
        <v>1132.6083404166666</v>
      </c>
      <c r="J41" s="35"/>
      <c r="L41" s="27"/>
      <c r="M41" s="28"/>
      <c r="N41" s="29"/>
    </row>
    <row r="42" spans="1:14" ht="47.25" hidden="1" customHeight="1">
      <c r="A42" s="49">
        <v>10</v>
      </c>
      <c r="B42" s="199" t="s">
        <v>115</v>
      </c>
      <c r="C42" s="200" t="s">
        <v>161</v>
      </c>
      <c r="D42" s="199" t="s">
        <v>196</v>
      </c>
      <c r="E42" s="202">
        <v>116.93</v>
      </c>
      <c r="F42" s="202">
        <f>SUM(E42*24/1000)</f>
        <v>2.8063200000000004</v>
      </c>
      <c r="G42" s="202">
        <v>6203.71</v>
      </c>
      <c r="H42" s="203">
        <f t="shared" si="3"/>
        <v>17.409595447200001</v>
      </c>
      <c r="I42" s="18">
        <f>F42/6*G42</f>
        <v>2901.5992412000005</v>
      </c>
      <c r="J42" s="35"/>
      <c r="L42" s="27"/>
      <c r="M42" s="28"/>
      <c r="N42" s="29"/>
    </row>
    <row r="43" spans="1:14" ht="15.75" hidden="1" customHeight="1">
      <c r="A43" s="49">
        <v>11</v>
      </c>
      <c r="B43" s="199" t="s">
        <v>171</v>
      </c>
      <c r="C43" s="200" t="s">
        <v>161</v>
      </c>
      <c r="D43" s="199" t="s">
        <v>90</v>
      </c>
      <c r="E43" s="202">
        <v>116.93</v>
      </c>
      <c r="F43" s="202">
        <f>SUM(E43*45/1000)</f>
        <v>5.2618500000000008</v>
      </c>
      <c r="G43" s="202">
        <v>458.28</v>
      </c>
      <c r="H43" s="203">
        <f t="shared" si="3"/>
        <v>2.4114006180000001</v>
      </c>
      <c r="I43" s="18">
        <f>F43/6*G43</f>
        <v>401.90010300000006</v>
      </c>
      <c r="J43" s="35"/>
      <c r="L43" s="27"/>
      <c r="M43" s="28"/>
      <c r="N43" s="29"/>
    </row>
    <row r="44" spans="1:14" ht="15.75" hidden="1" customHeight="1">
      <c r="A44" s="49">
        <v>12</v>
      </c>
      <c r="B44" s="199" t="s">
        <v>91</v>
      </c>
      <c r="C44" s="200" t="s">
        <v>39</v>
      </c>
      <c r="D44" s="199"/>
      <c r="E44" s="201"/>
      <c r="F44" s="202">
        <v>0.9</v>
      </c>
      <c r="G44" s="202">
        <v>798</v>
      </c>
      <c r="H44" s="203">
        <f t="shared" si="3"/>
        <v>0.71820000000000006</v>
      </c>
      <c r="I44" s="18">
        <f>F44/6*G44</f>
        <v>119.69999999999999</v>
      </c>
      <c r="J44" s="35"/>
      <c r="L44" s="27"/>
      <c r="M44" s="28"/>
      <c r="N44" s="29"/>
    </row>
    <row r="45" spans="1:14" ht="15.75" hidden="1" customHeight="1">
      <c r="A45" s="245" t="s">
        <v>236</v>
      </c>
      <c r="B45" s="246"/>
      <c r="C45" s="246"/>
      <c r="D45" s="246"/>
      <c r="E45" s="246"/>
      <c r="F45" s="246"/>
      <c r="G45" s="246"/>
      <c r="H45" s="246"/>
      <c r="I45" s="247"/>
      <c r="J45" s="35"/>
      <c r="L45" s="27"/>
      <c r="M45" s="28"/>
      <c r="N45" s="29"/>
    </row>
    <row r="46" spans="1:14" ht="15.75" hidden="1" customHeight="1">
      <c r="A46" s="49"/>
      <c r="B46" s="199" t="s">
        <v>198</v>
      </c>
      <c r="C46" s="200" t="s">
        <v>161</v>
      </c>
      <c r="D46" s="199" t="s">
        <v>54</v>
      </c>
      <c r="E46" s="201">
        <v>1030.4000000000001</v>
      </c>
      <c r="F46" s="202">
        <f>SUM(E46*2/1000)</f>
        <v>2.0608</v>
      </c>
      <c r="G46" s="18">
        <v>908.1</v>
      </c>
      <c r="H46" s="203">
        <f t="shared" ref="H46:H55" si="4">SUM(F46*G46/1000)</f>
        <v>1.87141248</v>
      </c>
      <c r="I46" s="18">
        <v>0</v>
      </c>
      <c r="J46" s="35"/>
      <c r="L46" s="27"/>
      <c r="M46" s="28"/>
      <c r="N46" s="29"/>
    </row>
    <row r="47" spans="1:14" ht="15.75" hidden="1" customHeight="1">
      <c r="A47" s="49"/>
      <c r="B47" s="199" t="s">
        <v>43</v>
      </c>
      <c r="C47" s="200" t="s">
        <v>161</v>
      </c>
      <c r="D47" s="199" t="s">
        <v>54</v>
      </c>
      <c r="E47" s="201">
        <v>132</v>
      </c>
      <c r="F47" s="202">
        <f>E47*2/1000</f>
        <v>0.26400000000000001</v>
      </c>
      <c r="G47" s="18">
        <v>619.46</v>
      </c>
      <c r="H47" s="203">
        <f t="shared" si="4"/>
        <v>0.16353744000000001</v>
      </c>
      <c r="I47" s="18">
        <v>0</v>
      </c>
      <c r="J47" s="35"/>
      <c r="L47" s="27"/>
      <c r="M47" s="28"/>
      <c r="N47" s="29"/>
    </row>
    <row r="48" spans="1:14" ht="15.75" hidden="1" customHeight="1">
      <c r="A48" s="49"/>
      <c r="B48" s="199" t="s">
        <v>44</v>
      </c>
      <c r="C48" s="200" t="s">
        <v>161</v>
      </c>
      <c r="D48" s="199" t="s">
        <v>54</v>
      </c>
      <c r="E48" s="201">
        <v>4248.22</v>
      </c>
      <c r="F48" s="202">
        <f>SUM(E48*2/1000)</f>
        <v>8.4964399999999998</v>
      </c>
      <c r="G48" s="18">
        <v>619.46</v>
      </c>
      <c r="H48" s="203">
        <f t="shared" si="4"/>
        <v>5.2632047223999994</v>
      </c>
      <c r="I48" s="18">
        <v>0</v>
      </c>
      <c r="J48" s="35"/>
      <c r="L48" s="27"/>
      <c r="M48" s="28"/>
      <c r="N48" s="29"/>
    </row>
    <row r="49" spans="1:14" ht="15.75" hidden="1" customHeight="1">
      <c r="A49" s="49"/>
      <c r="B49" s="199" t="s">
        <v>45</v>
      </c>
      <c r="C49" s="200" t="s">
        <v>161</v>
      </c>
      <c r="D49" s="199" t="s">
        <v>54</v>
      </c>
      <c r="E49" s="201">
        <v>2163.66</v>
      </c>
      <c r="F49" s="202">
        <f>SUM(E49*2/1000)</f>
        <v>4.3273199999999994</v>
      </c>
      <c r="G49" s="18">
        <v>648.64</v>
      </c>
      <c r="H49" s="203">
        <f t="shared" si="4"/>
        <v>2.8068728447999995</v>
      </c>
      <c r="I49" s="18">
        <v>0</v>
      </c>
      <c r="J49" s="35"/>
      <c r="L49" s="27"/>
      <c r="M49" s="28"/>
      <c r="N49" s="29"/>
    </row>
    <row r="50" spans="1:14" ht="31.5" hidden="1" customHeight="1">
      <c r="A50" s="49">
        <v>13</v>
      </c>
      <c r="B50" s="199" t="s">
        <v>71</v>
      </c>
      <c r="C50" s="200" t="s">
        <v>161</v>
      </c>
      <c r="D50" s="199" t="s">
        <v>237</v>
      </c>
      <c r="E50" s="201">
        <v>1015.4</v>
      </c>
      <c r="F50" s="202">
        <f>SUM(E50*5/1000)</f>
        <v>5.077</v>
      </c>
      <c r="G50" s="18">
        <v>1297.28</v>
      </c>
      <c r="H50" s="203">
        <f t="shared" si="4"/>
        <v>6.5862905599999992</v>
      </c>
      <c r="I50" s="18">
        <f>F50/5*G50</f>
        <v>1317.258112</v>
      </c>
      <c r="J50" s="35"/>
      <c r="L50" s="27"/>
      <c r="M50" s="28"/>
      <c r="N50" s="29"/>
    </row>
    <row r="51" spans="1:14" ht="31.5" hidden="1" customHeight="1">
      <c r="A51" s="49"/>
      <c r="B51" s="199" t="s">
        <v>173</v>
      </c>
      <c r="C51" s="200" t="s">
        <v>161</v>
      </c>
      <c r="D51" s="199" t="s">
        <v>54</v>
      </c>
      <c r="E51" s="201">
        <v>1015.4</v>
      </c>
      <c r="F51" s="202">
        <f>SUM(E51*2/1000)</f>
        <v>2.0308000000000002</v>
      </c>
      <c r="G51" s="18">
        <v>1297.28</v>
      </c>
      <c r="H51" s="203">
        <f t="shared" si="4"/>
        <v>2.634516224</v>
      </c>
      <c r="I51" s="18">
        <v>0</v>
      </c>
      <c r="J51" s="35"/>
      <c r="L51" s="27"/>
      <c r="M51" s="28"/>
      <c r="N51" s="29"/>
    </row>
    <row r="52" spans="1:14" ht="31.5" hidden="1" customHeight="1">
      <c r="A52" s="49"/>
      <c r="B52" s="199" t="s">
        <v>174</v>
      </c>
      <c r="C52" s="200" t="s">
        <v>48</v>
      </c>
      <c r="D52" s="199" t="s">
        <v>54</v>
      </c>
      <c r="E52" s="201">
        <v>30</v>
      </c>
      <c r="F52" s="202">
        <f>SUM(E52*2/100)</f>
        <v>0.6</v>
      </c>
      <c r="G52" s="18">
        <v>2918.89</v>
      </c>
      <c r="H52" s="203">
        <f t="shared" si="4"/>
        <v>1.7513339999999997</v>
      </c>
      <c r="I52" s="18">
        <v>0</v>
      </c>
      <c r="J52" s="35"/>
      <c r="L52" s="27"/>
      <c r="M52" s="28"/>
      <c r="N52" s="29"/>
    </row>
    <row r="53" spans="1:14" ht="15.75" hidden="1" customHeight="1">
      <c r="A53" s="49"/>
      <c r="B53" s="199" t="s">
        <v>49</v>
      </c>
      <c r="C53" s="200" t="s">
        <v>50</v>
      </c>
      <c r="D53" s="199" t="s">
        <v>54</v>
      </c>
      <c r="E53" s="201">
        <v>1</v>
      </c>
      <c r="F53" s="202">
        <v>0.02</v>
      </c>
      <c r="G53" s="18">
        <v>6042.13</v>
      </c>
      <c r="H53" s="203">
        <f t="shared" si="4"/>
        <v>0.12084260000000001</v>
      </c>
      <c r="I53" s="18">
        <v>0</v>
      </c>
      <c r="J53" s="35"/>
      <c r="L53" s="27"/>
      <c r="M53" s="28"/>
      <c r="N53" s="29"/>
    </row>
    <row r="54" spans="1:14" ht="15.75" hidden="1" customHeight="1">
      <c r="A54" s="49">
        <v>14</v>
      </c>
      <c r="B54" s="199" t="s">
        <v>197</v>
      </c>
      <c r="C54" s="200" t="s">
        <v>144</v>
      </c>
      <c r="D54" s="199" t="s">
        <v>92</v>
      </c>
      <c r="E54" s="201">
        <v>90</v>
      </c>
      <c r="F54" s="202">
        <f>E54*4</f>
        <v>360</v>
      </c>
      <c r="G54" s="18">
        <v>150.86000000000001</v>
      </c>
      <c r="H54" s="203">
        <f>F54*G54/1000</f>
        <v>54.309600000000003</v>
      </c>
      <c r="I54" s="18">
        <f>G54*E54</f>
        <v>13577.400000000001</v>
      </c>
      <c r="J54" s="35"/>
      <c r="L54" s="27"/>
      <c r="M54" s="28"/>
      <c r="N54" s="29"/>
    </row>
    <row r="55" spans="1:14" ht="15.75" hidden="1" customHeight="1">
      <c r="A55" s="49">
        <v>15</v>
      </c>
      <c r="B55" s="199" t="s">
        <v>53</v>
      </c>
      <c r="C55" s="200" t="s">
        <v>144</v>
      </c>
      <c r="D55" s="199" t="s">
        <v>92</v>
      </c>
      <c r="E55" s="201">
        <v>180</v>
      </c>
      <c r="F55" s="202">
        <f>SUM(E55)*3</f>
        <v>540</v>
      </c>
      <c r="G55" s="18">
        <v>70.2</v>
      </c>
      <c r="H55" s="203">
        <f t="shared" si="4"/>
        <v>37.908000000000001</v>
      </c>
      <c r="I55" s="18">
        <f>G55*E55</f>
        <v>12636</v>
      </c>
      <c r="J55" s="35"/>
      <c r="L55" s="27"/>
      <c r="M55" s="28"/>
      <c r="N55" s="29"/>
    </row>
    <row r="56" spans="1:14" ht="15.75" customHeight="1">
      <c r="A56" s="245" t="s">
        <v>253</v>
      </c>
      <c r="B56" s="246"/>
      <c r="C56" s="246"/>
      <c r="D56" s="246"/>
      <c r="E56" s="246"/>
      <c r="F56" s="246"/>
      <c r="G56" s="246"/>
      <c r="H56" s="246"/>
      <c r="I56" s="247"/>
      <c r="J56" s="35"/>
      <c r="L56" s="27"/>
      <c r="M56" s="28"/>
      <c r="N56" s="29"/>
    </row>
    <row r="57" spans="1:14" ht="15.75" hidden="1" customHeight="1">
      <c r="A57" s="49"/>
      <c r="B57" s="224" t="s">
        <v>55</v>
      </c>
      <c r="C57" s="200"/>
      <c r="D57" s="199"/>
      <c r="E57" s="201"/>
      <c r="F57" s="202"/>
      <c r="G57" s="202"/>
      <c r="H57" s="203"/>
      <c r="I57" s="18"/>
      <c r="J57" s="35"/>
      <c r="L57" s="27"/>
      <c r="M57" s="28"/>
      <c r="N57" s="29"/>
    </row>
    <row r="58" spans="1:14" ht="31.5" hidden="1" customHeight="1">
      <c r="A58" s="49">
        <v>16</v>
      </c>
      <c r="B58" s="199" t="s">
        <v>199</v>
      </c>
      <c r="C58" s="200" t="s">
        <v>151</v>
      </c>
      <c r="D58" s="199" t="s">
        <v>175</v>
      </c>
      <c r="E58" s="201">
        <v>148.04</v>
      </c>
      <c r="F58" s="202">
        <f>SUM(E58*6/100)</f>
        <v>8.8824000000000005</v>
      </c>
      <c r="G58" s="18">
        <v>1654.04</v>
      </c>
      <c r="H58" s="203">
        <f>SUM(F58*G58/1000)</f>
        <v>14.691844896000001</v>
      </c>
      <c r="I58" s="18">
        <f>F58/6*G58</f>
        <v>2448.6408160000001</v>
      </c>
      <c r="J58" s="35"/>
      <c r="L58" s="27"/>
      <c r="M58" s="28"/>
      <c r="N58" s="29"/>
    </row>
    <row r="59" spans="1:14" ht="31.5" hidden="1" customHeight="1">
      <c r="A59" s="49">
        <v>17</v>
      </c>
      <c r="B59" s="199" t="s">
        <v>142</v>
      </c>
      <c r="C59" s="200" t="s">
        <v>151</v>
      </c>
      <c r="D59" s="199" t="s">
        <v>143</v>
      </c>
      <c r="E59" s="201">
        <v>39.700000000000003</v>
      </c>
      <c r="F59" s="202">
        <f>SUM(E59*12/100)</f>
        <v>4.7640000000000002</v>
      </c>
      <c r="G59" s="18">
        <v>1654.04</v>
      </c>
      <c r="H59" s="203">
        <f>SUM(F59*G59/1000)</f>
        <v>7.8798465599999998</v>
      </c>
      <c r="I59" s="18">
        <f>F59/6*G59</f>
        <v>1313.3077600000001</v>
      </c>
      <c r="J59" s="35"/>
      <c r="L59" s="27"/>
      <c r="M59" s="28"/>
      <c r="N59" s="29"/>
    </row>
    <row r="60" spans="1:14" ht="15.75" hidden="1" customHeight="1">
      <c r="A60" s="49">
        <v>18</v>
      </c>
      <c r="B60" s="208" t="s">
        <v>200</v>
      </c>
      <c r="C60" s="209" t="s">
        <v>201</v>
      </c>
      <c r="D60" s="208" t="s">
        <v>54</v>
      </c>
      <c r="E60" s="210">
        <v>8</v>
      </c>
      <c r="F60" s="211">
        <v>16</v>
      </c>
      <c r="G60" s="18">
        <v>193.25</v>
      </c>
      <c r="H60" s="212">
        <f>F60*G60/1000</f>
        <v>3.0920000000000001</v>
      </c>
      <c r="I60" s="18">
        <f>F60/2*G60</f>
        <v>1546</v>
      </c>
      <c r="J60" s="35"/>
      <c r="L60" s="27"/>
      <c r="M60" s="28"/>
      <c r="N60" s="29"/>
    </row>
    <row r="61" spans="1:14" ht="15.75" hidden="1" customHeight="1">
      <c r="A61" s="49">
        <v>19</v>
      </c>
      <c r="B61" s="199" t="s">
        <v>202</v>
      </c>
      <c r="C61" s="200" t="s">
        <v>151</v>
      </c>
      <c r="D61" s="199" t="s">
        <v>175</v>
      </c>
      <c r="E61" s="201">
        <v>41.73</v>
      </c>
      <c r="F61" s="202">
        <f>SUM(E61*6/100)</f>
        <v>2.5038</v>
      </c>
      <c r="G61" s="18">
        <v>1654.04</v>
      </c>
      <c r="H61" s="203">
        <f>SUM(F61*G61/1000)</f>
        <v>4.1413853520000004</v>
      </c>
      <c r="I61" s="18">
        <f>F61/6*G61</f>
        <v>690.23089200000004</v>
      </c>
      <c r="J61" s="35"/>
      <c r="L61" s="27"/>
      <c r="M61" s="28"/>
      <c r="N61" s="29"/>
    </row>
    <row r="62" spans="1:14" ht="15.75" customHeight="1">
      <c r="A62" s="49"/>
      <c r="B62" s="225" t="s">
        <v>56</v>
      </c>
      <c r="C62" s="209"/>
      <c r="D62" s="208"/>
      <c r="E62" s="210"/>
      <c r="F62" s="211"/>
      <c r="G62" s="18"/>
      <c r="H62" s="212"/>
      <c r="I62" s="18"/>
      <c r="J62" s="35"/>
      <c r="L62" s="27"/>
      <c r="M62" s="28"/>
      <c r="N62" s="29"/>
    </row>
    <row r="63" spans="1:14" ht="15.75" hidden="1" customHeight="1">
      <c r="A63" s="49"/>
      <c r="B63" s="208" t="s">
        <v>57</v>
      </c>
      <c r="C63" s="209" t="s">
        <v>66</v>
      </c>
      <c r="D63" s="208" t="s">
        <v>67</v>
      </c>
      <c r="E63" s="210">
        <v>1015.4</v>
      </c>
      <c r="F63" s="211">
        <v>10.154</v>
      </c>
      <c r="G63" s="18">
        <v>848.37</v>
      </c>
      <c r="H63" s="212">
        <f>F63*G63/1000</f>
        <v>8.6143489800000008</v>
      </c>
      <c r="I63" s="18">
        <v>0</v>
      </c>
      <c r="J63" s="35"/>
      <c r="L63" s="27"/>
      <c r="M63" s="28"/>
      <c r="N63" s="29"/>
    </row>
    <row r="64" spans="1:14" ht="15.75" customHeight="1">
      <c r="A64" s="49">
        <v>10</v>
      </c>
      <c r="B64" s="208" t="s">
        <v>146</v>
      </c>
      <c r="C64" s="209" t="s">
        <v>29</v>
      </c>
      <c r="D64" s="208" t="s">
        <v>36</v>
      </c>
      <c r="E64" s="210">
        <v>203.1</v>
      </c>
      <c r="F64" s="213">
        <f>E64*12</f>
        <v>2437.1999999999998</v>
      </c>
      <c r="G64" s="194">
        <v>2.6</v>
      </c>
      <c r="H64" s="211">
        <f>F64*G64/1000</f>
        <v>6.3367199999999997</v>
      </c>
      <c r="I64" s="18">
        <f>F64/12*G64</f>
        <v>528.06000000000006</v>
      </c>
      <c r="J64" s="35"/>
      <c r="L64" s="27"/>
      <c r="M64" s="28"/>
      <c r="N64" s="29"/>
    </row>
    <row r="65" spans="1:21" ht="15.75" customHeight="1">
      <c r="A65" s="49"/>
      <c r="B65" s="225" t="s">
        <v>58</v>
      </c>
      <c r="C65" s="209"/>
      <c r="D65" s="208"/>
      <c r="E65" s="210"/>
      <c r="F65" s="213"/>
      <c r="G65" s="213"/>
      <c r="H65" s="211" t="s">
        <v>207</v>
      </c>
      <c r="I65" s="18"/>
      <c r="J65" s="35"/>
      <c r="L65" s="27"/>
    </row>
    <row r="66" spans="1:21" ht="15.75" customHeight="1">
      <c r="A66" s="49">
        <v>11</v>
      </c>
      <c r="B66" s="20" t="s">
        <v>59</v>
      </c>
      <c r="C66" s="22" t="s">
        <v>144</v>
      </c>
      <c r="D66" s="20" t="s">
        <v>88</v>
      </c>
      <c r="E66" s="25">
        <v>10</v>
      </c>
      <c r="F66" s="202">
        <v>10</v>
      </c>
      <c r="G66" s="18">
        <v>237.75</v>
      </c>
      <c r="H66" s="214">
        <f t="shared" ref="H66:H79" si="5">SUM(F66*G66/1000)</f>
        <v>2.3774999999999999</v>
      </c>
      <c r="I66" s="18">
        <f>G66*6</f>
        <v>1426.5</v>
      </c>
      <c r="J66" s="35"/>
      <c r="L66" s="27"/>
    </row>
    <row r="67" spans="1:21" ht="15.75" hidden="1" customHeight="1">
      <c r="A67" s="49"/>
      <c r="B67" s="20" t="s">
        <v>60</v>
      </c>
      <c r="C67" s="22" t="s">
        <v>144</v>
      </c>
      <c r="D67" s="20" t="s">
        <v>88</v>
      </c>
      <c r="E67" s="25">
        <v>5</v>
      </c>
      <c r="F67" s="202">
        <v>5</v>
      </c>
      <c r="G67" s="18">
        <v>81.510000000000005</v>
      </c>
      <c r="H67" s="214">
        <f t="shared" si="5"/>
        <v>0.40755000000000002</v>
      </c>
      <c r="I67" s="18">
        <v>0</v>
      </c>
      <c r="J67" s="35"/>
      <c r="L67" s="27"/>
    </row>
    <row r="68" spans="1:21" ht="15.75" hidden="1" customHeight="1">
      <c r="A68" s="49"/>
      <c r="B68" s="20" t="s">
        <v>61</v>
      </c>
      <c r="C68" s="22" t="s">
        <v>177</v>
      </c>
      <c r="D68" s="20" t="s">
        <v>67</v>
      </c>
      <c r="E68" s="201">
        <v>14205</v>
      </c>
      <c r="F68" s="18">
        <f>SUM(E68/100)</f>
        <v>142.05000000000001</v>
      </c>
      <c r="G68" s="18">
        <v>226.79</v>
      </c>
      <c r="H68" s="214">
        <f t="shared" si="5"/>
        <v>32.215519499999999</v>
      </c>
      <c r="I68" s="18">
        <v>0</v>
      </c>
    </row>
    <row r="69" spans="1:21" ht="15.75" hidden="1" customHeight="1">
      <c r="A69" s="49"/>
      <c r="B69" s="20" t="s">
        <v>62</v>
      </c>
      <c r="C69" s="22" t="s">
        <v>178</v>
      </c>
      <c r="D69" s="20" t="s">
        <v>67</v>
      </c>
      <c r="E69" s="201">
        <v>14205</v>
      </c>
      <c r="F69" s="18">
        <f>SUM(E69/1000)</f>
        <v>14.205</v>
      </c>
      <c r="G69" s="18">
        <v>176.61</v>
      </c>
      <c r="H69" s="214">
        <f t="shared" si="5"/>
        <v>2.5087450499999999</v>
      </c>
      <c r="I69" s="18">
        <v>0</v>
      </c>
      <c r="J69" s="40"/>
      <c r="K69" s="40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49"/>
      <c r="B70" s="20" t="s">
        <v>63</v>
      </c>
      <c r="C70" s="22" t="s">
        <v>98</v>
      </c>
      <c r="D70" s="20" t="s">
        <v>67</v>
      </c>
      <c r="E70" s="201">
        <v>2131</v>
      </c>
      <c r="F70" s="18">
        <f>SUM(E70/100)</f>
        <v>21.31</v>
      </c>
      <c r="G70" s="18">
        <v>2217.7800000000002</v>
      </c>
      <c r="H70" s="214">
        <f t="shared" si="5"/>
        <v>47.260891800000003</v>
      </c>
      <c r="I70" s="18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1" ht="15.75" hidden="1" customHeight="1">
      <c r="A71" s="49"/>
      <c r="B71" s="215" t="s">
        <v>179</v>
      </c>
      <c r="C71" s="22" t="s">
        <v>39</v>
      </c>
      <c r="D71" s="20" t="s">
        <v>67</v>
      </c>
      <c r="E71" s="201">
        <v>12.48</v>
      </c>
      <c r="F71" s="18">
        <f>SUM(E71)</f>
        <v>12.48</v>
      </c>
      <c r="G71" s="18">
        <v>42.67</v>
      </c>
      <c r="H71" s="214">
        <f t="shared" si="5"/>
        <v>0.53252160000000004</v>
      </c>
      <c r="I71" s="18">
        <v>0</v>
      </c>
      <c r="J71" s="5"/>
      <c r="K71" s="5"/>
      <c r="L71" s="5"/>
      <c r="M71" s="5"/>
      <c r="N71" s="5"/>
      <c r="O71" s="5"/>
      <c r="P71" s="5"/>
      <c r="Q71" s="5"/>
      <c r="R71" s="248"/>
      <c r="S71" s="248"/>
      <c r="T71" s="248"/>
      <c r="U71" s="248"/>
    </row>
    <row r="72" spans="1:21" ht="15.75" hidden="1" customHeight="1">
      <c r="A72" s="49"/>
      <c r="B72" s="215" t="s">
        <v>180</v>
      </c>
      <c r="C72" s="22" t="s">
        <v>39</v>
      </c>
      <c r="D72" s="20" t="s">
        <v>67</v>
      </c>
      <c r="E72" s="201">
        <v>12.48</v>
      </c>
      <c r="F72" s="18">
        <f>SUM(E72)</f>
        <v>12.48</v>
      </c>
      <c r="G72" s="18">
        <v>39.81</v>
      </c>
      <c r="H72" s="214">
        <f t="shared" si="5"/>
        <v>0.49682880000000007</v>
      </c>
      <c r="I72" s="18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hidden="1" customHeight="1">
      <c r="A73" s="49"/>
      <c r="B73" s="20" t="s">
        <v>72</v>
      </c>
      <c r="C73" s="22" t="s">
        <v>73</v>
      </c>
      <c r="D73" s="20" t="s">
        <v>67</v>
      </c>
      <c r="E73" s="25">
        <v>5</v>
      </c>
      <c r="F73" s="202">
        <v>5</v>
      </c>
      <c r="G73" s="18">
        <v>53.32</v>
      </c>
      <c r="H73" s="214">
        <f t="shared" si="5"/>
        <v>0.2666</v>
      </c>
      <c r="I73" s="18">
        <v>0</v>
      </c>
    </row>
    <row r="74" spans="1:21" ht="15.75" customHeight="1">
      <c r="A74" s="49"/>
      <c r="B74" s="193" t="s">
        <v>93</v>
      </c>
      <c r="C74" s="22"/>
      <c r="D74" s="20"/>
      <c r="E74" s="25"/>
      <c r="F74" s="18"/>
      <c r="G74" s="18"/>
      <c r="H74" s="214" t="s">
        <v>207</v>
      </c>
      <c r="I74" s="18"/>
    </row>
    <row r="75" spans="1:21" ht="15.75" hidden="1" customHeight="1">
      <c r="A75" s="49">
        <v>21</v>
      </c>
      <c r="B75" s="20" t="s">
        <v>94</v>
      </c>
      <c r="C75" s="22" t="s">
        <v>96</v>
      </c>
      <c r="D75" s="20" t="s">
        <v>88</v>
      </c>
      <c r="E75" s="25">
        <v>2</v>
      </c>
      <c r="F75" s="18">
        <v>0.2</v>
      </c>
      <c r="G75" s="18">
        <v>536.23</v>
      </c>
      <c r="H75" s="214">
        <f t="shared" si="5"/>
        <v>0.10724600000000001</v>
      </c>
      <c r="I75" s="18">
        <f>G75*0.1</f>
        <v>53.623000000000005</v>
      </c>
    </row>
    <row r="76" spans="1:21" ht="15.75" hidden="1" customHeight="1">
      <c r="A76" s="49"/>
      <c r="B76" s="20" t="s">
        <v>95</v>
      </c>
      <c r="C76" s="22" t="s">
        <v>37</v>
      </c>
      <c r="D76" s="20" t="s">
        <v>88</v>
      </c>
      <c r="E76" s="25">
        <v>1</v>
      </c>
      <c r="F76" s="194">
        <v>1</v>
      </c>
      <c r="G76" s="18">
        <v>911.85</v>
      </c>
      <c r="H76" s="214">
        <f>F76*G76/1000</f>
        <v>0.91185000000000005</v>
      </c>
      <c r="I76" s="18">
        <v>0</v>
      </c>
    </row>
    <row r="77" spans="1:21" ht="15.75" customHeight="1">
      <c r="A77" s="49">
        <v>12</v>
      </c>
      <c r="B77" s="20" t="s">
        <v>203</v>
      </c>
      <c r="C77" s="22" t="s">
        <v>37</v>
      </c>
      <c r="D77" s="20" t="s">
        <v>88</v>
      </c>
      <c r="E77" s="25">
        <v>1</v>
      </c>
      <c r="F77" s="18">
        <v>1</v>
      </c>
      <c r="G77" s="18">
        <v>383.25</v>
      </c>
      <c r="H77" s="214">
        <f>G77*F77/1000</f>
        <v>0.38324999999999998</v>
      </c>
      <c r="I77" s="18">
        <f>G77</f>
        <v>383.25</v>
      </c>
    </row>
    <row r="78" spans="1:21" ht="15.75" hidden="1" customHeight="1">
      <c r="A78" s="49"/>
      <c r="B78" s="216" t="s">
        <v>97</v>
      </c>
      <c r="C78" s="22"/>
      <c r="D78" s="20"/>
      <c r="E78" s="25"/>
      <c r="F78" s="18"/>
      <c r="G78" s="18" t="s">
        <v>207</v>
      </c>
      <c r="H78" s="214" t="s">
        <v>207</v>
      </c>
      <c r="I78" s="18"/>
    </row>
    <row r="79" spans="1:21" ht="15.75" hidden="1" customHeight="1">
      <c r="A79" s="49">
        <v>22</v>
      </c>
      <c r="B79" s="86" t="s">
        <v>183</v>
      </c>
      <c r="C79" s="22" t="s">
        <v>98</v>
      </c>
      <c r="D79" s="20"/>
      <c r="E79" s="25"/>
      <c r="F79" s="18">
        <v>0.9</v>
      </c>
      <c r="G79" s="18">
        <v>2757.42</v>
      </c>
      <c r="H79" s="214">
        <f t="shared" si="5"/>
        <v>2.4816780000000005</v>
      </c>
      <c r="I79" s="18">
        <f>G79*F79</f>
        <v>2481.6780000000003</v>
      </c>
    </row>
    <row r="80" spans="1:21" ht="15.75" hidden="1" customHeight="1">
      <c r="A80" s="49"/>
      <c r="B80" s="193" t="s">
        <v>181</v>
      </c>
      <c r="C80" s="216"/>
      <c r="D80" s="54"/>
      <c r="E80" s="58"/>
      <c r="F80" s="205"/>
      <c r="G80" s="205"/>
      <c r="H80" s="217">
        <f>SUM(H58:H79)</f>
        <v>134.70632653799998</v>
      </c>
      <c r="I80" s="205"/>
    </row>
    <row r="81" spans="1:9" ht="15.75" hidden="1" customHeight="1">
      <c r="A81" s="226">
        <v>23</v>
      </c>
      <c r="B81" s="208" t="s">
        <v>182</v>
      </c>
      <c r="C81" s="227"/>
      <c r="D81" s="228"/>
      <c r="E81" s="195"/>
      <c r="F81" s="220">
        <v>1</v>
      </c>
      <c r="G81" s="220">
        <v>27901.200000000001</v>
      </c>
      <c r="H81" s="229">
        <f>G81*F81/1000</f>
        <v>27.901199999999999</v>
      </c>
      <c r="I81" s="220">
        <f>G81</f>
        <v>27901.200000000001</v>
      </c>
    </row>
    <row r="82" spans="1:9" ht="15.75" customHeight="1">
      <c r="A82" s="251" t="s">
        <v>254</v>
      </c>
      <c r="B82" s="252"/>
      <c r="C82" s="252"/>
      <c r="D82" s="252"/>
      <c r="E82" s="252"/>
      <c r="F82" s="252"/>
      <c r="G82" s="252"/>
      <c r="H82" s="252"/>
      <c r="I82" s="253"/>
    </row>
    <row r="83" spans="1:9" ht="15.75" customHeight="1">
      <c r="A83" s="230">
        <v>13</v>
      </c>
      <c r="B83" s="235" t="s">
        <v>184</v>
      </c>
      <c r="C83" s="231" t="s">
        <v>68</v>
      </c>
      <c r="D83" s="232" t="s">
        <v>69</v>
      </c>
      <c r="E83" s="233">
        <v>3945</v>
      </c>
      <c r="F83" s="233">
        <f>SUM(E83*12)</f>
        <v>47340</v>
      </c>
      <c r="G83" s="233">
        <v>2.2400000000000002</v>
      </c>
      <c r="H83" s="234">
        <f>SUM(F83*G83/1000)</f>
        <v>106.0416</v>
      </c>
      <c r="I83" s="233">
        <f>F83/12*G83</f>
        <v>8836.8000000000011</v>
      </c>
    </row>
    <row r="84" spans="1:9" ht="31.5" customHeight="1">
      <c r="A84" s="49">
        <v>14</v>
      </c>
      <c r="B84" s="20" t="s">
        <v>99</v>
      </c>
      <c r="C84" s="22"/>
      <c r="D84" s="232" t="s">
        <v>69</v>
      </c>
      <c r="E84" s="201">
        <f>E83</f>
        <v>3945</v>
      </c>
      <c r="F84" s="18">
        <f>E84*12</f>
        <v>47340</v>
      </c>
      <c r="G84" s="18">
        <v>1.74</v>
      </c>
      <c r="H84" s="214">
        <f>F84*G84/1000</f>
        <v>82.371600000000001</v>
      </c>
      <c r="I84" s="18">
        <f>F84/12*G84</f>
        <v>6864.3</v>
      </c>
    </row>
    <row r="85" spans="1:9" ht="15.75" customHeight="1">
      <c r="A85" s="49"/>
      <c r="B85" s="73" t="s">
        <v>105</v>
      </c>
      <c r="C85" s="75"/>
      <c r="D85" s="21"/>
      <c r="E85" s="21"/>
      <c r="F85" s="25"/>
      <c r="G85" s="31"/>
      <c r="H85" s="217">
        <f>H84</f>
        <v>82.371600000000001</v>
      </c>
      <c r="I85" s="58">
        <f>SUM(I16+I17+I18+I25+I26+I29+I30+I32+I33+I64+I66+I77+I83+I84)</f>
        <v>57771.024170200006</v>
      </c>
    </row>
    <row r="86" spans="1:9" ht="15.75" customHeight="1">
      <c r="A86" s="49"/>
      <c r="B86" s="173" t="s">
        <v>76</v>
      </c>
      <c r="C86" s="173"/>
      <c r="D86" s="173"/>
      <c r="E86" s="173"/>
      <c r="F86" s="173"/>
      <c r="G86" s="31"/>
      <c r="H86" s="217" t="e">
        <f>SUM(H85+#REF!+H80+H56+#REF!+#REF!+H27)</f>
        <v>#REF!</v>
      </c>
      <c r="I86" s="173"/>
    </row>
    <row r="87" spans="1:9" ht="15.75" customHeight="1">
      <c r="A87" s="49">
        <v>15</v>
      </c>
      <c r="B87" s="218" t="s">
        <v>204</v>
      </c>
      <c r="C87" s="219" t="s">
        <v>144</v>
      </c>
      <c r="D87" s="86"/>
      <c r="E87" s="18"/>
      <c r="F87" s="18">
        <v>2</v>
      </c>
      <c r="G87" s="18">
        <v>1072.21</v>
      </c>
      <c r="H87" s="214">
        <f>G87*F87/1000</f>
        <v>2.1444200000000002</v>
      </c>
      <c r="I87" s="220">
        <f>G87</f>
        <v>1072.21</v>
      </c>
    </row>
    <row r="88" spans="1:9" ht="15.75" customHeight="1">
      <c r="A88" s="49">
        <v>16</v>
      </c>
      <c r="B88" s="218" t="s">
        <v>176</v>
      </c>
      <c r="C88" s="219" t="s">
        <v>206</v>
      </c>
      <c r="D88" s="20"/>
      <c r="E88" s="25"/>
      <c r="F88" s="18">
        <v>1.3333330000000001</v>
      </c>
      <c r="G88" s="18">
        <v>1501</v>
      </c>
      <c r="H88" s="214">
        <f t="shared" ref="H88" si="6">G88*F88/1000</f>
        <v>2.0013328330000002</v>
      </c>
      <c r="I88" s="220">
        <f>G88*0.33333</f>
        <v>500.32833000000005</v>
      </c>
    </row>
    <row r="89" spans="1:9">
      <c r="A89" s="49"/>
      <c r="B89" s="80" t="s">
        <v>64</v>
      </c>
      <c r="C89" s="76"/>
      <c r="D89" s="129"/>
      <c r="E89" s="76">
        <v>1</v>
      </c>
      <c r="F89" s="76"/>
      <c r="G89" s="76"/>
      <c r="H89" s="76"/>
      <c r="I89" s="58">
        <f>SUM(I87:I88)</f>
        <v>1572.5383300000001</v>
      </c>
    </row>
    <row r="90" spans="1:9" ht="16.5" customHeight="1">
      <c r="A90" s="49"/>
      <c r="B90" s="86" t="s">
        <v>100</v>
      </c>
      <c r="C90" s="21"/>
      <c r="D90" s="21"/>
      <c r="E90" s="77"/>
      <c r="F90" s="77"/>
      <c r="G90" s="78"/>
      <c r="H90" s="78"/>
      <c r="I90" s="24">
        <v>0</v>
      </c>
    </row>
    <row r="91" spans="1:9" ht="16.5" customHeight="1">
      <c r="A91" s="130"/>
      <c r="B91" s="81" t="s">
        <v>65</v>
      </c>
      <c r="C91" s="64"/>
      <c r="D91" s="64"/>
      <c r="E91" s="64"/>
      <c r="F91" s="64"/>
      <c r="G91" s="64"/>
      <c r="H91" s="64"/>
      <c r="I91" s="79">
        <f>I85+I89</f>
        <v>59343.562500200009</v>
      </c>
    </row>
    <row r="92" spans="1:9" ht="15.75" customHeight="1">
      <c r="A92" s="249" t="s">
        <v>267</v>
      </c>
      <c r="B92" s="249"/>
      <c r="C92" s="249"/>
      <c r="D92" s="249"/>
      <c r="E92" s="249"/>
      <c r="F92" s="249"/>
      <c r="G92" s="249"/>
      <c r="H92" s="249"/>
      <c r="I92" s="249"/>
    </row>
    <row r="93" spans="1:9" ht="15.75" customHeight="1">
      <c r="A93" s="190"/>
      <c r="B93" s="258" t="s">
        <v>268</v>
      </c>
      <c r="C93" s="258"/>
      <c r="D93" s="258"/>
      <c r="E93" s="258"/>
      <c r="F93" s="258"/>
      <c r="G93" s="258"/>
      <c r="H93" s="198"/>
      <c r="I93" s="3"/>
    </row>
    <row r="94" spans="1:9" ht="15.75" customHeight="1">
      <c r="A94" s="188"/>
      <c r="B94" s="255" t="s">
        <v>7</v>
      </c>
      <c r="C94" s="255"/>
      <c r="D94" s="255"/>
      <c r="E94" s="255"/>
      <c r="F94" s="255"/>
      <c r="G94" s="255"/>
      <c r="H94" s="39"/>
      <c r="I94" s="5"/>
    </row>
    <row r="95" spans="1:9" ht="15.75" customHeight="1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5.75">
      <c r="A96" s="259" t="s">
        <v>8</v>
      </c>
      <c r="B96" s="259"/>
      <c r="C96" s="259"/>
      <c r="D96" s="259"/>
      <c r="E96" s="259"/>
      <c r="F96" s="259"/>
      <c r="G96" s="259"/>
      <c r="H96" s="259"/>
      <c r="I96" s="259"/>
    </row>
    <row r="97" spans="1:9" ht="15.75">
      <c r="A97" s="259" t="s">
        <v>9</v>
      </c>
      <c r="B97" s="259"/>
      <c r="C97" s="259"/>
      <c r="D97" s="259"/>
      <c r="E97" s="259"/>
      <c r="F97" s="259"/>
      <c r="G97" s="259"/>
      <c r="H97" s="259"/>
      <c r="I97" s="259"/>
    </row>
    <row r="98" spans="1:9" ht="15.75">
      <c r="A98" s="242" t="s">
        <v>79</v>
      </c>
      <c r="B98" s="242"/>
      <c r="C98" s="242"/>
      <c r="D98" s="242"/>
      <c r="E98" s="242"/>
      <c r="F98" s="242"/>
      <c r="G98" s="242"/>
      <c r="H98" s="242"/>
      <c r="I98" s="242"/>
    </row>
    <row r="99" spans="1:9" ht="15.75">
      <c r="A99" s="12"/>
    </row>
    <row r="100" spans="1:9" ht="15.75">
      <c r="A100" s="243" t="s">
        <v>11</v>
      </c>
      <c r="B100" s="243"/>
      <c r="C100" s="243"/>
      <c r="D100" s="243"/>
      <c r="E100" s="243"/>
      <c r="F100" s="243"/>
      <c r="G100" s="243"/>
      <c r="H100" s="243"/>
      <c r="I100" s="243"/>
    </row>
    <row r="101" spans="1:9" ht="15.75">
      <c r="A101" s="4"/>
    </row>
    <row r="102" spans="1:9" ht="15.75">
      <c r="B102" s="189" t="s">
        <v>12</v>
      </c>
      <c r="C102" s="254" t="s">
        <v>187</v>
      </c>
      <c r="D102" s="254"/>
      <c r="E102" s="254"/>
      <c r="F102" s="196"/>
      <c r="I102" s="192"/>
    </row>
    <row r="103" spans="1:9">
      <c r="A103" s="188"/>
      <c r="C103" s="255" t="s">
        <v>13</v>
      </c>
      <c r="D103" s="255"/>
      <c r="E103" s="255"/>
      <c r="F103" s="39"/>
      <c r="I103" s="191" t="s">
        <v>14</v>
      </c>
    </row>
    <row r="104" spans="1:9" ht="15.75">
      <c r="A104" s="40"/>
      <c r="C104" s="13"/>
      <c r="D104" s="13"/>
      <c r="G104" s="13"/>
      <c r="H104" s="13"/>
    </row>
    <row r="105" spans="1:9" ht="15.75">
      <c r="B105" s="189" t="s">
        <v>15</v>
      </c>
      <c r="C105" s="256"/>
      <c r="D105" s="256"/>
      <c r="E105" s="256"/>
      <c r="F105" s="197"/>
      <c r="I105" s="192"/>
    </row>
    <row r="106" spans="1:9">
      <c r="A106" s="188"/>
      <c r="C106" s="248" t="s">
        <v>13</v>
      </c>
      <c r="D106" s="248"/>
      <c r="E106" s="248"/>
      <c r="F106" s="188"/>
      <c r="I106" s="191" t="s">
        <v>14</v>
      </c>
    </row>
    <row r="107" spans="1:9" ht="15.75">
      <c r="A107" s="4" t="s">
        <v>16</v>
      </c>
    </row>
    <row r="108" spans="1:9">
      <c r="A108" s="257" t="s">
        <v>17</v>
      </c>
      <c r="B108" s="257"/>
      <c r="C108" s="257"/>
      <c r="D108" s="257"/>
      <c r="E108" s="257"/>
      <c r="F108" s="257"/>
      <c r="G108" s="257"/>
      <c r="H108" s="257"/>
      <c r="I108" s="257"/>
    </row>
    <row r="109" spans="1:9" ht="47.25" customHeight="1">
      <c r="A109" s="250" t="s">
        <v>18</v>
      </c>
      <c r="B109" s="250"/>
      <c r="C109" s="250"/>
      <c r="D109" s="250"/>
      <c r="E109" s="250"/>
      <c r="F109" s="250"/>
      <c r="G109" s="250"/>
      <c r="H109" s="250"/>
      <c r="I109" s="250"/>
    </row>
    <row r="110" spans="1:9" ht="31.5" customHeight="1">
      <c r="A110" s="250" t="s">
        <v>19</v>
      </c>
      <c r="B110" s="250"/>
      <c r="C110" s="250"/>
      <c r="D110" s="250"/>
      <c r="E110" s="250"/>
      <c r="F110" s="250"/>
      <c r="G110" s="250"/>
      <c r="H110" s="250"/>
      <c r="I110" s="250"/>
    </row>
    <row r="111" spans="1:9" ht="31.5" customHeight="1">
      <c r="A111" s="250" t="s">
        <v>24</v>
      </c>
      <c r="B111" s="250"/>
      <c r="C111" s="250"/>
      <c r="D111" s="250"/>
      <c r="E111" s="250"/>
      <c r="F111" s="250"/>
      <c r="G111" s="250"/>
      <c r="H111" s="250"/>
      <c r="I111" s="250"/>
    </row>
    <row r="112" spans="1:9" ht="15.75">
      <c r="A112" s="250" t="s">
        <v>23</v>
      </c>
      <c r="B112" s="250"/>
      <c r="C112" s="250"/>
      <c r="D112" s="250"/>
      <c r="E112" s="250"/>
      <c r="F112" s="250"/>
      <c r="G112" s="250"/>
      <c r="H112" s="250"/>
      <c r="I112" s="250"/>
    </row>
  </sheetData>
  <autoFilter ref="I12:I67"/>
  <mergeCells count="28"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  <mergeCell ref="A98:I98"/>
    <mergeCell ref="A15:I15"/>
    <mergeCell ref="A27:I27"/>
    <mergeCell ref="A45:I45"/>
    <mergeCell ref="A56:I56"/>
    <mergeCell ref="A92:I92"/>
    <mergeCell ref="B93:G93"/>
    <mergeCell ref="B94:G94"/>
    <mergeCell ref="A96:I96"/>
    <mergeCell ref="A97:I97"/>
    <mergeCell ref="R71:U71"/>
    <mergeCell ref="A82:I82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92"/>
  <sheetViews>
    <sheetView view="pageLayout" zoomScale="77" zoomScaleNormal="77" zoomScalePageLayoutView="77" workbookViewId="0">
      <selection activeCell="A9" sqref="A9:G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15" customHeight="1">
      <c r="B1" s="56" t="s">
        <v>122</v>
      </c>
      <c r="G1" s="55"/>
      <c r="H1" s="1"/>
      <c r="I1" s="1"/>
      <c r="J1" s="1"/>
      <c r="K1" s="1"/>
    </row>
    <row r="2" spans="1:11" ht="15.75">
      <c r="B2" s="45" t="s">
        <v>83</v>
      </c>
      <c r="H2" s="2"/>
      <c r="I2" s="2"/>
      <c r="J2" s="2"/>
      <c r="K2" s="2"/>
    </row>
    <row r="3" spans="1:11" ht="15.75">
      <c r="B3" s="45"/>
      <c r="H3" s="2"/>
      <c r="I3" s="2"/>
      <c r="J3" s="2"/>
      <c r="K3" s="2"/>
    </row>
    <row r="4" spans="1:11" ht="15.75" customHeight="1">
      <c r="A4" s="269" t="s">
        <v>214</v>
      </c>
      <c r="B4" s="269"/>
      <c r="C4" s="269"/>
      <c r="D4" s="269"/>
      <c r="E4" s="269"/>
      <c r="F4" s="269"/>
      <c r="G4" s="269"/>
      <c r="H4" s="3"/>
      <c r="I4" s="3"/>
      <c r="J4" s="3"/>
    </row>
    <row r="5" spans="1:11" ht="33.75" customHeight="1">
      <c r="A5" s="238" t="s">
        <v>140</v>
      </c>
      <c r="B5" s="238"/>
      <c r="C5" s="238"/>
      <c r="D5" s="238"/>
      <c r="E5" s="238"/>
      <c r="F5" s="238"/>
      <c r="G5" s="238"/>
    </row>
    <row r="6" spans="1:11" ht="15.75">
      <c r="A6" s="2"/>
      <c r="B6" s="237" t="s">
        <v>123</v>
      </c>
      <c r="C6" s="237"/>
      <c r="D6" s="237"/>
      <c r="E6" s="237"/>
      <c r="F6" s="237"/>
      <c r="H6" s="2"/>
      <c r="I6" s="2"/>
      <c r="J6" s="2"/>
      <c r="K6" s="2"/>
    </row>
    <row r="7" spans="1:11" ht="15" customHeight="1">
      <c r="A7" s="2"/>
      <c r="B7" s="36"/>
      <c r="C7" s="36"/>
      <c r="D7" s="36"/>
      <c r="E7" s="36"/>
      <c r="F7" s="36"/>
      <c r="G7" s="57">
        <v>42704</v>
      </c>
      <c r="H7" s="2"/>
      <c r="I7" s="2"/>
      <c r="J7" s="2"/>
      <c r="K7" s="2"/>
    </row>
    <row r="8" spans="1:11" ht="14.25" customHeight="1">
      <c r="B8" s="41"/>
      <c r="C8" s="41"/>
      <c r="D8" s="41"/>
      <c r="E8" s="3"/>
      <c r="F8" s="3"/>
      <c r="H8" s="3"/>
      <c r="I8" s="3"/>
      <c r="J8" s="3"/>
      <c r="K8" s="3"/>
    </row>
    <row r="9" spans="1:11" ht="89.25" customHeight="1">
      <c r="A9" s="240" t="s">
        <v>272</v>
      </c>
      <c r="B9" s="240"/>
      <c r="C9" s="240"/>
      <c r="D9" s="240"/>
      <c r="E9" s="240"/>
      <c r="F9" s="240"/>
      <c r="G9" s="240"/>
      <c r="H9" s="5"/>
      <c r="I9" s="5"/>
      <c r="J9" s="5"/>
      <c r="K9" s="5"/>
    </row>
    <row r="10" spans="1:11" ht="15.75">
      <c r="A10" s="140"/>
      <c r="B10" s="141"/>
      <c r="C10" s="141"/>
      <c r="D10" s="141"/>
      <c r="E10" s="141"/>
      <c r="F10" s="141"/>
      <c r="G10" s="141"/>
      <c r="H10" s="2"/>
      <c r="I10" s="2"/>
      <c r="J10" s="2"/>
      <c r="K10" s="2"/>
    </row>
    <row r="11" spans="1:11" ht="53.25" customHeight="1">
      <c r="A11" s="241" t="s">
        <v>141</v>
      </c>
      <c r="B11" s="241"/>
      <c r="C11" s="241"/>
      <c r="D11" s="241"/>
      <c r="E11" s="241"/>
      <c r="F11" s="241"/>
      <c r="G11" s="241"/>
      <c r="H11" s="2"/>
      <c r="I11" s="2"/>
      <c r="J11" s="2"/>
      <c r="K11" s="2"/>
    </row>
    <row r="12" spans="1:11" ht="16.5" customHeight="1">
      <c r="A12" s="4"/>
    </row>
    <row r="13" spans="1:11" ht="94.5">
      <c r="A13" s="93" t="s">
        <v>0</v>
      </c>
      <c r="B13" s="93" t="s">
        <v>121</v>
      </c>
      <c r="C13" s="93" t="s">
        <v>2</v>
      </c>
      <c r="D13" s="93" t="s">
        <v>20</v>
      </c>
      <c r="E13" s="93" t="s">
        <v>21</v>
      </c>
      <c r="F13" s="93" t="s">
        <v>25</v>
      </c>
      <c r="G13" s="93" t="s">
        <v>3</v>
      </c>
    </row>
    <row r="14" spans="1:11" ht="15.75">
      <c r="A14" s="131">
        <v>1</v>
      </c>
      <c r="B14" s="131">
        <v>2</v>
      </c>
      <c r="C14" s="131">
        <v>3</v>
      </c>
      <c r="D14" s="142">
        <v>4</v>
      </c>
      <c r="E14" s="131">
        <v>5</v>
      </c>
      <c r="F14" s="131">
        <v>6</v>
      </c>
      <c r="G14" s="131">
        <v>7</v>
      </c>
      <c r="H14" s="8"/>
      <c r="I14" s="8"/>
      <c r="J14" s="8"/>
      <c r="K14" s="8"/>
    </row>
    <row r="15" spans="1:11" ht="20.25" customHeight="1">
      <c r="A15" s="260" t="s">
        <v>4</v>
      </c>
      <c r="B15" s="261"/>
      <c r="C15" s="261"/>
      <c r="D15" s="261"/>
      <c r="E15" s="261"/>
      <c r="F15" s="261"/>
      <c r="G15" s="262"/>
      <c r="H15" s="8"/>
      <c r="I15" s="8"/>
      <c r="J15" s="8"/>
      <c r="K15" s="8"/>
    </row>
    <row r="16" spans="1:11" ht="33" customHeight="1">
      <c r="A16" s="89">
        <v>1</v>
      </c>
      <c r="B16" s="98" t="s">
        <v>124</v>
      </c>
      <c r="C16" s="89" t="s">
        <v>66</v>
      </c>
      <c r="D16" s="89" t="s">
        <v>125</v>
      </c>
      <c r="E16" s="89"/>
      <c r="F16" s="89">
        <v>187.48</v>
      </c>
      <c r="G16" s="89">
        <v>2316.33</v>
      </c>
      <c r="H16" s="8"/>
      <c r="I16" s="8"/>
      <c r="J16" s="8"/>
      <c r="K16" s="8"/>
    </row>
    <row r="17" spans="1:11" ht="32.25" customHeight="1">
      <c r="A17" s="89">
        <v>2</v>
      </c>
      <c r="B17" s="98" t="s">
        <v>147</v>
      </c>
      <c r="C17" s="89" t="s">
        <v>66</v>
      </c>
      <c r="D17" s="89" t="s">
        <v>126</v>
      </c>
      <c r="E17" s="89"/>
      <c r="F17" s="89">
        <v>187.48</v>
      </c>
      <c r="G17" s="114">
        <v>6177</v>
      </c>
      <c r="H17" s="8"/>
      <c r="I17" s="8"/>
      <c r="J17" s="8"/>
      <c r="K17" s="8"/>
    </row>
    <row r="18" spans="1:11" ht="32.25" customHeight="1">
      <c r="A18" s="89">
        <v>3</v>
      </c>
      <c r="B18" s="98" t="s">
        <v>148</v>
      </c>
      <c r="C18" s="89" t="s">
        <v>66</v>
      </c>
      <c r="D18" s="89" t="s">
        <v>102</v>
      </c>
      <c r="E18" s="89"/>
      <c r="F18" s="114">
        <v>539.30999999999995</v>
      </c>
      <c r="G18" s="89">
        <v>5125.58</v>
      </c>
      <c r="H18" s="8"/>
      <c r="I18" s="8"/>
      <c r="J18" s="8"/>
      <c r="K18" s="8"/>
    </row>
    <row r="19" spans="1:11" ht="19.5" customHeight="1">
      <c r="A19" s="89">
        <v>4</v>
      </c>
      <c r="B19" s="122" t="s">
        <v>26</v>
      </c>
      <c r="C19" s="88" t="s">
        <v>27</v>
      </c>
      <c r="D19" s="89" t="s">
        <v>28</v>
      </c>
      <c r="E19" s="108" t="e">
        <f>#REF!+#REF!+#REF!+#REF!+#REF!+#REF!+'12.16'!E11+#REF!+#REF!+#REF!+#REF!+#REF!</f>
        <v>#REF!</v>
      </c>
      <c r="F19" s="97">
        <v>5.33</v>
      </c>
      <c r="G19" s="91">
        <v>21026.85</v>
      </c>
      <c r="H19" s="8"/>
      <c r="I19" s="8"/>
      <c r="J19" s="8"/>
      <c r="K19" s="8"/>
    </row>
    <row r="20" spans="1:11" ht="21.75" customHeight="1">
      <c r="A20" s="89">
        <v>5</v>
      </c>
      <c r="B20" s="98" t="s">
        <v>85</v>
      </c>
      <c r="C20" s="99" t="s">
        <v>39</v>
      </c>
      <c r="D20" s="100" t="s">
        <v>118</v>
      </c>
      <c r="E20" s="97">
        <v>0</v>
      </c>
      <c r="F20" s="90">
        <v>157.18</v>
      </c>
      <c r="G20" s="97">
        <v>478.08</v>
      </c>
      <c r="H20" s="8"/>
      <c r="I20" s="8"/>
      <c r="J20" s="8"/>
      <c r="K20" s="8"/>
    </row>
    <row r="21" spans="1:11" ht="19.5" customHeight="1">
      <c r="A21" s="260" t="s">
        <v>119</v>
      </c>
      <c r="B21" s="261"/>
      <c r="C21" s="261"/>
      <c r="D21" s="261"/>
      <c r="E21" s="261"/>
      <c r="F21" s="261"/>
      <c r="G21" s="262"/>
      <c r="H21" s="50"/>
      <c r="I21" s="8"/>
      <c r="J21" s="8"/>
      <c r="K21" s="8"/>
    </row>
    <row r="22" spans="1:11" ht="16.5" customHeight="1">
      <c r="A22" s="87"/>
      <c r="B22" s="101" t="s">
        <v>5</v>
      </c>
      <c r="C22" s="87"/>
      <c r="D22" s="87"/>
      <c r="E22" s="108"/>
      <c r="F22" s="96"/>
      <c r="G22" s="133"/>
      <c r="H22" s="34"/>
      <c r="I22" s="8"/>
      <c r="J22" s="8"/>
      <c r="K22" s="8"/>
    </row>
    <row r="23" spans="1:11" ht="33.75" customHeight="1">
      <c r="A23" s="102">
        <v>6</v>
      </c>
      <c r="B23" s="138" t="s">
        <v>31</v>
      </c>
      <c r="C23" s="95" t="s">
        <v>38</v>
      </c>
      <c r="D23" s="89" t="s">
        <v>30</v>
      </c>
      <c r="E23" s="108" t="e">
        <f>#REF!+#REF!+#REF!+#REF!+#REF!+#REF!+'12.16'!E25+#REF!+#REF!+#REF!+#REF!+#REF!</f>
        <v>#REF!</v>
      </c>
      <c r="F23" s="104">
        <v>1632.6</v>
      </c>
      <c r="G23" s="91">
        <v>2176.83</v>
      </c>
      <c r="H23" s="34"/>
      <c r="I23" s="8"/>
      <c r="J23" s="8"/>
      <c r="K23" s="8"/>
    </row>
    <row r="24" spans="1:11" ht="16.5" customHeight="1">
      <c r="A24" s="102">
        <v>7</v>
      </c>
      <c r="B24" s="138" t="s">
        <v>135</v>
      </c>
      <c r="C24" s="95" t="s">
        <v>35</v>
      </c>
      <c r="D24" s="89" t="s">
        <v>102</v>
      </c>
      <c r="E24" s="108" t="e">
        <f>#REF!+#REF!+#REF!+#REF!+#REF!+#REF!+'12.16'!E26+#REF!+#REF!+#REF!+#REF!+#REF!</f>
        <v>#REF!</v>
      </c>
      <c r="F24" s="104">
        <v>2247.8000000000002</v>
      </c>
      <c r="G24" s="91">
        <v>2145.33</v>
      </c>
      <c r="H24" s="34"/>
      <c r="I24" s="47"/>
      <c r="J24" s="8"/>
      <c r="K24" s="8"/>
    </row>
    <row r="25" spans="1:11" ht="30.75" customHeight="1">
      <c r="A25" s="102">
        <v>8</v>
      </c>
      <c r="B25" s="138" t="s">
        <v>136</v>
      </c>
      <c r="C25" s="95" t="s">
        <v>35</v>
      </c>
      <c r="D25" s="89" t="s">
        <v>137</v>
      </c>
      <c r="E25" s="108"/>
      <c r="F25" s="104">
        <v>2247.8000000000002</v>
      </c>
      <c r="G25" s="91">
        <v>1314.17</v>
      </c>
      <c r="H25" s="34"/>
      <c r="I25" s="47"/>
      <c r="J25" s="8"/>
      <c r="K25" s="8"/>
    </row>
    <row r="26" spans="1:11" ht="50.25" customHeight="1">
      <c r="A26" s="102">
        <v>9</v>
      </c>
      <c r="B26" s="98" t="s">
        <v>115</v>
      </c>
      <c r="C26" s="95" t="s">
        <v>35</v>
      </c>
      <c r="D26" s="89" t="s">
        <v>139</v>
      </c>
      <c r="E26" s="108" t="e">
        <f>#REF!+#REF!+#REF!+#REF!+#REF!+#REF!+'12.16'!E27+#REF!+#REF!+#REF!+#REF!+#REF!</f>
        <v>#REF!</v>
      </c>
      <c r="F26" s="104">
        <v>6203.71</v>
      </c>
      <c r="G26" s="91">
        <v>2901.67</v>
      </c>
      <c r="H26" s="34"/>
      <c r="I26" s="8"/>
      <c r="J26" s="8"/>
      <c r="K26" s="8"/>
    </row>
    <row r="27" spans="1:11" ht="31.5">
      <c r="A27" s="102">
        <v>10</v>
      </c>
      <c r="B27" s="138" t="s">
        <v>138</v>
      </c>
      <c r="C27" s="95" t="s">
        <v>35</v>
      </c>
      <c r="D27" s="89" t="s">
        <v>120</v>
      </c>
      <c r="E27" s="108" t="e">
        <f>#REF!+#REF!+#REF!+#REF!+#REF!+#REF!+'12.16'!E28+#REF!+#REF!+#REF!+#REF!+#REF!</f>
        <v>#REF!</v>
      </c>
      <c r="F27" s="104">
        <v>374.95</v>
      </c>
      <c r="G27" s="91">
        <v>1132.67</v>
      </c>
      <c r="H27" s="34"/>
      <c r="I27" s="48"/>
      <c r="J27" s="8"/>
      <c r="K27" s="8"/>
    </row>
    <row r="28" spans="1:11" ht="18.75" customHeight="1">
      <c r="A28" s="102">
        <v>11</v>
      </c>
      <c r="B28" s="138" t="s">
        <v>130</v>
      </c>
      <c r="C28" s="95" t="s">
        <v>35</v>
      </c>
      <c r="D28" s="89" t="s">
        <v>117</v>
      </c>
      <c r="E28" s="91" t="e">
        <f>#REF!+#REF!+#REF!+#REF!+#REF!+#REF!+'12.16'!E29+#REF!+#REF!+#REF!+#REF!+#REF!</f>
        <v>#REF!</v>
      </c>
      <c r="F28" s="104">
        <v>458.28</v>
      </c>
      <c r="G28" s="91">
        <v>401.83</v>
      </c>
      <c r="H28" s="34"/>
      <c r="I28" s="8"/>
      <c r="J28" s="8"/>
      <c r="K28" s="8"/>
    </row>
    <row r="29" spans="1:11" ht="16.5" customHeight="1">
      <c r="A29" s="102">
        <v>12</v>
      </c>
      <c r="B29" s="138" t="s">
        <v>32</v>
      </c>
      <c r="C29" s="88" t="s">
        <v>39</v>
      </c>
      <c r="D29" s="94"/>
      <c r="E29" s="108" t="e">
        <f>#REF!+#REF!+#REF!+#REF!+#REF!+#REF!+'12.16'!E30+#REF!+#REF!+#REF!+#REF!+#REF!</f>
        <v>#REF!</v>
      </c>
      <c r="F29" s="104">
        <v>798</v>
      </c>
      <c r="G29" s="91">
        <v>119.67</v>
      </c>
      <c r="H29" s="34"/>
      <c r="I29" s="8"/>
      <c r="J29" s="8"/>
      <c r="K29" s="8"/>
    </row>
    <row r="30" spans="1:11" ht="15" hidden="1" customHeight="1">
      <c r="A30" s="139"/>
      <c r="B30" s="260" t="s">
        <v>127</v>
      </c>
      <c r="C30" s="261"/>
      <c r="D30" s="261"/>
      <c r="E30" s="261"/>
      <c r="F30" s="261"/>
      <c r="G30" s="262"/>
      <c r="H30" s="51"/>
      <c r="I30" s="8"/>
    </row>
    <row r="31" spans="1:11" ht="22.5" hidden="1" customHeight="1">
      <c r="A31" s="87">
        <v>16</v>
      </c>
      <c r="B31" s="138" t="s">
        <v>40</v>
      </c>
      <c r="C31" s="95" t="s">
        <v>35</v>
      </c>
      <c r="D31" s="89" t="s">
        <v>77</v>
      </c>
      <c r="E31" s="91" t="e">
        <f>#REF!+#REF!+#REF!+#REF!+#REF!+#REF!+'12.16'!E35+#REF!+#REF!+#REF!+#REF!+#REF!</f>
        <v>#REF!</v>
      </c>
      <c r="F31" s="104">
        <v>1098.72</v>
      </c>
      <c r="G31" s="133" t="e">
        <f>#REF!+#REF!+#REF!+#REF!+#REF!+#REF!+'12.16'!G35+#REF!+#REF!+#REF!+#REF!+#REF!</f>
        <v>#REF!</v>
      </c>
      <c r="H31" s="35"/>
    </row>
    <row r="32" spans="1:11" ht="24" hidden="1" customHeight="1">
      <c r="A32" s="87">
        <v>17</v>
      </c>
      <c r="B32" s="138" t="s">
        <v>41</v>
      </c>
      <c r="C32" s="95" t="s">
        <v>42</v>
      </c>
      <c r="D32" s="89" t="s">
        <v>77</v>
      </c>
      <c r="E32" s="91" t="e">
        <f>#REF!+#REF!+#REF!+#REF!+#REF!+#REF!+'12.16'!E36+#REF!+#REF!+#REF!+#REF!+#REF!</f>
        <v>#REF!</v>
      </c>
      <c r="F32" s="104">
        <v>94.18</v>
      </c>
      <c r="G32" s="133" t="e">
        <f>#REF!+#REF!+#REF!+#REF!+#REF!+#REF!+'12.16'!G35+#REF!+#REF!+#REF!+#REF!+#REF!</f>
        <v>#REF!</v>
      </c>
      <c r="H32" s="35"/>
    </row>
    <row r="33" spans="1:12" ht="24" hidden="1" customHeight="1">
      <c r="A33" s="87">
        <v>18</v>
      </c>
      <c r="B33" s="138" t="s">
        <v>43</v>
      </c>
      <c r="C33" s="95" t="s">
        <v>35</v>
      </c>
      <c r="D33" s="89" t="s">
        <v>77</v>
      </c>
      <c r="E33" s="91" t="e">
        <f>#REF!+#REF!+#REF!+#REF!+#REF!+#REF!+'12.16'!E37+#REF!+#REF!+#REF!+#REF!+#REF!</f>
        <v>#REF!</v>
      </c>
      <c r="F33" s="104">
        <v>749.49</v>
      </c>
      <c r="G33" s="133" t="e">
        <f>#REF!+#REF!+#REF!+#REF!+#REF!+#REF!+'12.16'!G36+#REF!+#REF!+#REF!+#REF!+#REF!</f>
        <v>#REF!</v>
      </c>
      <c r="H33" s="35"/>
    </row>
    <row r="34" spans="1:12" ht="24" hidden="1" customHeight="1">
      <c r="A34" s="87">
        <v>19</v>
      </c>
      <c r="B34" s="138" t="s">
        <v>44</v>
      </c>
      <c r="C34" s="95" t="s">
        <v>35</v>
      </c>
      <c r="D34" s="89" t="s">
        <v>77</v>
      </c>
      <c r="E34" s="91" t="e">
        <f>#REF!+#REF!+#REF!+#REF!+#REF!+#REF!+'12.16'!E38+#REF!+#REF!+#REF!+#REF!+#REF!</f>
        <v>#REF!</v>
      </c>
      <c r="F34" s="104">
        <v>749.49</v>
      </c>
      <c r="G34" s="133" t="e">
        <f>#REF!+#REF!+#REF!+#REF!+#REF!+#REF!+'12.16'!G38+#REF!+#REF!+#REF!+#REF!+#REF!</f>
        <v>#REF!</v>
      </c>
      <c r="H34" s="35"/>
    </row>
    <row r="35" spans="1:12" ht="23.25" hidden="1" customHeight="1">
      <c r="A35" s="87">
        <v>20</v>
      </c>
      <c r="B35" s="138" t="s">
        <v>45</v>
      </c>
      <c r="C35" s="95" t="s">
        <v>35</v>
      </c>
      <c r="D35" s="89" t="s">
        <v>77</v>
      </c>
      <c r="E35" s="91" t="e">
        <f>#REF!+#REF!+#REF!+#REF!+#REF!+#REF!+'12.16'!E39+#REF!+#REF!+#REF!+#REF!+#REF!</f>
        <v>#REF!</v>
      </c>
      <c r="F35" s="104">
        <v>784.8</v>
      </c>
      <c r="G35" s="133" t="e">
        <f>#REF!+#REF!+#REF!+#REF!+#REF!+#REF!+'12.16'!G39+#REF!+#REF!+#REF!+#REF!+#REF!</f>
        <v>#REF!</v>
      </c>
      <c r="H35" s="35"/>
    </row>
    <row r="36" spans="1:12" ht="23.25" hidden="1" customHeight="1">
      <c r="A36" s="87">
        <v>21</v>
      </c>
      <c r="B36" s="138" t="s">
        <v>71</v>
      </c>
      <c r="C36" s="95" t="s">
        <v>35</v>
      </c>
      <c r="D36" s="89" t="s">
        <v>77</v>
      </c>
      <c r="E36" s="91" t="e">
        <f>#REF!+#REF!+#REF!+#REF!+#REF!+#REF!+'12.16'!E40+#REF!+#REF!+#REF!+#REF!+#REF!</f>
        <v>#REF!</v>
      </c>
      <c r="F36" s="104">
        <v>1599.61</v>
      </c>
      <c r="G36" s="133" t="e">
        <f>#REF!+#REF!+#REF!+#REF!+#REF!+#REF!+'12.16'!G40+#REF!+#REF!+#REF!+#REF!+#REF!</f>
        <v>#REF!</v>
      </c>
      <c r="H36" s="35"/>
    </row>
    <row r="37" spans="1:12" ht="30.75" hidden="1" customHeight="1">
      <c r="A37" s="87">
        <v>22</v>
      </c>
      <c r="B37" s="138" t="s">
        <v>46</v>
      </c>
      <c r="C37" s="95" t="s">
        <v>35</v>
      </c>
      <c r="D37" s="89" t="s">
        <v>77</v>
      </c>
      <c r="E37" s="91" t="e">
        <f>#REF!+#REF!+#REF!+#REF!+#REF!+#REF!+'12.16'!E41+#REF!+#REF!+#REF!+#REF!+#REF!</f>
        <v>#REF!</v>
      </c>
      <c r="F37" s="104">
        <v>1599.61</v>
      </c>
      <c r="G37" s="133" t="e">
        <f>#REF!+#REF!+#REF!+#REF!+#REF!+#REF!+'12.16'!G41+#REF!+#REF!+#REF!+#REF!+#REF!</f>
        <v>#REF!</v>
      </c>
      <c r="H37" s="35"/>
    </row>
    <row r="38" spans="1:12" ht="30.75" hidden="1" customHeight="1">
      <c r="A38" s="87">
        <v>23</v>
      </c>
      <c r="B38" s="138" t="s">
        <v>47</v>
      </c>
      <c r="C38" s="95" t="s">
        <v>48</v>
      </c>
      <c r="D38" s="89" t="s">
        <v>77</v>
      </c>
      <c r="E38" s="91" t="e">
        <f>#REF!+#REF!+#REF!+#REF!+#REF!+#REF!+'12.16'!E42+#REF!+#REF!+#REF!+#REF!+#REF!</f>
        <v>#REF!</v>
      </c>
      <c r="F38" s="104">
        <v>3599.1</v>
      </c>
      <c r="G38" s="133" t="e">
        <f>#REF!+#REF!+#REF!+#REF!+#REF!+#REF!+'12.16'!G42+#REF!+#REF!+#REF!+#REF!+#REF!</f>
        <v>#REF!</v>
      </c>
      <c r="H38" s="35"/>
      <c r="J38" s="27"/>
      <c r="K38" s="28"/>
      <c r="L38" s="29"/>
    </row>
    <row r="39" spans="1:12" ht="25.5" hidden="1" customHeight="1">
      <c r="A39" s="87">
        <v>24</v>
      </c>
      <c r="B39" s="138" t="s">
        <v>49</v>
      </c>
      <c r="C39" s="95" t="s">
        <v>50</v>
      </c>
      <c r="D39" s="89" t="s">
        <v>77</v>
      </c>
      <c r="E39" s="91" t="e">
        <f>#REF!+#REF!+#REF!+#REF!+#REF!+#REF!+'12.16'!E44+#REF!+#REF!+#REF!+#REF!+#REF!</f>
        <v>#REF!</v>
      </c>
      <c r="F39" s="104">
        <v>7450.14</v>
      </c>
      <c r="G39" s="133" t="e">
        <f>#REF!+#REF!+#REF!+#REF!+#REF!+#REF!+'12.16'!G44+#REF!+#REF!+#REF!+#REF!+#REF!</f>
        <v>#REF!</v>
      </c>
      <c r="H39" s="35"/>
      <c r="J39" s="27"/>
      <c r="K39" s="28"/>
      <c r="L39" s="29"/>
    </row>
    <row r="40" spans="1:12" ht="25.5" hidden="1" customHeight="1">
      <c r="A40" s="87">
        <v>25</v>
      </c>
      <c r="B40" s="134" t="s">
        <v>51</v>
      </c>
      <c r="C40" s="123" t="s">
        <v>37</v>
      </c>
      <c r="D40" s="124" t="s">
        <v>52</v>
      </c>
      <c r="E40" s="91">
        <v>32</v>
      </c>
      <c r="F40" s="104">
        <v>158.66</v>
      </c>
      <c r="G40" s="133">
        <f>E40*F40</f>
        <v>5077.12</v>
      </c>
      <c r="H40" s="35"/>
      <c r="J40" s="27"/>
      <c r="K40" s="28"/>
      <c r="L40" s="29"/>
    </row>
    <row r="41" spans="1:12" ht="16.5" hidden="1" customHeight="1">
      <c r="A41" s="87">
        <v>26</v>
      </c>
      <c r="B41" s="138" t="s">
        <v>53</v>
      </c>
      <c r="C41" s="123" t="s">
        <v>37</v>
      </c>
      <c r="D41" s="89" t="s">
        <v>54</v>
      </c>
      <c r="E41" s="91">
        <v>32</v>
      </c>
      <c r="F41" s="104">
        <v>73.84</v>
      </c>
      <c r="G41" s="133">
        <f>E41*F41</f>
        <v>2362.88</v>
      </c>
      <c r="H41" s="35"/>
      <c r="J41" s="27"/>
      <c r="K41" s="28"/>
      <c r="L41" s="29"/>
    </row>
    <row r="42" spans="1:12" ht="19.5" customHeight="1">
      <c r="A42" s="92"/>
      <c r="B42" s="260" t="s">
        <v>128</v>
      </c>
      <c r="C42" s="261"/>
      <c r="D42" s="261"/>
      <c r="E42" s="261"/>
      <c r="F42" s="261"/>
      <c r="G42" s="262"/>
      <c r="H42" s="52"/>
      <c r="J42" s="27"/>
      <c r="K42" s="28"/>
      <c r="L42" s="29"/>
    </row>
    <row r="43" spans="1:12" ht="20.25" customHeight="1">
      <c r="A43" s="139"/>
      <c r="B43" s="105" t="s">
        <v>55</v>
      </c>
      <c r="C43" s="95"/>
      <c r="D43" s="135"/>
      <c r="E43" s="91"/>
      <c r="F43" s="106"/>
      <c r="G43" s="133"/>
      <c r="H43" s="35"/>
      <c r="J43" s="27"/>
      <c r="K43" s="28"/>
      <c r="L43" s="29"/>
    </row>
    <row r="44" spans="1:12" ht="54.75" customHeight="1">
      <c r="A44" s="87">
        <v>13</v>
      </c>
      <c r="B44" s="138" t="s">
        <v>131</v>
      </c>
      <c r="C44" s="95" t="s">
        <v>66</v>
      </c>
      <c r="D44" s="93" t="s">
        <v>36</v>
      </c>
      <c r="E44" s="91" t="e">
        <f>#REF!+#REF!+#REF!+#REF!+#REF!+#REF!+'12.16'!E50+#REF!+#REF!+#REF!+#REF!+#REF!</f>
        <v>#REF!</v>
      </c>
      <c r="F44" s="104">
        <v>1654.04</v>
      </c>
      <c r="G44" s="91">
        <v>2448.67</v>
      </c>
      <c r="H44" s="35"/>
      <c r="J44" s="27"/>
      <c r="K44" s="28"/>
      <c r="L44" s="29"/>
    </row>
    <row r="45" spans="1:12" ht="33.75" customHeight="1">
      <c r="A45" s="136">
        <v>14</v>
      </c>
      <c r="B45" s="98" t="s">
        <v>142</v>
      </c>
      <c r="C45" s="99" t="s">
        <v>66</v>
      </c>
      <c r="D45" s="100" t="s">
        <v>143</v>
      </c>
      <c r="E45" s="132"/>
      <c r="F45" s="89">
        <v>1654.04</v>
      </c>
      <c r="G45" s="153">
        <v>1313.33</v>
      </c>
      <c r="H45" s="35"/>
      <c r="J45" s="27"/>
      <c r="K45" s="28"/>
      <c r="L45" s="29"/>
    </row>
    <row r="46" spans="1:12" ht="16.5" customHeight="1">
      <c r="A46" s="136">
        <v>15</v>
      </c>
      <c r="B46" s="98" t="s">
        <v>202</v>
      </c>
      <c r="C46" s="99" t="s">
        <v>151</v>
      </c>
      <c r="D46" s="100" t="s">
        <v>175</v>
      </c>
      <c r="E46" s="132"/>
      <c r="F46" s="89">
        <v>1654.04</v>
      </c>
      <c r="G46" s="153">
        <v>690.23</v>
      </c>
      <c r="H46" s="35"/>
      <c r="J46" s="27"/>
      <c r="K46" s="28"/>
      <c r="L46" s="29"/>
    </row>
    <row r="47" spans="1:12" ht="20.25" customHeight="1">
      <c r="A47" s="87"/>
      <c r="B47" s="105" t="s">
        <v>56</v>
      </c>
      <c r="C47" s="143"/>
      <c r="D47" s="143"/>
      <c r="E47" s="91"/>
      <c r="F47" s="144"/>
      <c r="G47" s="133"/>
      <c r="H47" s="35"/>
      <c r="J47" s="27"/>
      <c r="K47" s="28"/>
      <c r="L47" s="29"/>
    </row>
    <row r="48" spans="1:12" ht="19.5" customHeight="1">
      <c r="A48" s="87">
        <v>16</v>
      </c>
      <c r="B48" s="149" t="s">
        <v>146</v>
      </c>
      <c r="C48" s="97" t="s">
        <v>68</v>
      </c>
      <c r="D48" s="91" t="s">
        <v>36</v>
      </c>
      <c r="E48" s="91" t="e">
        <f>#REF!+#REF!+#REF!+#REF!+#REF!+#REF!+'12.16'!E52+#REF!+#REF!+#REF!+#REF!+#REF!</f>
        <v>#REF!</v>
      </c>
      <c r="F48" s="91">
        <v>2.6</v>
      </c>
      <c r="G48" s="91">
        <v>528.05999999999995</v>
      </c>
      <c r="H48" s="35"/>
      <c r="J48" s="27"/>
      <c r="K48" s="28"/>
      <c r="L48" s="29"/>
    </row>
    <row r="49" spans="1:12" ht="33.75" customHeight="1">
      <c r="A49" s="136"/>
      <c r="B49" s="182" t="s">
        <v>58</v>
      </c>
      <c r="C49" s="125"/>
      <c r="D49" s="100" t="s">
        <v>207</v>
      </c>
      <c r="E49" s="132"/>
      <c r="F49" s="89"/>
      <c r="G49" s="153"/>
      <c r="H49" s="35"/>
      <c r="J49" s="27"/>
      <c r="K49" s="28"/>
      <c r="L49" s="29"/>
    </row>
    <row r="50" spans="1:12" ht="16.5" customHeight="1">
      <c r="A50" s="136">
        <v>17</v>
      </c>
      <c r="B50" s="181" t="s">
        <v>59</v>
      </c>
      <c r="C50" s="109" t="s">
        <v>144</v>
      </c>
      <c r="D50" s="100" t="s">
        <v>175</v>
      </c>
      <c r="E50" s="132"/>
      <c r="F50" s="89">
        <v>237.75</v>
      </c>
      <c r="G50" s="153">
        <v>475.5</v>
      </c>
      <c r="H50" s="35"/>
      <c r="J50" s="27"/>
      <c r="K50" s="28"/>
      <c r="L50" s="29"/>
    </row>
    <row r="51" spans="1:12" ht="17.25" customHeight="1">
      <c r="A51" s="139"/>
      <c r="B51" s="152" t="s">
        <v>93</v>
      </c>
      <c r="C51" s="112"/>
      <c r="D51" s="112"/>
      <c r="E51" s="91"/>
      <c r="F51" s="91"/>
      <c r="G51" s="91"/>
      <c r="H51" s="35"/>
      <c r="J51" s="27"/>
      <c r="K51" s="28"/>
      <c r="L51" s="29"/>
    </row>
    <row r="52" spans="1:12" ht="17.25" customHeight="1">
      <c r="A52" s="136">
        <v>18</v>
      </c>
      <c r="B52" s="110" t="s">
        <v>94</v>
      </c>
      <c r="C52" s="109" t="s">
        <v>96</v>
      </c>
      <c r="D52" s="149"/>
      <c r="E52" s="149" t="e">
        <f>#REF!+#REF!+#REF!+#REF!+#REF!+#REF!+'12.16'!E65+#REF!+#REF!+#REF!+#REF!+#REF!</f>
        <v>#REF!</v>
      </c>
      <c r="F52" s="91">
        <v>536.23</v>
      </c>
      <c r="G52" s="91">
        <v>107.25</v>
      </c>
      <c r="H52" s="35"/>
      <c r="J52" s="27"/>
      <c r="K52" s="28"/>
      <c r="L52" s="29"/>
    </row>
    <row r="53" spans="1:12" ht="17.25" customHeight="1">
      <c r="A53" s="136"/>
      <c r="B53" s="263" t="s">
        <v>129</v>
      </c>
      <c r="C53" s="264"/>
      <c r="D53" s="264"/>
      <c r="E53" s="264"/>
      <c r="F53" s="264"/>
      <c r="G53" s="265"/>
      <c r="H53" s="35"/>
      <c r="J53" s="27"/>
      <c r="K53" s="28"/>
      <c r="L53" s="29"/>
    </row>
    <row r="54" spans="1:12" ht="17.25" customHeight="1">
      <c r="A54" s="136">
        <v>19</v>
      </c>
      <c r="B54" s="150" t="s">
        <v>103</v>
      </c>
      <c r="C54" s="97" t="s">
        <v>68</v>
      </c>
      <c r="D54" s="151" t="s">
        <v>69</v>
      </c>
      <c r="E54" s="149" t="e">
        <f>#REF!+#REF!+#REF!+#REF!+#REF!+#REF!+'12.16'!E69+#REF!+#REF!+#REF!+#REF!+#REF!</f>
        <v>#REF!</v>
      </c>
      <c r="F54" s="151">
        <v>2.2400000000000002</v>
      </c>
      <c r="G54" s="91">
        <v>8836.7999999999993</v>
      </c>
      <c r="H54" s="32">
        <f>G52+G54</f>
        <v>8944.0499999999993</v>
      </c>
      <c r="J54" s="27">
        <f>6846.6/3934.8/12</f>
        <v>0.14500101657009251</v>
      </c>
      <c r="K54" s="28"/>
      <c r="L54" s="29"/>
    </row>
    <row r="55" spans="1:12" ht="47.25">
      <c r="A55" s="89">
        <v>20</v>
      </c>
      <c r="B55" s="110" t="s">
        <v>99</v>
      </c>
      <c r="C55" s="95" t="s">
        <v>68</v>
      </c>
      <c r="D55" s="89" t="s">
        <v>69</v>
      </c>
      <c r="E55" s="93"/>
      <c r="F55" s="103">
        <v>1.74</v>
      </c>
      <c r="G55" s="97">
        <v>6864.3</v>
      </c>
      <c r="H55" s="33">
        <f>H21+H30+H42+H54</f>
        <v>8944.0499999999993</v>
      </c>
      <c r="J55" s="46"/>
    </row>
    <row r="56" spans="1:12" ht="15.75">
      <c r="A56" s="92"/>
      <c r="B56" s="111" t="s">
        <v>105</v>
      </c>
      <c r="C56" s="87"/>
      <c r="D56" s="93"/>
      <c r="E56" s="93"/>
      <c r="F56" s="91"/>
      <c r="G56" s="112">
        <f>SUM(G16+G17+G18+G19+G20+G23+G24+G25+G26+G27+G28+G29+G44+G45+G46+G48+G50+G52+G54+G55)</f>
        <v>66580.149999999994</v>
      </c>
    </row>
    <row r="57" spans="1:12" ht="29.25" customHeight="1">
      <c r="A57" s="136"/>
      <c r="B57" s="137" t="s">
        <v>76</v>
      </c>
      <c r="C57" s="137"/>
      <c r="D57" s="137"/>
      <c r="E57" s="93"/>
      <c r="F57" s="91"/>
      <c r="G57" s="91"/>
    </row>
    <row r="58" spans="1:12" ht="31.5" hidden="1">
      <c r="A58" s="136"/>
      <c r="B58" s="113" t="s">
        <v>110</v>
      </c>
      <c r="C58" s="89" t="s">
        <v>37</v>
      </c>
      <c r="D58" s="137"/>
      <c r="E58" s="93"/>
      <c r="F58" s="91">
        <v>180.15</v>
      </c>
      <c r="G58" s="91">
        <v>180.15</v>
      </c>
    </row>
    <row r="59" spans="1:12" ht="31.5" hidden="1">
      <c r="A59" s="136"/>
      <c r="B59" s="113" t="s">
        <v>132</v>
      </c>
      <c r="C59" s="89" t="s">
        <v>37</v>
      </c>
      <c r="D59" s="137"/>
      <c r="E59" s="93"/>
      <c r="F59" s="91">
        <v>559.62</v>
      </c>
      <c r="G59" s="91">
        <v>559.62</v>
      </c>
    </row>
    <row r="60" spans="1:12" ht="47.25" hidden="1">
      <c r="A60" s="136"/>
      <c r="B60" s="113" t="s">
        <v>133</v>
      </c>
      <c r="C60" s="89" t="s">
        <v>107</v>
      </c>
      <c r="D60" s="137"/>
      <c r="E60" s="93"/>
      <c r="F60" s="91">
        <v>1146</v>
      </c>
      <c r="G60" s="91">
        <v>802.2</v>
      </c>
    </row>
    <row r="61" spans="1:12" ht="31.5" hidden="1">
      <c r="A61" s="136"/>
      <c r="B61" s="113" t="s">
        <v>104</v>
      </c>
      <c r="C61" s="89" t="s">
        <v>37</v>
      </c>
      <c r="D61" s="137"/>
      <c r="E61" s="93"/>
      <c r="F61" s="91">
        <v>79.09</v>
      </c>
      <c r="G61" s="91">
        <v>79.09</v>
      </c>
    </row>
    <row r="62" spans="1:12" ht="36" customHeight="1">
      <c r="A62" s="136">
        <v>21</v>
      </c>
      <c r="B62" s="113" t="s">
        <v>104</v>
      </c>
      <c r="C62" s="147" t="s">
        <v>144</v>
      </c>
      <c r="D62" s="137"/>
      <c r="E62" s="93"/>
      <c r="F62" s="91">
        <v>79.09</v>
      </c>
      <c r="G62" s="91">
        <v>237.27</v>
      </c>
    </row>
    <row r="63" spans="1:12" ht="36" customHeight="1">
      <c r="A63" s="136">
        <v>22</v>
      </c>
      <c r="B63" s="113" t="s">
        <v>114</v>
      </c>
      <c r="C63" s="148" t="s">
        <v>48</v>
      </c>
      <c r="D63" s="137"/>
      <c r="E63" s="93"/>
      <c r="F63" s="91">
        <v>3397.65</v>
      </c>
      <c r="G63" s="91">
        <v>33.979999999999997</v>
      </c>
    </row>
    <row r="64" spans="1:12" ht="18.75" customHeight="1">
      <c r="A64" s="136">
        <v>23</v>
      </c>
      <c r="B64" s="98" t="s">
        <v>145</v>
      </c>
      <c r="C64" s="99" t="s">
        <v>144</v>
      </c>
      <c r="D64" s="137"/>
      <c r="E64" s="93"/>
      <c r="F64" s="180">
        <v>175.6</v>
      </c>
      <c r="G64" s="91">
        <v>175.6</v>
      </c>
    </row>
    <row r="65" spans="1:20" ht="18.75" customHeight="1">
      <c r="A65" s="136">
        <v>24</v>
      </c>
      <c r="B65" s="185" t="s">
        <v>185</v>
      </c>
      <c r="C65" s="186" t="s">
        <v>186</v>
      </c>
      <c r="D65" s="137"/>
      <c r="E65" s="93"/>
      <c r="F65" s="180">
        <v>1063.47</v>
      </c>
      <c r="G65" s="91">
        <v>1063.47</v>
      </c>
    </row>
    <row r="66" spans="1:20" ht="18.75" customHeight="1">
      <c r="A66" s="89"/>
      <c r="B66" s="146" t="s">
        <v>64</v>
      </c>
      <c r="C66" s="115"/>
      <c r="D66" s="116"/>
      <c r="E66" s="115">
        <v>1</v>
      </c>
      <c r="F66" s="115"/>
      <c r="G66" s="112">
        <f>SUM(G62:G65)</f>
        <v>1510.3200000000002</v>
      </c>
    </row>
    <row r="67" spans="1:20" ht="18" customHeight="1">
      <c r="A67" s="89"/>
      <c r="B67" s="122" t="s">
        <v>100</v>
      </c>
      <c r="C67" s="93"/>
      <c r="D67" s="93"/>
      <c r="E67" s="117"/>
      <c r="F67" s="118"/>
      <c r="G67" s="119">
        <v>0</v>
      </c>
    </row>
    <row r="68" spans="1:20" ht="15.75">
      <c r="A68" s="30"/>
      <c r="B68" s="120" t="s">
        <v>65</v>
      </c>
      <c r="C68" s="107"/>
      <c r="D68" s="107"/>
      <c r="E68" s="107"/>
      <c r="F68" s="107"/>
      <c r="G68" s="121">
        <f>G56+G66</f>
        <v>68090.47</v>
      </c>
    </row>
    <row r="69" spans="1:20" ht="18" customHeight="1">
      <c r="A69" s="242" t="s">
        <v>210</v>
      </c>
      <c r="B69" s="242"/>
      <c r="C69" s="242"/>
      <c r="D69" s="242"/>
      <c r="E69" s="242"/>
      <c r="F69" s="242"/>
      <c r="G69" s="24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9"/>
    </row>
    <row r="70" spans="1:20" ht="15.75" customHeight="1">
      <c r="A70" s="10" t="s">
        <v>6</v>
      </c>
      <c r="B70" s="266" t="s">
        <v>211</v>
      </c>
      <c r="C70" s="266"/>
      <c r="D70" s="266"/>
      <c r="E70" s="266"/>
      <c r="F70" s="266"/>
      <c r="G70" s="3"/>
      <c r="H70" s="40"/>
      <c r="I70" s="40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20" ht="15.75">
      <c r="A71" s="42"/>
      <c r="B71" s="267" t="s">
        <v>7</v>
      </c>
      <c r="C71" s="267"/>
      <c r="D71" s="267"/>
      <c r="E71" s="267"/>
      <c r="F71" s="267"/>
      <c r="G71" s="5"/>
      <c r="H71" s="5"/>
      <c r="I71" s="5"/>
      <c r="J71" s="5"/>
      <c r="K71" s="5"/>
      <c r="L71" s="5"/>
      <c r="M71" s="5"/>
      <c r="N71" s="5"/>
      <c r="O71" s="5"/>
      <c r="P71" s="248"/>
      <c r="Q71" s="248"/>
      <c r="R71" s="248"/>
      <c r="S71" s="248"/>
    </row>
    <row r="72" spans="1:2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20" ht="15.75">
      <c r="A73" s="259" t="s">
        <v>8</v>
      </c>
      <c r="B73" s="259"/>
      <c r="C73" s="259"/>
      <c r="D73" s="259"/>
      <c r="E73" s="259"/>
      <c r="F73" s="259"/>
      <c r="G73" s="259"/>
    </row>
    <row r="74" spans="1:20" ht="15.75">
      <c r="A74" s="259" t="s">
        <v>9</v>
      </c>
      <c r="B74" s="259"/>
      <c r="C74" s="259"/>
      <c r="D74" s="259"/>
      <c r="E74" s="259"/>
      <c r="F74" s="259"/>
      <c r="G74" s="259"/>
    </row>
    <row r="75" spans="1:20" ht="15.75">
      <c r="A75" s="242" t="s">
        <v>10</v>
      </c>
      <c r="B75" s="242"/>
      <c r="C75" s="242"/>
      <c r="D75" s="242"/>
      <c r="E75" s="242"/>
      <c r="F75" s="242"/>
      <c r="G75" s="242"/>
    </row>
    <row r="76" spans="1:20" ht="13.5" customHeight="1">
      <c r="A76" s="145"/>
      <c r="B76" s="145"/>
      <c r="C76" s="145"/>
      <c r="D76" s="145"/>
      <c r="E76" s="145"/>
      <c r="F76" s="145"/>
      <c r="G76" s="145"/>
    </row>
    <row r="77" spans="1:20" ht="13.5" customHeight="1">
      <c r="A77" s="12"/>
    </row>
    <row r="78" spans="1:20" ht="15.75">
      <c r="A78" s="243" t="s">
        <v>11</v>
      </c>
      <c r="B78" s="243"/>
      <c r="C78" s="243"/>
      <c r="D78" s="243"/>
      <c r="E78" s="243"/>
      <c r="F78" s="243"/>
      <c r="G78" s="243"/>
    </row>
    <row r="79" spans="1:20" ht="15.75">
      <c r="A79" s="4"/>
    </row>
    <row r="80" spans="1:20" ht="15.75">
      <c r="A80" s="242" t="s">
        <v>12</v>
      </c>
      <c r="B80" s="242"/>
      <c r="C80" s="268" t="s">
        <v>134</v>
      </c>
      <c r="D80" s="268"/>
      <c r="E80" s="268"/>
      <c r="G80" s="37"/>
    </row>
    <row r="81" spans="1:7">
      <c r="A81" s="42"/>
      <c r="C81" s="255" t="s">
        <v>13</v>
      </c>
      <c r="D81" s="255"/>
      <c r="E81" s="255"/>
      <c r="G81" s="38" t="s">
        <v>14</v>
      </c>
    </row>
    <row r="82" spans="1:7" ht="15.75">
      <c r="A82" s="40"/>
      <c r="C82" s="13"/>
      <c r="D82" s="13"/>
      <c r="F82" s="13"/>
    </row>
    <row r="83" spans="1:7" ht="15.75">
      <c r="A83" s="242" t="s">
        <v>15</v>
      </c>
      <c r="B83" s="242"/>
      <c r="C83" s="256"/>
      <c r="D83" s="256"/>
      <c r="E83" s="256"/>
      <c r="G83" s="37"/>
    </row>
    <row r="84" spans="1:7">
      <c r="A84" s="42"/>
      <c r="C84" s="248" t="s">
        <v>13</v>
      </c>
      <c r="D84" s="248"/>
      <c r="E84" s="248"/>
      <c r="G84" s="38" t="s">
        <v>14</v>
      </c>
    </row>
    <row r="85" spans="1:7" ht="15.75">
      <c r="A85" s="4" t="s">
        <v>16</v>
      </c>
    </row>
    <row r="86" spans="1:7">
      <c r="A86" s="257" t="s">
        <v>17</v>
      </c>
      <c r="B86" s="257"/>
      <c r="C86" s="257"/>
      <c r="D86" s="257"/>
      <c r="E86" s="257"/>
      <c r="F86" s="257"/>
      <c r="G86" s="257"/>
    </row>
    <row r="87" spans="1:7" ht="45" customHeight="1">
      <c r="A87" s="250" t="s">
        <v>18</v>
      </c>
      <c r="B87" s="250"/>
      <c r="C87" s="250"/>
      <c r="D87" s="250"/>
      <c r="E87" s="250"/>
      <c r="F87" s="250"/>
      <c r="G87" s="250"/>
    </row>
    <row r="88" spans="1:7" ht="28.5" customHeight="1">
      <c r="A88" s="250" t="s">
        <v>19</v>
      </c>
      <c r="B88" s="250"/>
      <c r="C88" s="250"/>
      <c r="D88" s="250"/>
      <c r="E88" s="250"/>
      <c r="F88" s="250"/>
      <c r="G88" s="250"/>
    </row>
    <row r="89" spans="1:7" ht="27" customHeight="1">
      <c r="A89" s="250" t="s">
        <v>24</v>
      </c>
      <c r="B89" s="250"/>
      <c r="C89" s="250"/>
      <c r="D89" s="250"/>
      <c r="E89" s="250"/>
      <c r="F89" s="250"/>
      <c r="G89" s="250"/>
    </row>
    <row r="90" spans="1:7" ht="15" customHeight="1">
      <c r="A90" s="250" t="s">
        <v>23</v>
      </c>
      <c r="B90" s="250"/>
      <c r="C90" s="250"/>
      <c r="D90" s="250"/>
      <c r="E90" s="250"/>
      <c r="F90" s="250"/>
      <c r="G90" s="250"/>
    </row>
    <row r="92" spans="1:7" ht="27.75" customHeight="1">
      <c r="A92" s="14" t="s">
        <v>22</v>
      </c>
      <c r="B92" s="14"/>
      <c r="C92" s="14"/>
      <c r="D92" s="14"/>
      <c r="E92" s="14"/>
      <c r="F92" s="14"/>
    </row>
  </sheetData>
  <autoFilter ref="G13:G67"/>
  <mergeCells count="29">
    <mergeCell ref="A4:G4"/>
    <mergeCell ref="A5:G5"/>
    <mergeCell ref="B6:F6"/>
    <mergeCell ref="A9:G9"/>
    <mergeCell ref="A11:G11"/>
    <mergeCell ref="P71:S71"/>
    <mergeCell ref="A73:G73"/>
    <mergeCell ref="A74:G74"/>
    <mergeCell ref="A75:G75"/>
    <mergeCell ref="A78:G78"/>
    <mergeCell ref="B70:F70"/>
    <mergeCell ref="C81:E81"/>
    <mergeCell ref="A83:B83"/>
    <mergeCell ref="C83:E83"/>
    <mergeCell ref="C84:E84"/>
    <mergeCell ref="B71:F71"/>
    <mergeCell ref="A80:B80"/>
    <mergeCell ref="C80:E80"/>
    <mergeCell ref="A69:G69"/>
    <mergeCell ref="A15:G15"/>
    <mergeCell ref="A21:G21"/>
    <mergeCell ref="B30:G30"/>
    <mergeCell ref="B42:G42"/>
    <mergeCell ref="B53:G53"/>
    <mergeCell ref="A86:G86"/>
    <mergeCell ref="A87:G87"/>
    <mergeCell ref="A88:G88"/>
    <mergeCell ref="A89:G89"/>
    <mergeCell ref="A90:G9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S117"/>
  <sheetViews>
    <sheetView workbookViewId="0">
      <selection activeCell="A8" sqref="A8:G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44" t="s">
        <v>122</v>
      </c>
      <c r="G1" s="43"/>
      <c r="H1" s="1"/>
      <c r="I1" s="1"/>
      <c r="J1" s="1"/>
      <c r="K1" s="1"/>
    </row>
    <row r="2" spans="1:11" ht="15.75">
      <c r="A2" s="45" t="s">
        <v>83</v>
      </c>
      <c r="H2" s="2"/>
      <c r="I2" s="2"/>
      <c r="J2" s="2"/>
      <c r="K2" s="2"/>
    </row>
    <row r="3" spans="1:11" ht="15.75" customHeight="1">
      <c r="A3" s="237" t="s">
        <v>149</v>
      </c>
      <c r="B3" s="237"/>
      <c r="C3" s="237"/>
      <c r="D3" s="237"/>
      <c r="E3" s="237"/>
      <c r="F3" s="237"/>
      <c r="G3" s="237"/>
      <c r="H3" s="3"/>
      <c r="I3" s="3"/>
      <c r="J3" s="3"/>
    </row>
    <row r="4" spans="1:11" ht="31.5" customHeight="1">
      <c r="A4" s="238" t="s">
        <v>188</v>
      </c>
      <c r="B4" s="238"/>
      <c r="C4" s="238"/>
      <c r="D4" s="238"/>
      <c r="E4" s="238"/>
      <c r="F4" s="238"/>
      <c r="G4" s="238"/>
    </row>
    <row r="5" spans="1:11" ht="15.75">
      <c r="A5" s="237" t="s">
        <v>150</v>
      </c>
      <c r="B5" s="239"/>
      <c r="C5" s="239"/>
      <c r="D5" s="239"/>
      <c r="E5" s="239"/>
      <c r="F5" s="239"/>
      <c r="G5" s="239"/>
      <c r="H5" s="2"/>
      <c r="I5" s="2"/>
      <c r="J5" s="2"/>
      <c r="K5" s="2"/>
    </row>
    <row r="6" spans="1:11" ht="15.75">
      <c r="A6" s="2"/>
      <c r="B6" s="155"/>
      <c r="C6" s="155"/>
      <c r="D6" s="155"/>
      <c r="E6" s="155"/>
      <c r="F6" s="155"/>
      <c r="G6" s="53">
        <v>42735</v>
      </c>
      <c r="H6" s="2"/>
      <c r="I6" s="2"/>
      <c r="J6" s="2"/>
      <c r="K6" s="2"/>
    </row>
    <row r="7" spans="1:11" ht="15.75">
      <c r="B7" s="157"/>
      <c r="C7" s="157"/>
      <c r="D7" s="157"/>
      <c r="E7" s="3"/>
      <c r="F7" s="3"/>
      <c r="H7" s="3"/>
      <c r="I7" s="3"/>
      <c r="J7" s="3"/>
      <c r="K7" s="3"/>
    </row>
    <row r="8" spans="1:11" ht="78.75" customHeight="1">
      <c r="A8" s="240" t="s">
        <v>271</v>
      </c>
      <c r="B8" s="240"/>
      <c r="C8" s="240"/>
      <c r="D8" s="240"/>
      <c r="E8" s="240"/>
      <c r="F8" s="240"/>
      <c r="G8" s="240"/>
      <c r="H8" s="273"/>
      <c r="I8" s="273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241" t="s">
        <v>189</v>
      </c>
      <c r="B10" s="241"/>
      <c r="C10" s="241"/>
      <c r="D10" s="241"/>
      <c r="E10" s="241"/>
      <c r="F10" s="241"/>
      <c r="G10" s="241"/>
      <c r="H10" s="2"/>
      <c r="I10" s="2"/>
      <c r="J10" s="2"/>
      <c r="K10" s="2"/>
    </row>
    <row r="11" spans="1:11" ht="15.75">
      <c r="A11" s="4"/>
    </row>
    <row r="12" spans="1:11" ht="48.7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 t="s">
        <v>25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" customHeight="1">
      <c r="A14" s="236" t="s">
        <v>74</v>
      </c>
      <c r="B14" s="236"/>
      <c r="C14" s="236"/>
      <c r="D14" s="236"/>
      <c r="E14" s="236"/>
      <c r="F14" s="236"/>
      <c r="G14" s="236"/>
      <c r="H14" s="8"/>
      <c r="I14" s="8"/>
      <c r="J14" s="8"/>
      <c r="K14" s="8"/>
    </row>
    <row r="15" spans="1:11">
      <c r="A15" s="236" t="s">
        <v>4</v>
      </c>
      <c r="B15" s="236"/>
      <c r="C15" s="236"/>
      <c r="D15" s="236"/>
      <c r="E15" s="236"/>
      <c r="F15" s="236"/>
      <c r="G15" s="236"/>
      <c r="H15" s="8"/>
      <c r="I15" s="8"/>
      <c r="J15" s="8"/>
      <c r="K15" s="8"/>
    </row>
    <row r="16" spans="1:11" ht="31.5" customHeight="1">
      <c r="A16" s="49">
        <v>1</v>
      </c>
      <c r="B16" s="60" t="s">
        <v>124</v>
      </c>
      <c r="C16" s="74" t="s">
        <v>151</v>
      </c>
      <c r="D16" s="60" t="s">
        <v>190</v>
      </c>
      <c r="E16" s="160"/>
      <c r="F16" s="59">
        <v>187.48</v>
      </c>
      <c r="G16" s="161">
        <v>2316.35</v>
      </c>
      <c r="H16" s="8"/>
      <c r="I16" s="8"/>
      <c r="J16" s="8"/>
      <c r="K16" s="8"/>
    </row>
    <row r="17" spans="1:11" ht="31.5" customHeight="1">
      <c r="A17" s="49">
        <v>2</v>
      </c>
      <c r="B17" s="60" t="s">
        <v>147</v>
      </c>
      <c r="C17" s="74" t="s">
        <v>151</v>
      </c>
      <c r="D17" s="60" t="s">
        <v>191</v>
      </c>
      <c r="E17" s="160"/>
      <c r="F17" s="59">
        <v>187.48</v>
      </c>
      <c r="G17" s="161">
        <v>6176.94</v>
      </c>
      <c r="H17" s="34"/>
      <c r="I17" s="8"/>
      <c r="J17" s="8"/>
      <c r="K17" s="8"/>
    </row>
    <row r="18" spans="1:11" ht="31.5" customHeight="1">
      <c r="A18" s="49">
        <v>3</v>
      </c>
      <c r="B18" s="60" t="s">
        <v>148</v>
      </c>
      <c r="C18" s="74" t="s">
        <v>151</v>
      </c>
      <c r="D18" s="60" t="s">
        <v>192</v>
      </c>
      <c r="E18" s="160"/>
      <c r="F18" s="59">
        <v>539.30999999999995</v>
      </c>
      <c r="G18" s="161">
        <v>5125.6000000000004</v>
      </c>
      <c r="H18" s="34"/>
      <c r="I18" s="8"/>
      <c r="J18" s="8"/>
      <c r="K18" s="8"/>
    </row>
    <row r="19" spans="1:11" ht="15.75" hidden="1" customHeight="1">
      <c r="A19" s="49"/>
      <c r="B19" s="60" t="s">
        <v>152</v>
      </c>
      <c r="C19" s="74" t="s">
        <v>153</v>
      </c>
      <c r="D19" s="60" t="s">
        <v>154</v>
      </c>
      <c r="E19" s="160"/>
      <c r="F19" s="59">
        <v>181.9</v>
      </c>
      <c r="G19" s="161">
        <v>0</v>
      </c>
      <c r="H19" s="34"/>
      <c r="I19" s="8"/>
      <c r="J19" s="8"/>
      <c r="K19" s="8"/>
    </row>
    <row r="20" spans="1:11" ht="15.75" hidden="1" customHeight="1">
      <c r="A20" s="49">
        <v>4</v>
      </c>
      <c r="B20" s="60" t="s">
        <v>155</v>
      </c>
      <c r="C20" s="74" t="s">
        <v>151</v>
      </c>
      <c r="D20" s="60" t="s">
        <v>54</v>
      </c>
      <c r="E20" s="160"/>
      <c r="F20" s="59">
        <v>232.91</v>
      </c>
      <c r="G20" s="161">
        <v>0</v>
      </c>
      <c r="H20" s="34"/>
      <c r="I20" s="8"/>
      <c r="J20" s="8"/>
      <c r="K20" s="8"/>
    </row>
    <row r="21" spans="1:11" ht="15.75" hidden="1" customHeight="1">
      <c r="A21" s="49">
        <v>5</v>
      </c>
      <c r="B21" s="60" t="s">
        <v>156</v>
      </c>
      <c r="C21" s="74" t="s">
        <v>151</v>
      </c>
      <c r="D21" s="60" t="s">
        <v>54</v>
      </c>
      <c r="E21" s="160"/>
      <c r="F21" s="59">
        <v>231.03</v>
      </c>
      <c r="G21" s="161">
        <v>0</v>
      </c>
      <c r="H21" s="34"/>
      <c r="I21" s="8"/>
      <c r="J21" s="8"/>
      <c r="K21" s="8"/>
    </row>
    <row r="22" spans="1:11" ht="15.75" hidden="1" customHeight="1">
      <c r="A22" s="49"/>
      <c r="B22" s="60" t="s">
        <v>157</v>
      </c>
      <c r="C22" s="74" t="s">
        <v>66</v>
      </c>
      <c r="D22" s="60" t="s">
        <v>154</v>
      </c>
      <c r="E22" s="160"/>
      <c r="F22" s="59">
        <v>287.83999999999997</v>
      </c>
      <c r="G22" s="161">
        <v>0</v>
      </c>
      <c r="H22" s="34"/>
      <c r="I22" s="8"/>
      <c r="J22" s="8"/>
      <c r="K22" s="8"/>
    </row>
    <row r="23" spans="1:11" ht="15.75" hidden="1" customHeight="1">
      <c r="A23" s="49"/>
      <c r="B23" s="60" t="s">
        <v>158</v>
      </c>
      <c r="C23" s="74" t="s">
        <v>66</v>
      </c>
      <c r="D23" s="60" t="s">
        <v>154</v>
      </c>
      <c r="E23" s="160"/>
      <c r="F23" s="59">
        <v>47.35</v>
      </c>
      <c r="G23" s="161">
        <v>0</v>
      </c>
      <c r="H23" s="34"/>
      <c r="I23" s="8"/>
      <c r="J23" s="8"/>
      <c r="K23" s="8"/>
    </row>
    <row r="24" spans="1:11" ht="15.75" hidden="1" customHeight="1">
      <c r="A24" s="49"/>
      <c r="B24" s="60" t="s">
        <v>159</v>
      </c>
      <c r="C24" s="74" t="s">
        <v>66</v>
      </c>
      <c r="D24" s="60" t="s">
        <v>154</v>
      </c>
      <c r="E24" s="160"/>
      <c r="F24" s="59">
        <v>556.74</v>
      </c>
      <c r="G24" s="161">
        <v>0</v>
      </c>
      <c r="H24" s="34"/>
      <c r="I24" s="8"/>
      <c r="J24" s="8"/>
      <c r="K24" s="8"/>
    </row>
    <row r="25" spans="1:11" ht="15.75" customHeight="1">
      <c r="A25" s="75">
        <v>4</v>
      </c>
      <c r="B25" s="60" t="s">
        <v>85</v>
      </c>
      <c r="C25" s="74" t="s">
        <v>39</v>
      </c>
      <c r="D25" s="60" t="s">
        <v>118</v>
      </c>
      <c r="E25" s="24"/>
      <c r="F25" s="59">
        <v>157.18</v>
      </c>
      <c r="G25" s="25">
        <v>478.09</v>
      </c>
      <c r="H25" s="34"/>
      <c r="I25" s="8"/>
      <c r="J25" s="8"/>
      <c r="K25" s="8"/>
    </row>
    <row r="26" spans="1:11" ht="15.75" customHeight="1">
      <c r="A26" s="75">
        <v>5</v>
      </c>
      <c r="B26" s="15" t="s">
        <v>26</v>
      </c>
      <c r="C26" s="16" t="s">
        <v>27</v>
      </c>
      <c r="D26" s="49"/>
      <c r="E26" s="24">
        <v>506.1</v>
      </c>
      <c r="F26" s="59">
        <v>5.33</v>
      </c>
      <c r="G26" s="25">
        <v>21026.85</v>
      </c>
      <c r="H26" s="34"/>
      <c r="I26" s="8"/>
      <c r="J26" s="8"/>
      <c r="K26" s="8"/>
    </row>
    <row r="27" spans="1:11" ht="16.5" customHeight="1">
      <c r="A27" s="236" t="s">
        <v>119</v>
      </c>
      <c r="B27" s="236"/>
      <c r="C27" s="236"/>
      <c r="D27" s="236"/>
      <c r="E27" s="236"/>
      <c r="F27" s="236"/>
      <c r="G27" s="236"/>
      <c r="H27" s="34"/>
      <c r="I27" s="8"/>
      <c r="J27" s="8"/>
      <c r="K27" s="8"/>
    </row>
    <row r="28" spans="1:11" hidden="1">
      <c r="A28" s="75"/>
      <c r="B28" s="85" t="s">
        <v>34</v>
      </c>
      <c r="C28" s="85"/>
      <c r="D28" s="85"/>
      <c r="E28" s="85"/>
      <c r="F28" s="85"/>
      <c r="G28" s="25"/>
      <c r="H28" s="34"/>
      <c r="I28" s="8"/>
      <c r="J28" s="8"/>
      <c r="K28" s="8"/>
    </row>
    <row r="29" spans="1:11" ht="15.75" hidden="1" customHeight="1">
      <c r="A29" s="75">
        <v>2</v>
      </c>
      <c r="B29" s="60" t="s">
        <v>160</v>
      </c>
      <c r="C29" s="74" t="s">
        <v>161</v>
      </c>
      <c r="D29" s="60" t="s">
        <v>162</v>
      </c>
      <c r="E29" s="19">
        <v>2.31</v>
      </c>
      <c r="F29" s="59">
        <v>166.65</v>
      </c>
      <c r="G29" s="18">
        <v>0</v>
      </c>
      <c r="H29" s="34"/>
      <c r="I29" s="8"/>
      <c r="J29" s="8"/>
      <c r="K29" s="8"/>
    </row>
    <row r="30" spans="1:11" ht="31.5" hidden="1" customHeight="1">
      <c r="A30" s="75">
        <v>3</v>
      </c>
      <c r="B30" s="60" t="s">
        <v>163</v>
      </c>
      <c r="C30" s="74" t="s">
        <v>161</v>
      </c>
      <c r="D30" s="60" t="s">
        <v>164</v>
      </c>
      <c r="E30" s="18">
        <f>0.0024*3*4.5</f>
        <v>3.2399999999999998E-2</v>
      </c>
      <c r="F30" s="59">
        <v>276.48</v>
      </c>
      <c r="G30" s="25">
        <v>0</v>
      </c>
      <c r="H30" s="34"/>
      <c r="I30" s="8"/>
      <c r="J30" s="8"/>
      <c r="K30" s="8"/>
    </row>
    <row r="31" spans="1:11" ht="15.75" hidden="1" customHeight="1">
      <c r="A31" s="75">
        <v>4</v>
      </c>
      <c r="B31" s="60" t="s">
        <v>33</v>
      </c>
      <c r="C31" s="74" t="s">
        <v>161</v>
      </c>
      <c r="D31" s="60" t="s">
        <v>67</v>
      </c>
      <c r="E31" s="23">
        <v>0</v>
      </c>
      <c r="F31" s="59">
        <v>3228.73</v>
      </c>
      <c r="G31" s="25">
        <v>0</v>
      </c>
      <c r="H31" s="34"/>
      <c r="I31" s="8"/>
      <c r="J31" s="8"/>
      <c r="K31" s="8"/>
    </row>
    <row r="32" spans="1:11" ht="15.75" hidden="1" customHeight="1">
      <c r="A32" s="75"/>
      <c r="B32" s="60" t="s">
        <v>193</v>
      </c>
      <c r="C32" s="74" t="s">
        <v>50</v>
      </c>
      <c r="D32" s="60" t="s">
        <v>84</v>
      </c>
      <c r="E32" s="23"/>
      <c r="F32" s="59">
        <v>1391.86</v>
      </c>
      <c r="G32" s="25"/>
      <c r="H32" s="34"/>
      <c r="I32" s="8"/>
      <c r="J32" s="8"/>
      <c r="K32" s="8"/>
    </row>
    <row r="33" spans="1:12" ht="15.75" hidden="1" customHeight="1">
      <c r="A33" s="75">
        <v>5</v>
      </c>
      <c r="B33" s="60" t="s">
        <v>165</v>
      </c>
      <c r="C33" s="74" t="s">
        <v>37</v>
      </c>
      <c r="D33" s="60" t="s">
        <v>84</v>
      </c>
      <c r="E33" s="23">
        <v>0</v>
      </c>
      <c r="F33" s="59">
        <v>60.6</v>
      </c>
      <c r="G33" s="25">
        <v>0</v>
      </c>
      <c r="H33" s="34"/>
      <c r="I33" s="8"/>
      <c r="J33" s="8"/>
      <c r="K33" s="8"/>
    </row>
    <row r="34" spans="1:12" ht="15.75" hidden="1" customHeight="1">
      <c r="A34" s="75">
        <v>4</v>
      </c>
      <c r="B34" s="60" t="s">
        <v>86</v>
      </c>
      <c r="C34" s="74" t="s">
        <v>39</v>
      </c>
      <c r="D34" s="60" t="s">
        <v>88</v>
      </c>
      <c r="E34" s="18">
        <v>3.75</v>
      </c>
      <c r="F34" s="59">
        <v>204.52</v>
      </c>
      <c r="G34" s="18">
        <v>0</v>
      </c>
      <c r="H34" s="34"/>
      <c r="I34" s="8"/>
    </row>
    <row r="35" spans="1:12" ht="15.75" hidden="1" customHeight="1">
      <c r="A35" s="49">
        <v>8</v>
      </c>
      <c r="B35" s="60" t="s">
        <v>87</v>
      </c>
      <c r="C35" s="74" t="s">
        <v>38</v>
      </c>
      <c r="D35" s="60" t="s">
        <v>88</v>
      </c>
      <c r="E35" s="18"/>
      <c r="F35" s="59">
        <v>1136.33</v>
      </c>
      <c r="G35" s="18">
        <v>0</v>
      </c>
      <c r="H35" s="35"/>
    </row>
    <row r="36" spans="1:12" ht="15.75" customHeight="1">
      <c r="A36" s="75"/>
      <c r="B36" s="83" t="s">
        <v>5</v>
      </c>
      <c r="C36" s="83"/>
      <c r="D36" s="83"/>
      <c r="E36" s="18"/>
      <c r="F36" s="19"/>
      <c r="G36" s="25"/>
      <c r="H36" s="35"/>
    </row>
    <row r="37" spans="1:12" ht="15.75" customHeight="1">
      <c r="A37" s="61">
        <v>6</v>
      </c>
      <c r="B37" s="62" t="s">
        <v>31</v>
      </c>
      <c r="C37" s="74" t="s">
        <v>38</v>
      </c>
      <c r="D37" s="60"/>
      <c r="E37" s="18">
        <v>0</v>
      </c>
      <c r="F37" s="59">
        <v>1632.6</v>
      </c>
      <c r="G37" s="18">
        <v>2176.8000000000002</v>
      </c>
      <c r="H37" s="35"/>
    </row>
    <row r="38" spans="1:12" ht="15.75" customHeight="1">
      <c r="A38" s="61">
        <v>7</v>
      </c>
      <c r="B38" s="62" t="s">
        <v>135</v>
      </c>
      <c r="C38" s="162" t="s">
        <v>35</v>
      </c>
      <c r="D38" s="60" t="s">
        <v>194</v>
      </c>
      <c r="E38" s="18">
        <v>0</v>
      </c>
      <c r="F38" s="59">
        <v>2247.8000000000002</v>
      </c>
      <c r="G38" s="18">
        <v>2145.2600000000002</v>
      </c>
      <c r="H38" s="35"/>
    </row>
    <row r="39" spans="1:12" ht="15.75" customHeight="1">
      <c r="A39" s="61">
        <v>8</v>
      </c>
      <c r="B39" s="62" t="s">
        <v>167</v>
      </c>
      <c r="C39" s="162" t="s">
        <v>35</v>
      </c>
      <c r="D39" s="60" t="s">
        <v>166</v>
      </c>
      <c r="E39" s="18">
        <v>0</v>
      </c>
      <c r="F39" s="59">
        <v>2247.8000000000002</v>
      </c>
      <c r="G39" s="18">
        <v>1314.18</v>
      </c>
      <c r="H39" s="35"/>
    </row>
    <row r="40" spans="1:12" ht="15.75" hidden="1" customHeight="1">
      <c r="A40" s="61">
        <v>11</v>
      </c>
      <c r="B40" s="60" t="s">
        <v>169</v>
      </c>
      <c r="C40" s="74" t="s">
        <v>170</v>
      </c>
      <c r="D40" s="60" t="s">
        <v>195</v>
      </c>
      <c r="E40" s="18">
        <v>0</v>
      </c>
      <c r="F40" s="59">
        <v>213.2</v>
      </c>
      <c r="G40" s="18">
        <v>0</v>
      </c>
      <c r="H40" s="35"/>
    </row>
    <row r="41" spans="1:12" ht="15.75" customHeight="1">
      <c r="A41" s="61">
        <v>9</v>
      </c>
      <c r="B41" s="60" t="s">
        <v>89</v>
      </c>
      <c r="C41" s="74" t="s">
        <v>35</v>
      </c>
      <c r="D41" s="60" t="s">
        <v>168</v>
      </c>
      <c r="E41" s="18"/>
      <c r="F41" s="59">
        <v>374.95</v>
      </c>
      <c r="G41" s="18">
        <v>1132.6099999999999</v>
      </c>
      <c r="H41" s="35"/>
    </row>
    <row r="42" spans="1:12" ht="47.25" customHeight="1">
      <c r="A42" s="61">
        <v>10</v>
      </c>
      <c r="B42" s="60" t="s">
        <v>115</v>
      </c>
      <c r="C42" s="74" t="s">
        <v>161</v>
      </c>
      <c r="D42" s="60" t="s">
        <v>196</v>
      </c>
      <c r="E42" s="18"/>
      <c r="F42" s="59">
        <v>6203.71</v>
      </c>
      <c r="G42" s="18">
        <v>2901.6</v>
      </c>
      <c r="H42" s="35"/>
      <c r="J42" s="27"/>
      <c r="K42" s="28"/>
      <c r="L42" s="29"/>
    </row>
    <row r="43" spans="1:12" ht="15.75" customHeight="1">
      <c r="A43" s="61">
        <v>11</v>
      </c>
      <c r="B43" s="60" t="s">
        <v>171</v>
      </c>
      <c r="C43" s="74" t="s">
        <v>161</v>
      </c>
      <c r="D43" s="60" t="s">
        <v>90</v>
      </c>
      <c r="E43" s="18"/>
      <c r="F43" s="59">
        <v>458.28</v>
      </c>
      <c r="G43" s="18">
        <v>401.9</v>
      </c>
      <c r="H43" s="35"/>
      <c r="J43" s="27"/>
      <c r="K43" s="28"/>
      <c r="L43" s="29"/>
    </row>
    <row r="44" spans="1:12" ht="15.75" customHeight="1">
      <c r="A44" s="61">
        <v>12</v>
      </c>
      <c r="B44" s="62" t="s">
        <v>91</v>
      </c>
      <c r="C44" s="162" t="s">
        <v>39</v>
      </c>
      <c r="D44" s="62"/>
      <c r="E44" s="18">
        <v>0</v>
      </c>
      <c r="F44" s="63">
        <v>798</v>
      </c>
      <c r="G44" s="18">
        <v>119.7</v>
      </c>
      <c r="H44" s="35"/>
      <c r="J44" s="27"/>
      <c r="K44" s="28"/>
      <c r="L44" s="29"/>
    </row>
    <row r="45" spans="1:12" ht="14.25" customHeight="1">
      <c r="A45" s="270" t="s">
        <v>81</v>
      </c>
      <c r="B45" s="271"/>
      <c r="C45" s="271"/>
      <c r="D45" s="271"/>
      <c r="E45" s="271"/>
      <c r="F45" s="271"/>
      <c r="G45" s="272"/>
      <c r="H45" s="35"/>
      <c r="J45" s="27"/>
      <c r="K45" s="28"/>
      <c r="L45" s="29"/>
    </row>
    <row r="46" spans="1:12" ht="15.75" hidden="1" customHeight="1">
      <c r="A46" s="75">
        <v>15</v>
      </c>
      <c r="B46" s="60" t="s">
        <v>198</v>
      </c>
      <c r="C46" s="74" t="s">
        <v>161</v>
      </c>
      <c r="D46" s="60" t="s">
        <v>54</v>
      </c>
      <c r="E46" s="25">
        <v>0.42</v>
      </c>
      <c r="F46" s="66">
        <v>908.1</v>
      </c>
      <c r="G46" s="26">
        <v>0</v>
      </c>
      <c r="H46" s="35"/>
      <c r="J46" s="27"/>
      <c r="K46" s="28"/>
      <c r="L46" s="29"/>
    </row>
    <row r="47" spans="1:12" ht="15.75" hidden="1" customHeight="1">
      <c r="A47" s="75">
        <v>16</v>
      </c>
      <c r="B47" s="60" t="s">
        <v>43</v>
      </c>
      <c r="C47" s="74" t="s">
        <v>161</v>
      </c>
      <c r="D47" s="60" t="s">
        <v>54</v>
      </c>
      <c r="E47" s="25">
        <v>1.35</v>
      </c>
      <c r="F47" s="66">
        <v>619.46</v>
      </c>
      <c r="G47" s="26">
        <v>0</v>
      </c>
      <c r="H47" s="35"/>
      <c r="J47" s="27"/>
      <c r="K47" s="28"/>
      <c r="L47" s="29"/>
    </row>
    <row r="48" spans="1:12" ht="15.75" hidden="1" customHeight="1">
      <c r="A48" s="75">
        <v>17</v>
      </c>
      <c r="B48" s="60" t="s">
        <v>44</v>
      </c>
      <c r="C48" s="74" t="s">
        <v>161</v>
      </c>
      <c r="D48" s="60" t="s">
        <v>54</v>
      </c>
      <c r="E48" s="25">
        <v>0.03</v>
      </c>
      <c r="F48" s="66">
        <v>619.46</v>
      </c>
      <c r="G48" s="26">
        <v>0</v>
      </c>
      <c r="H48" s="35"/>
      <c r="J48" s="27"/>
      <c r="K48" s="28"/>
      <c r="L48" s="29"/>
    </row>
    <row r="49" spans="1:12" ht="15.75" hidden="1" customHeight="1">
      <c r="A49" s="75">
        <v>18</v>
      </c>
      <c r="B49" s="60" t="s">
        <v>45</v>
      </c>
      <c r="C49" s="74" t="s">
        <v>161</v>
      </c>
      <c r="D49" s="60" t="s">
        <v>54</v>
      </c>
      <c r="E49" s="25">
        <v>0.33</v>
      </c>
      <c r="F49" s="66">
        <v>648.64</v>
      </c>
      <c r="G49" s="26">
        <v>0</v>
      </c>
      <c r="H49" s="35"/>
      <c r="J49" s="27"/>
      <c r="K49" s="28"/>
      <c r="L49" s="29"/>
    </row>
    <row r="50" spans="1:12" ht="15.75" customHeight="1">
      <c r="A50" s="75">
        <v>13</v>
      </c>
      <c r="B50" s="60" t="s">
        <v>71</v>
      </c>
      <c r="C50" s="74" t="s">
        <v>161</v>
      </c>
      <c r="D50" s="60" t="s">
        <v>172</v>
      </c>
      <c r="E50" s="25">
        <v>0.22</v>
      </c>
      <c r="F50" s="66">
        <v>1297.28</v>
      </c>
      <c r="G50" s="18">
        <v>1317.26</v>
      </c>
      <c r="H50" s="35"/>
      <c r="J50" s="27"/>
      <c r="K50" s="28"/>
      <c r="L50" s="29"/>
    </row>
    <row r="51" spans="1:12" ht="31.5" hidden="1" customHeight="1">
      <c r="A51" s="75">
        <v>13</v>
      </c>
      <c r="B51" s="60" t="s">
        <v>173</v>
      </c>
      <c r="C51" s="74" t="s">
        <v>161</v>
      </c>
      <c r="D51" s="60" t="s">
        <v>54</v>
      </c>
      <c r="E51" s="25">
        <v>0.22</v>
      </c>
      <c r="F51" s="66">
        <v>1297.28</v>
      </c>
      <c r="G51" s="26">
        <v>0</v>
      </c>
      <c r="H51" s="35"/>
      <c r="J51" s="27"/>
      <c r="K51" s="28"/>
      <c r="L51" s="29"/>
    </row>
    <row r="52" spans="1:12" ht="31.5" hidden="1" customHeight="1">
      <c r="A52" s="75">
        <v>14</v>
      </c>
      <c r="B52" s="60" t="s">
        <v>174</v>
      </c>
      <c r="C52" s="74" t="s">
        <v>48</v>
      </c>
      <c r="D52" s="60" t="s">
        <v>54</v>
      </c>
      <c r="E52" s="25">
        <v>0.02</v>
      </c>
      <c r="F52" s="66">
        <v>2918.89</v>
      </c>
      <c r="G52" s="26">
        <v>0</v>
      </c>
      <c r="H52" s="35"/>
      <c r="J52" s="27"/>
      <c r="K52" s="28"/>
      <c r="L52" s="29"/>
    </row>
    <row r="53" spans="1:12" ht="16.5" hidden="1" customHeight="1">
      <c r="A53" s="75">
        <v>15</v>
      </c>
      <c r="B53" s="60" t="s">
        <v>49</v>
      </c>
      <c r="C53" s="74" t="s">
        <v>50</v>
      </c>
      <c r="D53" s="60" t="s">
        <v>54</v>
      </c>
      <c r="E53" s="25">
        <v>0.01</v>
      </c>
      <c r="F53" s="66">
        <v>6042.13</v>
      </c>
      <c r="G53" s="26">
        <v>0</v>
      </c>
      <c r="H53" s="35"/>
      <c r="J53" s="27"/>
      <c r="K53" s="28"/>
      <c r="L53" s="29"/>
    </row>
    <row r="54" spans="1:12" ht="16.5" hidden="1" customHeight="1">
      <c r="A54" s="75"/>
      <c r="B54" s="60" t="s">
        <v>197</v>
      </c>
      <c r="C54" s="74" t="s">
        <v>144</v>
      </c>
      <c r="D54" s="60" t="s">
        <v>52</v>
      </c>
      <c r="E54" s="25"/>
      <c r="F54" s="66">
        <v>150.86000000000001</v>
      </c>
      <c r="G54" s="26"/>
      <c r="H54" s="35"/>
      <c r="J54" s="27"/>
      <c r="K54" s="28"/>
      <c r="L54" s="29"/>
    </row>
    <row r="55" spans="1:12" ht="16.5" hidden="1" customHeight="1">
      <c r="A55" s="75">
        <v>23</v>
      </c>
      <c r="B55" s="60" t="s">
        <v>53</v>
      </c>
      <c r="C55" s="74" t="s">
        <v>144</v>
      </c>
      <c r="D55" s="60" t="s">
        <v>92</v>
      </c>
      <c r="E55" s="25">
        <v>8</v>
      </c>
      <c r="F55" s="67">
        <v>70.2</v>
      </c>
      <c r="G55" s="18">
        <v>0</v>
      </c>
      <c r="H55" s="35"/>
      <c r="J55" s="27"/>
      <c r="K55" s="28"/>
      <c r="L55" s="29"/>
    </row>
    <row r="56" spans="1:12" ht="15" customHeight="1">
      <c r="A56" s="270" t="s">
        <v>78</v>
      </c>
      <c r="B56" s="271"/>
      <c r="C56" s="271"/>
      <c r="D56" s="271"/>
      <c r="E56" s="271"/>
      <c r="F56" s="271"/>
      <c r="G56" s="272"/>
      <c r="H56" s="35"/>
      <c r="J56" s="27"/>
      <c r="K56" s="28"/>
      <c r="L56" s="29"/>
    </row>
    <row r="57" spans="1:12" ht="15.75" customHeight="1">
      <c r="A57" s="127"/>
      <c r="B57" s="82" t="s">
        <v>55</v>
      </c>
      <c r="C57" s="22"/>
      <c r="D57" s="21"/>
      <c r="E57" s="21"/>
      <c r="F57" s="49"/>
      <c r="G57" s="25"/>
      <c r="H57" s="35"/>
      <c r="J57" s="27"/>
      <c r="K57" s="28"/>
      <c r="L57" s="29"/>
    </row>
    <row r="58" spans="1:12" ht="31.5" customHeight="1">
      <c r="A58" s="75">
        <v>14</v>
      </c>
      <c r="B58" s="60" t="s">
        <v>199</v>
      </c>
      <c r="C58" s="74" t="s">
        <v>151</v>
      </c>
      <c r="D58" s="60" t="s">
        <v>175</v>
      </c>
      <c r="E58" s="25">
        <v>0</v>
      </c>
      <c r="F58" s="66">
        <v>1654.04</v>
      </c>
      <c r="G58" s="26">
        <v>2448.64</v>
      </c>
      <c r="H58" s="35"/>
      <c r="J58" s="27"/>
      <c r="K58" s="28"/>
      <c r="L58" s="29"/>
    </row>
    <row r="59" spans="1:12" ht="31.5" customHeight="1">
      <c r="A59" s="75">
        <v>15</v>
      </c>
      <c r="B59" s="60" t="s">
        <v>142</v>
      </c>
      <c r="C59" s="74" t="s">
        <v>151</v>
      </c>
      <c r="D59" s="60" t="s">
        <v>143</v>
      </c>
      <c r="E59" s="25"/>
      <c r="F59" s="66">
        <v>1654.04</v>
      </c>
      <c r="G59" s="26">
        <v>1313.31</v>
      </c>
      <c r="H59" s="35"/>
      <c r="J59" s="27"/>
      <c r="K59" s="28"/>
      <c r="L59" s="29"/>
    </row>
    <row r="60" spans="1:12" ht="15.75" hidden="1" customHeight="1">
      <c r="A60" s="75"/>
      <c r="B60" s="163" t="s">
        <v>200</v>
      </c>
      <c r="C60" s="126" t="s">
        <v>201</v>
      </c>
      <c r="D60" s="163" t="s">
        <v>54</v>
      </c>
      <c r="E60" s="25"/>
      <c r="F60" s="66">
        <v>193.25</v>
      </c>
      <c r="G60" s="26">
        <v>0</v>
      </c>
      <c r="H60" s="35"/>
      <c r="J60" s="27"/>
      <c r="K60" s="28"/>
      <c r="L60" s="29"/>
    </row>
    <row r="61" spans="1:12" ht="15.75" customHeight="1">
      <c r="A61" s="75">
        <v>16</v>
      </c>
      <c r="B61" s="60" t="s">
        <v>202</v>
      </c>
      <c r="C61" s="74" t="s">
        <v>151</v>
      </c>
      <c r="D61" s="60" t="s">
        <v>175</v>
      </c>
      <c r="E61" s="25"/>
      <c r="F61" s="66">
        <v>1654.04</v>
      </c>
      <c r="G61" s="26">
        <v>690.23</v>
      </c>
      <c r="H61" s="35"/>
      <c r="J61" s="27"/>
      <c r="K61" s="28"/>
      <c r="L61" s="29"/>
    </row>
    <row r="62" spans="1:12" ht="15.75" customHeight="1">
      <c r="A62" s="75"/>
      <c r="B62" s="160" t="s">
        <v>56</v>
      </c>
      <c r="C62" s="160"/>
      <c r="D62" s="160"/>
      <c r="E62" s="160"/>
      <c r="F62" s="160"/>
      <c r="G62" s="65"/>
      <c r="H62" s="35"/>
      <c r="J62" s="27"/>
      <c r="K62" s="28"/>
      <c r="L62" s="29"/>
    </row>
    <row r="63" spans="1:12" ht="15.75" hidden="1" customHeight="1">
      <c r="A63" s="75">
        <v>27</v>
      </c>
      <c r="B63" s="164" t="s">
        <v>57</v>
      </c>
      <c r="C63" s="74" t="s">
        <v>151</v>
      </c>
      <c r="D63" s="60" t="s">
        <v>67</v>
      </c>
      <c r="E63" s="165">
        <v>0</v>
      </c>
      <c r="F63" s="66">
        <v>848.37</v>
      </c>
      <c r="G63" s="26">
        <f>E63/2</f>
        <v>0</v>
      </c>
      <c r="H63" s="35"/>
      <c r="J63" s="27"/>
      <c r="K63" s="28"/>
      <c r="L63" s="29"/>
    </row>
    <row r="64" spans="1:12" ht="15.75" customHeight="1">
      <c r="A64" s="75">
        <v>17</v>
      </c>
      <c r="B64" s="163" t="s">
        <v>146</v>
      </c>
      <c r="C64" s="126" t="s">
        <v>29</v>
      </c>
      <c r="D64" s="163" t="s">
        <v>36</v>
      </c>
      <c r="E64" s="165"/>
      <c r="F64" s="174">
        <v>2.6</v>
      </c>
      <c r="G64" s="26">
        <v>528.05999999999995</v>
      </c>
      <c r="H64" s="35"/>
      <c r="J64" s="27"/>
      <c r="K64" s="28"/>
      <c r="L64" s="29"/>
    </row>
    <row r="65" spans="1:19" ht="15.75" customHeight="1">
      <c r="A65" s="75"/>
      <c r="B65" s="160" t="s">
        <v>58</v>
      </c>
      <c r="C65" s="22"/>
      <c r="D65" s="21"/>
      <c r="E65" s="21"/>
      <c r="F65" s="49"/>
      <c r="G65" s="25"/>
      <c r="H65" s="35"/>
      <c r="J65" s="27"/>
      <c r="K65" s="28"/>
      <c r="L65" s="29"/>
    </row>
    <row r="66" spans="1:19" ht="15.75" customHeight="1">
      <c r="A66" s="75">
        <v>18</v>
      </c>
      <c r="B66" s="166" t="s">
        <v>59</v>
      </c>
      <c r="C66" s="70" t="s">
        <v>144</v>
      </c>
      <c r="D66" s="69" t="s">
        <v>88</v>
      </c>
      <c r="E66" s="25">
        <v>0</v>
      </c>
      <c r="F66" s="66">
        <v>237.75</v>
      </c>
      <c r="G66" s="26">
        <v>237.75</v>
      </c>
      <c r="H66" s="35"/>
      <c r="J66" s="27"/>
      <c r="K66" s="28"/>
      <c r="L66" s="29"/>
    </row>
    <row r="67" spans="1:19" ht="15.75" hidden="1" customHeight="1">
      <c r="A67" s="49">
        <v>29</v>
      </c>
      <c r="B67" s="166" t="s">
        <v>60</v>
      </c>
      <c r="C67" s="70" t="s">
        <v>144</v>
      </c>
      <c r="D67" s="69" t="s">
        <v>88</v>
      </c>
      <c r="E67" s="25">
        <v>0</v>
      </c>
      <c r="F67" s="66">
        <v>81.510000000000005</v>
      </c>
      <c r="G67" s="26">
        <v>0</v>
      </c>
      <c r="H67" s="35"/>
      <c r="J67" s="27"/>
      <c r="K67" s="28"/>
      <c r="L67" s="29"/>
    </row>
    <row r="68" spans="1:19" ht="16.5" hidden="1" customHeight="1">
      <c r="A68" s="49">
        <v>8</v>
      </c>
      <c r="B68" s="166" t="s">
        <v>61</v>
      </c>
      <c r="C68" s="72" t="s">
        <v>177</v>
      </c>
      <c r="D68" s="69" t="s">
        <v>67</v>
      </c>
      <c r="E68" s="25">
        <v>13.47</v>
      </c>
      <c r="F68" s="66">
        <v>226.79</v>
      </c>
      <c r="G68" s="25">
        <v>0</v>
      </c>
      <c r="H68" s="35"/>
      <c r="J68" s="27"/>
      <c r="K68" s="28"/>
      <c r="L68" s="29"/>
    </row>
    <row r="69" spans="1:19" ht="15" hidden="1" customHeight="1">
      <c r="A69" s="49">
        <v>9</v>
      </c>
      <c r="B69" s="166" t="s">
        <v>62</v>
      </c>
      <c r="C69" s="70" t="s">
        <v>178</v>
      </c>
      <c r="D69" s="69"/>
      <c r="E69" s="25">
        <v>1.35</v>
      </c>
      <c r="F69" s="66">
        <v>176.61</v>
      </c>
      <c r="G69" s="25">
        <v>0</v>
      </c>
      <c r="H69" s="35"/>
      <c r="J69" s="27"/>
      <c r="K69" s="28"/>
      <c r="L69" s="29"/>
    </row>
    <row r="70" spans="1:19" hidden="1">
      <c r="A70" s="49">
        <v>10</v>
      </c>
      <c r="B70" s="166" t="s">
        <v>63</v>
      </c>
      <c r="C70" s="70" t="s">
        <v>98</v>
      </c>
      <c r="D70" s="69" t="s">
        <v>67</v>
      </c>
      <c r="E70" s="25">
        <v>0</v>
      </c>
      <c r="F70" s="66">
        <v>2217.7800000000002</v>
      </c>
      <c r="G70" s="25">
        <v>0</v>
      </c>
      <c r="H70" s="35"/>
      <c r="J70" s="27"/>
    </row>
    <row r="71" spans="1:19" hidden="1">
      <c r="A71" s="49">
        <v>11</v>
      </c>
      <c r="B71" s="128" t="s">
        <v>179</v>
      </c>
      <c r="C71" s="70" t="s">
        <v>39</v>
      </c>
      <c r="D71" s="69"/>
      <c r="E71" s="17">
        <v>0</v>
      </c>
      <c r="F71" s="66">
        <v>42.67</v>
      </c>
      <c r="G71" s="25">
        <v>0</v>
      </c>
      <c r="H71" s="35"/>
      <c r="J71" s="27"/>
    </row>
    <row r="72" spans="1:19" hidden="1">
      <c r="A72" s="49">
        <v>12</v>
      </c>
      <c r="B72" s="128" t="s">
        <v>180</v>
      </c>
      <c r="C72" s="70" t="s">
        <v>39</v>
      </c>
      <c r="D72" s="69"/>
      <c r="E72" s="17"/>
      <c r="F72" s="66">
        <v>39.81</v>
      </c>
      <c r="G72" s="25">
        <v>0</v>
      </c>
      <c r="H72" s="35"/>
      <c r="J72" s="27"/>
    </row>
    <row r="73" spans="1:19" hidden="1">
      <c r="A73" s="49">
        <v>13</v>
      </c>
      <c r="B73" s="69" t="s">
        <v>72</v>
      </c>
      <c r="C73" s="70" t="s">
        <v>73</v>
      </c>
      <c r="D73" s="69" t="s">
        <v>67</v>
      </c>
      <c r="E73" s="17"/>
      <c r="F73" s="66">
        <v>53.32</v>
      </c>
      <c r="G73" s="25">
        <v>0</v>
      </c>
    </row>
    <row r="74" spans="1:19" ht="15.75" hidden="1" customHeight="1">
      <c r="A74" s="127"/>
      <c r="B74" s="160" t="s">
        <v>181</v>
      </c>
      <c r="C74" s="160"/>
      <c r="D74" s="160"/>
      <c r="E74" s="160"/>
      <c r="F74" s="160"/>
      <c r="G74" s="25"/>
      <c r="H74" s="40"/>
      <c r="I74" s="40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 hidden="1">
      <c r="A75" s="49">
        <v>36</v>
      </c>
      <c r="B75" s="164" t="s">
        <v>182</v>
      </c>
      <c r="C75" s="167"/>
      <c r="D75" s="168" t="s">
        <v>67</v>
      </c>
      <c r="E75" s="165">
        <v>0</v>
      </c>
      <c r="F75" s="68">
        <v>27901.200000000001</v>
      </c>
      <c r="G75" s="25">
        <v>0</v>
      </c>
      <c r="H75" s="3"/>
      <c r="I75" s="3"/>
      <c r="J75" s="3"/>
      <c r="K75" s="3"/>
      <c r="L75" s="3"/>
      <c r="M75" s="3"/>
      <c r="N75" s="3"/>
      <c r="O75" s="3"/>
      <c r="Q75" s="3"/>
      <c r="R75" s="3"/>
      <c r="S75" s="3"/>
    </row>
    <row r="76" spans="1:19" hidden="1">
      <c r="A76" s="49"/>
      <c r="B76" s="83" t="s">
        <v>93</v>
      </c>
      <c r="C76" s="83"/>
      <c r="D76" s="83"/>
      <c r="E76" s="25"/>
      <c r="F76" s="49"/>
      <c r="G76" s="25"/>
      <c r="H76" s="5"/>
      <c r="I76" s="5"/>
      <c r="J76" s="5"/>
      <c r="K76" s="5"/>
      <c r="L76" s="5"/>
      <c r="M76" s="5"/>
      <c r="N76" s="5"/>
      <c r="O76" s="5"/>
      <c r="P76" s="248"/>
      <c r="Q76" s="248"/>
      <c r="R76" s="248"/>
      <c r="S76" s="248"/>
    </row>
    <row r="77" spans="1:19" ht="15.75" hidden="1" customHeight="1">
      <c r="A77" s="49"/>
      <c r="B77" s="69" t="s">
        <v>94</v>
      </c>
      <c r="C77" s="70" t="s">
        <v>96</v>
      </c>
      <c r="D77" s="69" t="s">
        <v>88</v>
      </c>
      <c r="E77" s="25"/>
      <c r="F77" s="66">
        <v>536.23</v>
      </c>
      <c r="G77" s="25">
        <v>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ht="15.75" hidden="1" customHeight="1">
      <c r="A78" s="49"/>
      <c r="B78" s="69" t="s">
        <v>95</v>
      </c>
      <c r="C78" s="70" t="s">
        <v>37</v>
      </c>
      <c r="D78" s="69" t="s">
        <v>88</v>
      </c>
      <c r="E78" s="25"/>
      <c r="F78" s="66">
        <v>911.85</v>
      </c>
      <c r="G78" s="25">
        <v>0</v>
      </c>
    </row>
    <row r="79" spans="1:19" ht="15.75" hidden="1" customHeight="1">
      <c r="A79" s="49"/>
      <c r="B79" s="69" t="s">
        <v>203</v>
      </c>
      <c r="C79" s="70" t="s">
        <v>37</v>
      </c>
      <c r="D79" s="69" t="s">
        <v>88</v>
      </c>
      <c r="E79" s="25"/>
      <c r="F79" s="66">
        <v>383.25</v>
      </c>
      <c r="G79" s="25">
        <v>0</v>
      </c>
    </row>
    <row r="80" spans="1:19" hidden="1">
      <c r="A80" s="49"/>
      <c r="B80" s="84" t="s">
        <v>97</v>
      </c>
      <c r="C80" s="70"/>
      <c r="D80" s="49"/>
      <c r="E80" s="25"/>
      <c r="F80" s="66"/>
      <c r="G80" s="25"/>
    </row>
    <row r="81" spans="1:7" hidden="1">
      <c r="A81" s="49">
        <v>39</v>
      </c>
      <c r="B81" s="71" t="s">
        <v>183</v>
      </c>
      <c r="C81" s="72" t="s">
        <v>98</v>
      </c>
      <c r="D81" s="166"/>
      <c r="E81" s="25"/>
      <c r="F81" s="67">
        <v>2757.42</v>
      </c>
      <c r="G81" s="25">
        <v>0</v>
      </c>
    </row>
    <row r="82" spans="1:7" ht="15.75" customHeight="1">
      <c r="A82" s="49"/>
      <c r="B82" s="160" t="s">
        <v>75</v>
      </c>
      <c r="C82" s="160"/>
      <c r="D82" s="160"/>
      <c r="E82" s="25"/>
      <c r="F82" s="49"/>
      <c r="G82" s="25"/>
    </row>
    <row r="83" spans="1:7">
      <c r="A83" s="49">
        <v>19</v>
      </c>
      <c r="B83" s="169" t="s">
        <v>184</v>
      </c>
      <c r="C83" s="70" t="s">
        <v>68</v>
      </c>
      <c r="D83" s="170"/>
      <c r="E83" s="21">
        <v>327.9</v>
      </c>
      <c r="F83" s="171">
        <v>2.2400000000000002</v>
      </c>
      <c r="G83" s="18">
        <v>8836.7999999999993</v>
      </c>
    </row>
    <row r="84" spans="1:7" ht="30">
      <c r="A84" s="49">
        <v>20</v>
      </c>
      <c r="B84" s="69" t="s">
        <v>99</v>
      </c>
      <c r="C84" s="70"/>
      <c r="D84" s="172"/>
      <c r="E84" s="21"/>
      <c r="F84" s="66">
        <v>1.74</v>
      </c>
      <c r="G84" s="18">
        <v>6864.3</v>
      </c>
    </row>
    <row r="85" spans="1:7" ht="15.75" customHeight="1">
      <c r="A85" s="127"/>
      <c r="B85" s="73" t="s">
        <v>105</v>
      </c>
      <c r="C85" s="75"/>
      <c r="D85" s="21"/>
      <c r="E85" s="21"/>
      <c r="F85" s="25"/>
      <c r="G85" s="58">
        <f>SUM(G16+G17+G18+G25+G26+G37+G38+G39+G41+G42+G43+G44+G50+G58+G59+G61+G64+G66+G83+G84)</f>
        <v>67552.23000000001</v>
      </c>
    </row>
    <row r="86" spans="1:7">
      <c r="A86" s="127"/>
      <c r="B86" s="173" t="s">
        <v>76</v>
      </c>
      <c r="C86" s="173"/>
      <c r="D86" s="173"/>
      <c r="E86" s="173"/>
      <c r="F86" s="173"/>
      <c r="G86" s="173"/>
    </row>
    <row r="87" spans="1:7">
      <c r="A87" s="49">
        <v>21</v>
      </c>
      <c r="B87" s="175" t="s">
        <v>185</v>
      </c>
      <c r="C87" s="176" t="s">
        <v>186</v>
      </c>
      <c r="D87" s="179">
        <v>1</v>
      </c>
      <c r="E87" s="21"/>
      <c r="F87" s="66">
        <v>1063.47</v>
      </c>
      <c r="G87" s="18">
        <v>2126.94</v>
      </c>
    </row>
    <row r="88" spans="1:7" ht="30">
      <c r="A88" s="49">
        <v>22</v>
      </c>
      <c r="B88" s="177" t="s">
        <v>208</v>
      </c>
      <c r="C88" s="178" t="s">
        <v>209</v>
      </c>
      <c r="D88" s="179">
        <v>1</v>
      </c>
      <c r="E88" s="21"/>
      <c r="F88" s="66">
        <v>51.39</v>
      </c>
      <c r="G88" s="18">
        <v>51.39</v>
      </c>
    </row>
    <row r="89" spans="1:7">
      <c r="A89" s="49">
        <v>23</v>
      </c>
      <c r="B89" s="177" t="s">
        <v>204</v>
      </c>
      <c r="C89" s="178" t="s">
        <v>144</v>
      </c>
      <c r="D89" s="179">
        <v>1</v>
      </c>
      <c r="E89" s="21"/>
      <c r="F89" s="66">
        <v>3572.75</v>
      </c>
      <c r="G89" s="18">
        <v>3572.75</v>
      </c>
    </row>
    <row r="90" spans="1:7">
      <c r="A90" s="49">
        <v>24</v>
      </c>
      <c r="B90" s="177" t="s">
        <v>176</v>
      </c>
      <c r="C90" s="178" t="s">
        <v>206</v>
      </c>
      <c r="D90" s="179">
        <v>1</v>
      </c>
      <c r="E90" s="21"/>
      <c r="F90" s="66">
        <v>1501</v>
      </c>
      <c r="G90" s="18">
        <v>1501</v>
      </c>
    </row>
    <row r="91" spans="1:7" ht="30">
      <c r="A91" s="49">
        <v>25</v>
      </c>
      <c r="B91" s="183" t="s">
        <v>114</v>
      </c>
      <c r="C91" s="178" t="s">
        <v>48</v>
      </c>
      <c r="D91" s="66">
        <v>0.01</v>
      </c>
      <c r="E91" s="21"/>
      <c r="F91" s="66">
        <v>3397.65</v>
      </c>
      <c r="G91" s="18">
        <v>33.979999999999997</v>
      </c>
    </row>
    <row r="92" spans="1:7">
      <c r="A92" s="49">
        <v>26</v>
      </c>
      <c r="B92" s="184" t="s">
        <v>205</v>
      </c>
      <c r="C92" s="74" t="s">
        <v>151</v>
      </c>
      <c r="D92" s="66">
        <f>(0.1*18)/100</f>
        <v>1.8000000000000002E-2</v>
      </c>
      <c r="E92" s="21"/>
      <c r="F92" s="66">
        <v>1925.33</v>
      </c>
      <c r="G92" s="18">
        <v>34.659999999999997</v>
      </c>
    </row>
    <row r="93" spans="1:7">
      <c r="A93" s="49"/>
      <c r="B93" s="80" t="s">
        <v>64</v>
      </c>
      <c r="C93" s="76"/>
      <c r="D93" s="129"/>
      <c r="E93" s="76">
        <v>1</v>
      </c>
      <c r="F93" s="76"/>
      <c r="G93" s="58">
        <f>SUM(G87:G92)</f>
        <v>7320.7199999999993</v>
      </c>
    </row>
    <row r="94" spans="1:7" ht="16.5" customHeight="1">
      <c r="A94" s="49"/>
      <c r="B94" s="86" t="s">
        <v>100</v>
      </c>
      <c r="C94" s="21"/>
      <c r="D94" s="21"/>
      <c r="E94" s="77"/>
      <c r="F94" s="78"/>
      <c r="G94" s="24">
        <v>0</v>
      </c>
    </row>
    <row r="95" spans="1:7" ht="16.5" customHeight="1">
      <c r="A95" s="130"/>
      <c r="B95" s="81" t="s">
        <v>65</v>
      </c>
      <c r="C95" s="64"/>
      <c r="D95" s="64"/>
      <c r="E95" s="64"/>
      <c r="F95" s="64"/>
      <c r="G95" s="79">
        <f>G85+G93</f>
        <v>74872.950000000012</v>
      </c>
    </row>
    <row r="96" spans="1:7" ht="15.75" customHeight="1">
      <c r="A96" s="249" t="s">
        <v>212</v>
      </c>
      <c r="B96" s="249"/>
      <c r="C96" s="249"/>
      <c r="D96" s="249"/>
      <c r="E96" s="249"/>
      <c r="F96" s="249"/>
      <c r="G96" s="249"/>
    </row>
    <row r="97" spans="1:7" ht="15.75" customHeight="1">
      <c r="A97" s="159"/>
      <c r="B97" s="258" t="s">
        <v>213</v>
      </c>
      <c r="C97" s="258"/>
      <c r="D97" s="258"/>
      <c r="E97" s="258"/>
      <c r="F97" s="258"/>
      <c r="G97" s="3"/>
    </row>
    <row r="98" spans="1:7" ht="15.75" customHeight="1">
      <c r="A98" s="154"/>
      <c r="B98" s="255" t="s">
        <v>7</v>
      </c>
      <c r="C98" s="255"/>
      <c r="D98" s="255"/>
      <c r="E98" s="255"/>
      <c r="F98" s="255"/>
      <c r="G98" s="5"/>
    </row>
    <row r="99" spans="1:7" ht="15.75" customHeight="1">
      <c r="A99" s="11"/>
      <c r="B99" s="11"/>
      <c r="C99" s="11"/>
      <c r="D99" s="11"/>
      <c r="E99" s="11"/>
      <c r="F99" s="11"/>
      <c r="G99" s="11"/>
    </row>
    <row r="100" spans="1:7" ht="15.75">
      <c r="A100" s="259" t="s">
        <v>8</v>
      </c>
      <c r="B100" s="259"/>
      <c r="C100" s="259"/>
      <c r="D100" s="259"/>
      <c r="E100" s="259"/>
      <c r="F100" s="259"/>
      <c r="G100" s="259"/>
    </row>
    <row r="101" spans="1:7" ht="15.75">
      <c r="A101" s="259" t="s">
        <v>9</v>
      </c>
      <c r="B101" s="259"/>
      <c r="C101" s="259"/>
      <c r="D101" s="259"/>
      <c r="E101" s="259"/>
      <c r="F101" s="259"/>
      <c r="G101" s="259"/>
    </row>
    <row r="102" spans="1:7" ht="15.75">
      <c r="A102" s="242" t="s">
        <v>79</v>
      </c>
      <c r="B102" s="242"/>
      <c r="C102" s="242"/>
      <c r="D102" s="242"/>
      <c r="E102" s="242"/>
      <c r="F102" s="242"/>
      <c r="G102" s="242"/>
    </row>
    <row r="103" spans="1:7" ht="15.75">
      <c r="A103" s="12"/>
    </row>
    <row r="104" spans="1:7" ht="15.75">
      <c r="A104" s="243" t="s">
        <v>11</v>
      </c>
      <c r="B104" s="243"/>
      <c r="C104" s="243"/>
      <c r="D104" s="243"/>
      <c r="E104" s="243"/>
      <c r="F104" s="243"/>
      <c r="G104" s="243"/>
    </row>
    <row r="105" spans="1:7" ht="15.75">
      <c r="A105" s="4"/>
    </row>
    <row r="106" spans="1:7" ht="15.75">
      <c r="B106" s="157" t="s">
        <v>12</v>
      </c>
      <c r="C106" s="254" t="s">
        <v>187</v>
      </c>
      <c r="D106" s="254"/>
      <c r="E106" s="254"/>
      <c r="G106" s="158"/>
    </row>
    <row r="107" spans="1:7">
      <c r="A107" s="154"/>
      <c r="C107" s="255" t="s">
        <v>13</v>
      </c>
      <c r="D107" s="255"/>
      <c r="E107" s="255"/>
      <c r="G107" s="156" t="s">
        <v>14</v>
      </c>
    </row>
    <row r="108" spans="1:7" ht="15.75">
      <c r="A108" s="40"/>
      <c r="C108" s="13"/>
      <c r="D108" s="13"/>
      <c r="F108" s="13"/>
    </row>
    <row r="109" spans="1:7" ht="15.75">
      <c r="B109" s="157" t="s">
        <v>15</v>
      </c>
      <c r="C109" s="256"/>
      <c r="D109" s="256"/>
      <c r="E109" s="256"/>
      <c r="G109" s="158"/>
    </row>
    <row r="110" spans="1:7">
      <c r="A110" s="154"/>
      <c r="C110" s="248" t="s">
        <v>13</v>
      </c>
      <c r="D110" s="248"/>
      <c r="E110" s="248"/>
      <c r="G110" s="156" t="s">
        <v>14</v>
      </c>
    </row>
    <row r="112" spans="1:7" ht="15.75">
      <c r="A112" s="4" t="s">
        <v>16</v>
      </c>
    </row>
    <row r="113" spans="1:7">
      <c r="A113" s="257" t="s">
        <v>17</v>
      </c>
      <c r="B113" s="257"/>
      <c r="C113" s="257"/>
      <c r="D113" s="257"/>
      <c r="E113" s="257"/>
      <c r="F113" s="257"/>
      <c r="G113" s="257"/>
    </row>
    <row r="114" spans="1:7" ht="47.25" customHeight="1">
      <c r="A114" s="250" t="s">
        <v>18</v>
      </c>
      <c r="B114" s="250"/>
      <c r="C114" s="250"/>
      <c r="D114" s="250"/>
      <c r="E114" s="250"/>
      <c r="F114" s="250"/>
      <c r="G114" s="250"/>
    </row>
    <row r="115" spans="1:7" ht="31.5" customHeight="1">
      <c r="A115" s="250" t="s">
        <v>19</v>
      </c>
      <c r="B115" s="250"/>
      <c r="C115" s="250"/>
      <c r="D115" s="250"/>
      <c r="E115" s="250"/>
      <c r="F115" s="250"/>
      <c r="G115" s="250"/>
    </row>
    <row r="116" spans="1:7" ht="31.5" customHeight="1">
      <c r="A116" s="250" t="s">
        <v>24</v>
      </c>
      <c r="B116" s="250"/>
      <c r="C116" s="250"/>
      <c r="D116" s="250"/>
      <c r="E116" s="250"/>
      <c r="F116" s="250"/>
      <c r="G116" s="250"/>
    </row>
    <row r="117" spans="1:7" ht="15.75">
      <c r="A117" s="250" t="s">
        <v>23</v>
      </c>
      <c r="B117" s="250"/>
      <c r="C117" s="250"/>
      <c r="D117" s="250"/>
      <c r="E117" s="250"/>
      <c r="F117" s="250"/>
      <c r="G117" s="250"/>
    </row>
  </sheetData>
  <autoFilter ref="G12:G72"/>
  <mergeCells count="27">
    <mergeCell ref="P76:S76"/>
    <mergeCell ref="A3:G3"/>
    <mergeCell ref="A4:G4"/>
    <mergeCell ref="A8:G8"/>
    <mergeCell ref="A10:G10"/>
    <mergeCell ref="A5:G5"/>
    <mergeCell ref="A14:G14"/>
    <mergeCell ref="A15:G15"/>
    <mergeCell ref="A27:G27"/>
    <mergeCell ref="A45:G45"/>
    <mergeCell ref="A56:G56"/>
    <mergeCell ref="B97:F97"/>
    <mergeCell ref="B98:F98"/>
    <mergeCell ref="A100:G100"/>
    <mergeCell ref="A101:G101"/>
    <mergeCell ref="A96:G96"/>
    <mergeCell ref="A102:G102"/>
    <mergeCell ref="A104:G104"/>
    <mergeCell ref="C106:E106"/>
    <mergeCell ref="C107:E107"/>
    <mergeCell ref="C109:E109"/>
    <mergeCell ref="A117:G117"/>
    <mergeCell ref="C110:E110"/>
    <mergeCell ref="A113:G113"/>
    <mergeCell ref="A114:G114"/>
    <mergeCell ref="A115:G115"/>
    <mergeCell ref="A116:G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Лист1</vt:lpstr>
      <vt:lpstr>'11.16'!Заголовки_для_печати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2017-04-07T08:14:18Z</cp:lastPrinted>
  <dcterms:created xsi:type="dcterms:W3CDTF">2016-03-25T08:33:47Z</dcterms:created>
  <dcterms:modified xsi:type="dcterms:W3CDTF">2017-04-13T08:12:44Z</dcterms:modified>
</cp:coreProperties>
</file>