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Окт.,43" sheetId="1" r:id="rId1"/>
  </sheets>
  <definedNames>
    <definedName name="_xlnm.Print_Area" localSheetId="0">'Окт.,43'!$A$1:$U$115</definedName>
  </definedNames>
  <calcPr calcId="124519"/>
</workbook>
</file>

<file path=xl/calcChain.xml><?xml version="1.0" encoding="utf-8"?>
<calcChain xmlns="http://schemas.openxmlformats.org/spreadsheetml/2006/main">
  <c r="M14" i="1"/>
  <c r="M106" s="1"/>
  <c r="C110" l="1"/>
  <c r="U103"/>
  <c r="H103"/>
  <c r="U74"/>
  <c r="U72"/>
  <c r="U70"/>
  <c r="U69"/>
  <c r="U61"/>
  <c r="U67"/>
  <c r="U58"/>
  <c r="U37"/>
  <c r="U29"/>
  <c r="U30"/>
  <c r="Q87" l="1"/>
  <c r="P99"/>
  <c r="U99" s="1"/>
  <c r="H99"/>
  <c r="C113"/>
  <c r="P101"/>
  <c r="U101" s="1"/>
  <c r="H101"/>
  <c r="F102"/>
  <c r="P102" s="1"/>
  <c r="U102" s="1"/>
  <c r="H102" l="1"/>
  <c r="P100"/>
  <c r="U100" s="1"/>
  <c r="P60"/>
  <c r="U60" s="1"/>
  <c r="O93" l="1"/>
  <c r="F98" l="1"/>
  <c r="N98" s="1"/>
  <c r="U98" s="1"/>
  <c r="N92"/>
  <c r="N97"/>
  <c r="U97" s="1"/>
  <c r="H97"/>
  <c r="N96"/>
  <c r="U96" s="1"/>
  <c r="M52"/>
  <c r="U52" s="1"/>
  <c r="M94"/>
  <c r="U94" s="1"/>
  <c r="H94"/>
  <c r="M95"/>
  <c r="U95" s="1"/>
  <c r="F95"/>
  <c r="H95" s="1"/>
  <c r="M93"/>
  <c r="I53"/>
  <c r="M20"/>
  <c r="U20" s="1"/>
  <c r="L93"/>
  <c r="U93" s="1"/>
  <c r="K92"/>
  <c r="U92" s="1"/>
  <c r="I91"/>
  <c r="U91" s="1"/>
  <c r="H91"/>
  <c r="I90"/>
  <c r="U90" s="1"/>
  <c r="F90"/>
  <c r="H90" s="1"/>
  <c r="I89"/>
  <c r="U89" s="1"/>
  <c r="I88"/>
  <c r="U88" s="1"/>
  <c r="I87"/>
  <c r="U87" s="1"/>
  <c r="I86"/>
  <c r="U86" s="1"/>
  <c r="I85"/>
  <c r="R74"/>
  <c r="U85" l="1"/>
  <c r="H98"/>
  <c r="H100"/>
  <c r="H86"/>
  <c r="H93"/>
  <c r="T41"/>
  <c r="S41"/>
  <c r="T36"/>
  <c r="S36"/>
  <c r="T34"/>
  <c r="S34"/>
  <c r="Q67" l="1"/>
  <c r="P53"/>
  <c r="Q52"/>
  <c r="R49"/>
  <c r="H88"/>
  <c r="L53"/>
  <c r="U53" s="1"/>
  <c r="F27"/>
  <c r="R27" s="1"/>
  <c r="L41"/>
  <c r="L36"/>
  <c r="L34"/>
  <c r="N27" l="1"/>
  <c r="O27"/>
  <c r="Q27"/>
  <c r="M27"/>
  <c r="U27" s="1"/>
  <c r="P27"/>
  <c r="H87"/>
  <c r="H92"/>
  <c r="H74"/>
  <c r="K41"/>
  <c r="K36"/>
  <c r="K34"/>
  <c r="H89"/>
  <c r="H96"/>
  <c r="J41"/>
  <c r="J36"/>
  <c r="J34"/>
  <c r="H85"/>
  <c r="I41"/>
  <c r="U41" s="1"/>
  <c r="I36"/>
  <c r="I34"/>
  <c r="U34" s="1"/>
  <c r="F106"/>
  <c r="F48"/>
  <c r="M48" s="1"/>
  <c r="U48" s="1"/>
  <c r="U36" l="1"/>
  <c r="H48"/>
  <c r="Q48"/>
  <c r="F16"/>
  <c r="F15"/>
  <c r="M16" l="1"/>
  <c r="U16" s="1"/>
  <c r="Q16"/>
  <c r="M15"/>
  <c r="U15" s="1"/>
  <c r="Q15"/>
  <c r="H70"/>
  <c r="F53"/>
  <c r="H37" l="1"/>
  <c r="H36"/>
  <c r="F39"/>
  <c r="F35"/>
  <c r="F14"/>
  <c r="U14" s="1"/>
  <c r="F17"/>
  <c r="M17" s="1"/>
  <c r="U17" s="1"/>
  <c r="F18"/>
  <c r="M18" s="1"/>
  <c r="U18" s="1"/>
  <c r="F19"/>
  <c r="M19" s="1"/>
  <c r="U19" s="1"/>
  <c r="I35" l="1"/>
  <c r="T35"/>
  <c r="S35"/>
  <c r="L35"/>
  <c r="J35"/>
  <c r="K35"/>
  <c r="I39"/>
  <c r="T39"/>
  <c r="S39"/>
  <c r="L39"/>
  <c r="K39"/>
  <c r="J39"/>
  <c r="H58"/>
  <c r="H20"/>
  <c r="U39" l="1"/>
  <c r="U35"/>
  <c r="H105"/>
  <c r="E77"/>
  <c r="H81" s="1"/>
  <c r="F75"/>
  <c r="H72"/>
  <c r="H69"/>
  <c r="H67"/>
  <c r="F66"/>
  <c r="F65"/>
  <c r="F64"/>
  <c r="F63"/>
  <c r="F62"/>
  <c r="H61"/>
  <c r="H60"/>
  <c r="F56"/>
  <c r="H53"/>
  <c r="H52"/>
  <c r="F51"/>
  <c r="F50"/>
  <c r="F49"/>
  <c r="F47"/>
  <c r="M47" s="1"/>
  <c r="U47" s="1"/>
  <c r="F46"/>
  <c r="M46" s="1"/>
  <c r="U46" s="1"/>
  <c r="F45"/>
  <c r="M45" s="1"/>
  <c r="U45" s="1"/>
  <c r="F44"/>
  <c r="M44" s="1"/>
  <c r="U44" s="1"/>
  <c r="H41"/>
  <c r="F40"/>
  <c r="H39"/>
  <c r="F38"/>
  <c r="H35"/>
  <c r="H34"/>
  <c r="F31"/>
  <c r="H30"/>
  <c r="H29"/>
  <c r="F28"/>
  <c r="H27"/>
  <c r="F26"/>
  <c r="F25"/>
  <c r="F24"/>
  <c r="F21"/>
  <c r="M21" s="1"/>
  <c r="U21" s="1"/>
  <c r="H18"/>
  <c r="H17"/>
  <c r="H14"/>
  <c r="E13"/>
  <c r="F13" s="1"/>
  <c r="F12"/>
  <c r="F11"/>
  <c r="I13" l="1"/>
  <c r="T13"/>
  <c r="S13"/>
  <c r="Q13"/>
  <c r="O13"/>
  <c r="R13"/>
  <c r="P13"/>
  <c r="N13"/>
  <c r="M13"/>
  <c r="L13"/>
  <c r="J13"/>
  <c r="K13"/>
  <c r="H21"/>
  <c r="I12"/>
  <c r="T12"/>
  <c r="S12"/>
  <c r="R12"/>
  <c r="P12"/>
  <c r="N12"/>
  <c r="M12"/>
  <c r="Q12"/>
  <c r="O12"/>
  <c r="K12"/>
  <c r="L12"/>
  <c r="J12"/>
  <c r="H24"/>
  <c r="R24"/>
  <c r="P24"/>
  <c r="N24"/>
  <c r="M24"/>
  <c r="Q24"/>
  <c r="O24"/>
  <c r="H26"/>
  <c r="M26"/>
  <c r="U26" s="1"/>
  <c r="I28"/>
  <c r="T28"/>
  <c r="S28"/>
  <c r="Q28"/>
  <c r="O28"/>
  <c r="R28"/>
  <c r="P28"/>
  <c r="N28"/>
  <c r="M28"/>
  <c r="L28"/>
  <c r="K28"/>
  <c r="J28"/>
  <c r="T38"/>
  <c r="S38"/>
  <c r="L38"/>
  <c r="J38"/>
  <c r="K38"/>
  <c r="T40"/>
  <c r="S40"/>
  <c r="L40"/>
  <c r="J40"/>
  <c r="K40"/>
  <c r="H44"/>
  <c r="Q44"/>
  <c r="H46"/>
  <c r="Q46"/>
  <c r="I49"/>
  <c r="T49"/>
  <c r="Q49"/>
  <c r="M49"/>
  <c r="J49"/>
  <c r="H51"/>
  <c r="Q51"/>
  <c r="M51"/>
  <c r="U51" s="1"/>
  <c r="H62"/>
  <c r="M62"/>
  <c r="U62" s="1"/>
  <c r="H64"/>
  <c r="M64"/>
  <c r="U64" s="1"/>
  <c r="H66"/>
  <c r="M66"/>
  <c r="U66" s="1"/>
  <c r="I75"/>
  <c r="S75"/>
  <c r="T75"/>
  <c r="Q75"/>
  <c r="O75"/>
  <c r="M75"/>
  <c r="L75"/>
  <c r="R75"/>
  <c r="P75"/>
  <c r="N75"/>
  <c r="K75"/>
  <c r="J75"/>
  <c r="I11"/>
  <c r="T11"/>
  <c r="S11"/>
  <c r="Q11"/>
  <c r="O11"/>
  <c r="R11"/>
  <c r="P11"/>
  <c r="N11"/>
  <c r="M11"/>
  <c r="L11"/>
  <c r="J11"/>
  <c r="K11"/>
  <c r="H25"/>
  <c r="Q25"/>
  <c r="O25"/>
  <c r="R25"/>
  <c r="P25"/>
  <c r="N25"/>
  <c r="M25"/>
  <c r="T31"/>
  <c r="S31"/>
  <c r="R31"/>
  <c r="P31"/>
  <c r="N31"/>
  <c r="M31"/>
  <c r="Q31"/>
  <c r="O31"/>
  <c r="L31"/>
  <c r="J31"/>
  <c r="K31"/>
  <c r="H45"/>
  <c r="Q45"/>
  <c r="H47"/>
  <c r="Q47"/>
  <c r="H50"/>
  <c r="Q50"/>
  <c r="M50"/>
  <c r="U50" s="1"/>
  <c r="S56"/>
  <c r="T56"/>
  <c r="L56"/>
  <c r="K56"/>
  <c r="J56"/>
  <c r="H63"/>
  <c r="M63"/>
  <c r="U63" s="1"/>
  <c r="H65"/>
  <c r="M65"/>
  <c r="U65" s="1"/>
  <c r="H31"/>
  <c r="I31"/>
  <c r="U31" s="1"/>
  <c r="H56"/>
  <c r="I56"/>
  <c r="U56" s="1"/>
  <c r="H38"/>
  <c r="I38"/>
  <c r="U38" s="1"/>
  <c r="H40"/>
  <c r="I40"/>
  <c r="U40" s="1"/>
  <c r="H75"/>
  <c r="H28"/>
  <c r="H32" s="1"/>
  <c r="H49"/>
  <c r="H54" s="1"/>
  <c r="H11"/>
  <c r="H12"/>
  <c r="H16"/>
  <c r="H13"/>
  <c r="H15"/>
  <c r="H76"/>
  <c r="F77"/>
  <c r="M77" s="1"/>
  <c r="H19"/>
  <c r="H42"/>
  <c r="H73"/>
  <c r="U25" l="1"/>
  <c r="U11"/>
  <c r="U75"/>
  <c r="U49"/>
  <c r="U28"/>
  <c r="U13"/>
  <c r="U24"/>
  <c r="U12"/>
  <c r="U76"/>
  <c r="U73"/>
  <c r="I77"/>
  <c r="S77"/>
  <c r="T77"/>
  <c r="T106" s="1"/>
  <c r="R77"/>
  <c r="R106" s="1"/>
  <c r="P77"/>
  <c r="P106" s="1"/>
  <c r="N77"/>
  <c r="N106" s="1"/>
  <c r="Q77"/>
  <c r="Q106" s="1"/>
  <c r="O77"/>
  <c r="L77"/>
  <c r="L106" s="1"/>
  <c r="K77"/>
  <c r="K106" s="1"/>
  <c r="J77"/>
  <c r="J106"/>
  <c r="O106"/>
  <c r="S106"/>
  <c r="U22"/>
  <c r="U54"/>
  <c r="U42"/>
  <c r="H77"/>
  <c r="H78" s="1"/>
  <c r="C112"/>
  <c r="H22"/>
  <c r="U77" l="1"/>
  <c r="U32"/>
  <c r="U78"/>
  <c r="I106"/>
  <c r="H79"/>
  <c r="H82" s="1"/>
  <c r="G106" s="1"/>
  <c r="H106" s="1"/>
  <c r="U79" l="1"/>
  <c r="U106" s="1"/>
  <c r="C115" l="1"/>
  <c r="C111"/>
</calcChain>
</file>

<file path=xl/sharedStrings.xml><?xml version="1.0" encoding="utf-8"?>
<sst xmlns="http://schemas.openxmlformats.org/spreadsheetml/2006/main" count="311" uniqueCount="230">
  <si>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</si>
  <si>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</si>
  <si>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</si>
  <si>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</si>
  <si>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</si>
  <si>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</si>
  <si>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</si>
  <si>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</si>
  <si>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</si>
  <si>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</si>
  <si>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</si>
  <si>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</si>
  <si>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</si>
  <si>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</si>
  <si>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</si>
  <si>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</si>
  <si>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</si>
  <si>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</si>
  <si>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</si>
  <si>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</si>
  <si>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</si>
  <si>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</si>
  <si>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</si>
  <si>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</si>
  <si>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</si>
  <si>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</si>
  <si>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</si>
  <si>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</si>
  <si>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</si>
  <si>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</si>
  <si>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</si>
  <si>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</si>
  <si>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</si>
  <si>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</si>
  <si>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</si>
  <si>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</si>
  <si>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</si>
  <si>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</si>
  <si>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</si>
  <si>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</si>
  <si>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</si>
  <si>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</si>
  <si>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</si>
  <si>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</si>
  <si>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</si>
  <si>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</si>
  <si>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</si>
  <si>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</si>
  <si>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</si>
  <si>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</si>
  <si>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</si>
  <si>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</si>
  <si>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</si>
  <si>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</si>
  <si>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</si>
  <si>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</si>
  <si>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</si>
  <si>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</si>
  <si>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</si>
  <si>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</si>
  <si>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</si>
  <si>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</si>
  <si>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</si>
  <si>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</si>
  <si>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</si>
  <si>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</si>
  <si>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</si>
  <si>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</si>
  <si>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</si>
  <si>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</si>
  <si>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</si>
  <si>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</si>
  <si>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</si>
  <si>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</si>
  <si>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</si>
  <si>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</si>
  <si>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</si>
  <si>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</si>
  <si>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</si>
  <si>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</si>
  <si>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</si>
  <si>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</si>
  <si>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</si>
  <si>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</si>
  <si>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</si>
  <si>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</si>
  <si>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</si>
  <si>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</si>
  <si>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</si>
  <si>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</si>
  <si>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</si>
  <si>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</si>
  <si>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</si>
  <si>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</si>
  <si>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</si>
  <si>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</si>
  <si>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</si>
  <si>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</si>
  <si>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</si>
  <si>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</si>
  <si>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Влажная протирка шкафов для щитов и слаботочн. устройств</t>
  </si>
  <si>
    <t>3 раза в год</t>
  </si>
  <si>
    <t>Очистка чердака, подвала от мусора</t>
  </si>
  <si>
    <t>12 раз за сезон</t>
  </si>
  <si>
    <t>24 раза за сезон</t>
  </si>
  <si>
    <t>30 раз за сезон</t>
  </si>
  <si>
    <t>Вывоз снега с придомовой территории</t>
  </si>
  <si>
    <t>Вода для промывки СО</t>
  </si>
  <si>
    <t>Сброс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</si>
  <si>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</si>
  <si>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</si>
  <si>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Осмотр деревянных конструкций стропил</t>
  </si>
  <si>
    <t>100 м3</t>
  </si>
  <si>
    <t>калькуляция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</si>
  <si>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</si>
  <si>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</si>
  <si>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</si>
  <si>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</si>
  <si>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</si>
  <si>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</si>
  <si>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</si>
  <si>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</si>
  <si>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</si>
  <si>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</si>
  <si>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</si>
  <si>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</si>
  <si>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Ремонт и регулировка доводчика (со стоимостью доводчика)</t>
  </si>
  <si>
    <t>1шт.</t>
  </si>
  <si>
    <t>смета</t>
  </si>
  <si>
    <t>1 шт</t>
  </si>
  <si>
    <t>Смена светильников с лампами накаливания</t>
  </si>
  <si>
    <t>Стоимость (руб.)</t>
  </si>
  <si>
    <t>договор</t>
  </si>
  <si>
    <t>ТО внутридомового газ.оборудования</t>
  </si>
  <si>
    <t>маш/час</t>
  </si>
  <si>
    <t>Работа автовышки</t>
  </si>
  <si>
    <t>Ремонт групповых щитков на лестничной клетке без ремонта автоматов</t>
  </si>
  <si>
    <t>4 этажа, 3 подъезда</t>
  </si>
  <si>
    <t>Мелкий ремонт электропроводки</t>
  </si>
  <si>
    <t>1 м</t>
  </si>
  <si>
    <t>Баланс выполненных работ на 01.01.2016 г. ( -долг за предприятием, +долг за населением)</t>
  </si>
  <si>
    <t>место</t>
  </si>
  <si>
    <t>Смена трубопроводов на металл-полимерные трубы д=20</t>
  </si>
  <si>
    <t>Подключение и отключение сварочного аппарата</t>
  </si>
  <si>
    <t>100шт</t>
  </si>
  <si>
    <t>Внеплановый осмотр вводных электрических щитков</t>
  </si>
  <si>
    <t>Замена прокладки на задвижке диаметром 80мм</t>
  </si>
  <si>
    <t>С учетом показателя инфляции (К=1,094)</t>
  </si>
  <si>
    <t xml:space="preserve">Погрузка травы, ветвей </t>
  </si>
  <si>
    <t>Сдвигание снега в дни снегопада (проезды)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</si>
  <si>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</si>
  <si>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</si>
  <si>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</si>
  <si>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</si>
  <si>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</si>
  <si>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</si>
  <si>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Устройство хомута диаметром до 50 мм</t>
  </si>
  <si>
    <t>Настройка таймера освещения ТО-2</t>
  </si>
  <si>
    <t>Смена вентилей диаметром 25 мм (без материалов)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</si>
  <si>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</si>
  <si>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</si>
  <si>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>Смена арматуры - вентилей и клапанов обратных муфтовых диаметром до 20 мм (без материалов)</t>
  </si>
  <si>
    <t>Смена арматуры - вентилей и клапанов обратных муфтовых диаметром до 50 мм</t>
  </si>
  <si>
    <t>Ремонт отдельных мест покрытия из асбоцементных листов обыкновенного профиля</t>
  </si>
  <si>
    <t>10 м2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</si>
  <si>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</si>
  <si>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</si>
  <si>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</si>
  <si>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</si>
  <si>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</si>
  <si>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</si>
  <si>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</si>
  <si>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</si>
  <si>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</si>
  <si>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51-022</t>
  </si>
  <si>
    <t>Влажное подметание лестничных клеток 2-4 этажа</t>
  </si>
  <si>
    <t>Мытье лестничных  площадок и маршей 1-4 этаж.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</si>
  <si>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</si>
  <si>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</si>
  <si>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</si>
  <si>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</si>
  <si>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</si>
  <si>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</si>
  <si>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</si>
  <si>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</si>
  <si>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</si>
  <si>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</si>
  <si>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</si>
  <si>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</si>
  <si>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</si>
  <si>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</si>
  <si>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</si>
  <si>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</si>
  <si>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</si>
  <si>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</si>
  <si>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</si>
  <si>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>Осмотр шиферной кровли</t>
  </si>
  <si>
    <t xml:space="preserve">пр.ТЕР 54-041 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</si>
  <si>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</si>
  <si>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</si>
  <si>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</si>
  <si>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</si>
  <si>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</si>
  <si>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</si>
  <si>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</si>
  <si>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</si>
  <si>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33-049</t>
  </si>
  <si>
    <t>ТЕР 33-030</t>
  </si>
  <si>
    <t>ТЕР Q2-2-1-3-3</t>
  </si>
  <si>
    <t>ТЕР 33-023</t>
  </si>
  <si>
    <t>пр.ТЕР 32-065</t>
  </si>
  <si>
    <t>пр.ТЕР 32-098</t>
  </si>
  <si>
    <t>пр.ТЕР 32-028</t>
  </si>
  <si>
    <t>пр.ТЕР 42-014</t>
  </si>
  <si>
    <t>ТЕР 32-027</t>
  </si>
  <si>
    <t>ТЕР 32-029</t>
  </si>
  <si>
    <t>ТЕР 17-006</t>
  </si>
  <si>
    <t>ТЕР 33-060</t>
  </si>
  <si>
    <t>ТЭР 68-4-2</t>
  </si>
  <si>
    <t>Выкашивание газонов газонокосилкой</t>
  </si>
  <si>
    <t>Монтаж наружного светодиодного светильника</t>
  </si>
  <si>
    <t>тыс.руб.</t>
  </si>
  <si>
    <t>Просроченная задолженность по Вашему дому по статье "Содержание и текущий ремонт МКД" на конец августа 2016 г., составляет:</t>
  </si>
  <si>
    <t>Баланс выполненных работ на 01.09.2016 г. ( -долг за предприятием, +долг за населением)</t>
  </si>
  <si>
    <t>Смена трубопроводов на полипропиленовые трубы PN25 диаметром 25 мм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</si>
  <si>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Октябрьская, 43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январь-август 2016 года</t>
    </r>
  </si>
  <si>
    <t>Начислено за содержание и текущий ремонт за январь-август 2016г.</t>
  </si>
  <si>
    <t>Выполнено работ по содержанию за январь-август 2016 г.</t>
  </si>
  <si>
    <t>Выполнено работ по текущему ремонту за январь-август 2016 г.</t>
  </si>
  <si>
    <t>Фактически оплачено за январь-август 2016 г.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</si>
</sst>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3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3" fillId="12" borderId="0" xfId="0" applyNumberFormat="1" applyFont="1" applyFill="1" applyBorder="1" applyAlignment="1">
      <alignment horizontal="center" vertical="center"/>
    </xf>
    <xf numFmtId="0" fontId="0" fillId="4" borderId="0" xfId="0" applyFill="1"/>
    <xf numFmtId="4" fontId="1" fillId="4" borderId="7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8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3" fillId="4" borderId="12" xfId="0" applyFont="1" applyFill="1" applyBorder="1" applyAlignment="1">
      <alignment horizontal="left" vertical="center"/>
    </xf>
    <xf numFmtId="4" fontId="1" fillId="13" borderId="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5" borderId="19" xfId="0" applyFont="1" applyFill="1" applyBorder="1"/>
    <xf numFmtId="0" fontId="1" fillId="4" borderId="20" xfId="0" applyFont="1" applyFill="1" applyBorder="1" applyAlignment="1">
      <alignment horizontal="center" vertical="center"/>
    </xf>
    <xf numFmtId="4" fontId="3" fillId="10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2" borderId="21" xfId="0" applyNumberFormat="1" applyFont="1" applyFill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center" vertical="center"/>
    </xf>
    <xf numFmtId="4" fontId="15" fillId="2" borderId="22" xfId="0" applyNumberFormat="1" applyFont="1" applyFill="1" applyBorder="1" applyAlignment="1">
      <alignment horizontal="center" vertical="center"/>
    </xf>
    <xf numFmtId="4" fontId="3" fillId="2" borderId="23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 applyProtection="1">
      <alignment horizontal="left" vertical="center" wrapText="1"/>
    </xf>
    <xf numFmtId="0" fontId="1" fillId="0" borderId="24" xfId="0" applyNumberFormat="1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>
      <alignment horizontal="left" vertical="center"/>
    </xf>
    <xf numFmtId="4" fontId="1" fillId="0" borderId="24" xfId="0" applyNumberFormat="1" applyFont="1" applyFill="1" applyBorder="1" applyAlignment="1">
      <alignment horizontal="center" vertical="center"/>
    </xf>
    <xf numFmtId="4" fontId="1" fillId="8" borderId="24" xfId="0" applyNumberFormat="1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 applyProtection="1">
      <alignment horizontal="center" vertical="center" wrapText="1"/>
    </xf>
    <xf numFmtId="0" fontId="1" fillId="0" borderId="25" xfId="0" applyNumberFormat="1" applyFont="1" applyFill="1" applyBorder="1" applyAlignment="1" applyProtection="1">
      <alignment horizontal="left" vertical="center" wrapText="1"/>
    </xf>
    <xf numFmtId="0" fontId="1" fillId="0" borderId="25" xfId="0" applyFont="1" applyFill="1" applyBorder="1" applyAlignment="1">
      <alignment horizontal="left" vertical="center"/>
    </xf>
    <xf numFmtId="4" fontId="1" fillId="0" borderId="25" xfId="0" applyNumberFormat="1" applyFont="1" applyFill="1" applyBorder="1" applyAlignment="1">
      <alignment horizontal="center" vertical="center"/>
    </xf>
    <xf numFmtId="4" fontId="1" fillId="0" borderId="26" xfId="0" applyNumberFormat="1" applyFont="1" applyFill="1" applyBorder="1" applyAlignment="1">
      <alignment horizontal="center" vertical="center"/>
    </xf>
    <xf numFmtId="4" fontId="1" fillId="8" borderId="25" xfId="0" applyNumberFormat="1" applyFont="1" applyFill="1" applyBorder="1" applyAlignment="1">
      <alignment horizontal="center" vertical="center"/>
    </xf>
    <xf numFmtId="0" fontId="1" fillId="4" borderId="25" xfId="0" applyNumberFormat="1" applyFont="1" applyFill="1" applyBorder="1" applyAlignment="1" applyProtection="1">
      <alignment horizontal="center" vertical="center" wrapText="1"/>
    </xf>
    <xf numFmtId="0" fontId="1" fillId="4" borderId="25" xfId="0" applyNumberFormat="1" applyFont="1" applyFill="1" applyBorder="1" applyAlignment="1" applyProtection="1">
      <alignment horizontal="left" vertical="center" wrapText="1"/>
    </xf>
    <xf numFmtId="4" fontId="1" fillId="4" borderId="26" xfId="0" applyNumberFormat="1" applyFont="1" applyFill="1" applyBorder="1" applyAlignment="1">
      <alignment horizontal="center" vertical="center"/>
    </xf>
    <xf numFmtId="4" fontId="1" fillId="8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19"/>
  <sheetViews>
    <sheetView tabSelected="1" view="pageBreakPreview" zoomScaleNormal="75" zoomScaleSheetLayoutView="100" workbookViewId="0">
      <pane ySplit="7" topLeftCell="A41" activePane="bottomLeft" state="frozen"/>
      <selection activeCell="B1" sqref="B1"/>
      <selection pane="bottomLeft" activeCell="N49" sqref="N49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1.85546875" customWidth="1"/>
    <col min="5" max="7" width="10.140625" customWidth="1"/>
    <col min="8" max="8" width="11.5703125" customWidth="1"/>
    <col min="9" max="16" width="9.85546875" customWidth="1"/>
    <col min="17" max="20" width="9.85546875" hidden="1" customWidth="1"/>
    <col min="21" max="21" width="12.28515625" customWidth="1"/>
  </cols>
  <sheetData>
    <row r="1" spans="1:21" ht="14.25" customHeight="1">
      <c r="A1" s="154"/>
    </row>
    <row r="3" spans="1:21" ht="18">
      <c r="A3" s="118"/>
      <c r="B3" s="183" t="s">
        <v>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67"/>
      <c r="N3" s="67"/>
      <c r="O3" s="67"/>
      <c r="P3" s="67"/>
      <c r="Q3" s="67"/>
      <c r="R3" s="67"/>
      <c r="S3" s="67"/>
      <c r="T3" s="67"/>
      <c r="U3" s="67"/>
    </row>
    <row r="4" spans="1:21" ht="35.25" customHeight="1">
      <c r="A4" s="67"/>
      <c r="B4" s="184" t="s">
        <v>1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67"/>
      <c r="N4" s="67"/>
      <c r="O4" s="67"/>
      <c r="P4" s="67"/>
      <c r="Q4" s="67"/>
      <c r="R4" s="67"/>
      <c r="S4" s="67"/>
      <c r="T4" s="67"/>
      <c r="U4" s="67"/>
    </row>
    <row r="5" spans="1:21" ht="18">
      <c r="A5" s="67"/>
      <c r="B5" s="184" t="s">
        <v>225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67"/>
      <c r="N5" s="67"/>
      <c r="O5" s="67"/>
      <c r="P5" s="67"/>
      <c r="Q5" s="67"/>
      <c r="R5" s="67"/>
      <c r="S5" s="67"/>
      <c r="T5" s="67"/>
      <c r="U5" s="67"/>
    </row>
    <row r="6" spans="1:21" ht="15">
      <c r="A6" s="67"/>
      <c r="B6" s="185" t="s">
        <v>137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67"/>
      <c r="N6" s="67"/>
      <c r="O6" s="67"/>
      <c r="P6" s="67"/>
      <c r="Q6" s="67"/>
      <c r="R6" s="67"/>
      <c r="S6" s="67"/>
      <c r="T6" s="67"/>
      <c r="U6" s="67"/>
    </row>
    <row r="7" spans="1:21" ht="46.5" customHeight="1">
      <c r="A7" s="134" t="s">
        <v>2</v>
      </c>
      <c r="B7" s="135" t="s">
        <v>3</v>
      </c>
      <c r="C7" s="135" t="s">
        <v>4</v>
      </c>
      <c r="D7" s="135" t="s">
        <v>5</v>
      </c>
      <c r="E7" s="135" t="s">
        <v>6</v>
      </c>
      <c r="F7" s="135" t="s">
        <v>7</v>
      </c>
      <c r="G7" s="135" t="s">
        <v>8</v>
      </c>
      <c r="H7" s="136" t="s">
        <v>9</v>
      </c>
      <c r="I7" s="137" t="s">
        <v>114</v>
      </c>
      <c r="J7" s="137" t="s">
        <v>115</v>
      </c>
      <c r="K7" s="137" t="s">
        <v>116</v>
      </c>
      <c r="L7" s="137" t="s">
        <v>117</v>
      </c>
      <c r="M7" s="137" t="s">
        <v>118</v>
      </c>
      <c r="N7" s="137" t="s">
        <v>119</v>
      </c>
      <c r="O7" s="137" t="s">
        <v>120</v>
      </c>
      <c r="P7" s="137" t="s">
        <v>121</v>
      </c>
      <c r="Q7" s="137" t="s">
        <v>122</v>
      </c>
      <c r="R7" s="137" t="s">
        <v>123</v>
      </c>
      <c r="S7" s="137" t="s">
        <v>124</v>
      </c>
      <c r="T7" s="137" t="s">
        <v>125</v>
      </c>
      <c r="U7" s="137" t="s">
        <v>131</v>
      </c>
    </row>
    <row r="8" spans="1:21">
      <c r="A8" s="138">
        <v>1</v>
      </c>
      <c r="B8" s="8">
        <v>2</v>
      </c>
      <c r="C8" s="27">
        <v>3</v>
      </c>
      <c r="D8" s="8">
        <v>4</v>
      </c>
      <c r="E8" s="8">
        <v>5</v>
      </c>
      <c r="F8" s="27">
        <v>6</v>
      </c>
      <c r="G8" s="27">
        <v>7</v>
      </c>
      <c r="H8" s="119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17</v>
      </c>
    </row>
    <row r="9" spans="1:21" ht="38.25">
      <c r="A9" s="138"/>
      <c r="B9" s="10" t="s">
        <v>10</v>
      </c>
      <c r="C9" s="27"/>
      <c r="D9" s="11"/>
      <c r="E9" s="11"/>
      <c r="F9" s="27"/>
      <c r="G9" s="27"/>
      <c r="H9" s="28"/>
      <c r="I9" s="29"/>
      <c r="J9" s="29"/>
      <c r="K9" s="29"/>
      <c r="L9" s="29"/>
      <c r="M9" s="30"/>
      <c r="N9" s="31"/>
      <c r="O9" s="31"/>
      <c r="P9" s="31"/>
      <c r="Q9" s="31"/>
      <c r="R9" s="31"/>
      <c r="S9" s="31"/>
      <c r="T9" s="31"/>
      <c r="U9" s="31"/>
    </row>
    <row r="10" spans="1:21">
      <c r="A10" s="138"/>
      <c r="B10" s="10" t="s">
        <v>11</v>
      </c>
      <c r="C10" s="27"/>
      <c r="D10" s="11"/>
      <c r="E10" s="11"/>
      <c r="F10" s="27"/>
      <c r="G10" s="27"/>
      <c r="H10" s="28"/>
      <c r="I10" s="29"/>
      <c r="J10" s="29"/>
      <c r="K10" s="29"/>
      <c r="L10" s="29"/>
      <c r="M10" s="30"/>
      <c r="N10" s="31"/>
      <c r="O10" s="31"/>
      <c r="P10" s="31"/>
      <c r="Q10" s="31"/>
      <c r="R10" s="31"/>
      <c r="S10" s="31"/>
      <c r="T10" s="31"/>
      <c r="U10" s="31"/>
    </row>
    <row r="11" spans="1:21" ht="25.5">
      <c r="A11" s="138" t="s">
        <v>165</v>
      </c>
      <c r="B11" s="11" t="s">
        <v>12</v>
      </c>
      <c r="C11" s="27" t="s">
        <v>13</v>
      </c>
      <c r="D11" s="11" t="s">
        <v>14</v>
      </c>
      <c r="E11" s="32">
        <v>38.1</v>
      </c>
      <c r="F11" s="33">
        <f>SUM(E11*156/100)</f>
        <v>59.436000000000007</v>
      </c>
      <c r="G11" s="33">
        <v>187.48</v>
      </c>
      <c r="H11" s="34">
        <f t="shared" ref="H11:H21" si="0">SUM(F11*G11/1000)</f>
        <v>11.14306128</v>
      </c>
      <c r="I11" s="35">
        <f>F11/12*G11</f>
        <v>928.58843999999999</v>
      </c>
      <c r="J11" s="35">
        <f>F11/12*G11</f>
        <v>928.58843999999999</v>
      </c>
      <c r="K11" s="35">
        <f>F11/12*G11</f>
        <v>928.58843999999999</v>
      </c>
      <c r="L11" s="35">
        <f>F11/12*G11</f>
        <v>928.58843999999999</v>
      </c>
      <c r="M11" s="35">
        <f>F11/12*G11</f>
        <v>928.58843999999999</v>
      </c>
      <c r="N11" s="35">
        <f>F11/12*G11</f>
        <v>928.58843999999999</v>
      </c>
      <c r="O11" s="35">
        <f>F11/12*G11</f>
        <v>928.58843999999999</v>
      </c>
      <c r="P11" s="35">
        <f>F11/12*G11</f>
        <v>928.58843999999999</v>
      </c>
      <c r="Q11" s="35">
        <f>F11/12*G11</f>
        <v>928.58843999999999</v>
      </c>
      <c r="R11" s="35">
        <f>F11/12*G11</f>
        <v>928.58843999999999</v>
      </c>
      <c r="S11" s="35">
        <f>F11/12*G11</f>
        <v>928.58843999999999</v>
      </c>
      <c r="T11" s="35">
        <f>F11/12*G11</f>
        <v>928.58843999999999</v>
      </c>
      <c r="U11" s="35">
        <f>SUM(I11:P11)</f>
        <v>7428.7075199999981</v>
      </c>
    </row>
    <row r="12" spans="1:21" ht="25.5">
      <c r="A12" s="138" t="s">
        <v>165</v>
      </c>
      <c r="B12" s="11" t="s">
        <v>175</v>
      </c>
      <c r="C12" s="27" t="s">
        <v>13</v>
      </c>
      <c r="D12" s="11" t="s">
        <v>15</v>
      </c>
      <c r="E12" s="32">
        <v>114.4</v>
      </c>
      <c r="F12" s="33">
        <f>SUM(E12*104/100)</f>
        <v>118.976</v>
      </c>
      <c r="G12" s="33">
        <v>187.48</v>
      </c>
      <c r="H12" s="34">
        <f t="shared" si="0"/>
        <v>22.305620479999998</v>
      </c>
      <c r="I12" s="35">
        <f>F12/12*G12</f>
        <v>1858.8017066666666</v>
      </c>
      <c r="J12" s="35">
        <f>F12/12*G12</f>
        <v>1858.8017066666666</v>
      </c>
      <c r="K12" s="35">
        <f>F12/12*G12</f>
        <v>1858.8017066666666</v>
      </c>
      <c r="L12" s="35">
        <f>F12/12*G12</f>
        <v>1858.8017066666666</v>
      </c>
      <c r="M12" s="35">
        <f>F12/12*G12</f>
        <v>1858.8017066666666</v>
      </c>
      <c r="N12" s="35">
        <f>F12/12*G12</f>
        <v>1858.8017066666666</v>
      </c>
      <c r="O12" s="35">
        <f>F12/12*G12</f>
        <v>1858.8017066666666</v>
      </c>
      <c r="P12" s="35">
        <f>F12/12*G12</f>
        <v>1858.8017066666666</v>
      </c>
      <c r="Q12" s="35">
        <f>F12/12*G12</f>
        <v>1858.8017066666666</v>
      </c>
      <c r="R12" s="35">
        <f>F12/12*G12</f>
        <v>1858.8017066666666</v>
      </c>
      <c r="S12" s="35">
        <f>F12/12*G12</f>
        <v>1858.8017066666666</v>
      </c>
      <c r="T12" s="35">
        <f>F12/12*G12</f>
        <v>1858.8017066666666</v>
      </c>
      <c r="U12" s="35">
        <f t="shared" ref="U12:U21" si="1">SUM(I12:P12)</f>
        <v>14870.413653333335</v>
      </c>
    </row>
    <row r="13" spans="1:21" ht="25.5">
      <c r="A13" s="138" t="s">
        <v>166</v>
      </c>
      <c r="B13" s="11" t="s">
        <v>176</v>
      </c>
      <c r="C13" s="27" t="s">
        <v>13</v>
      </c>
      <c r="D13" s="11" t="s">
        <v>16</v>
      </c>
      <c r="E13" s="32">
        <f>SUM(E11+E12)</f>
        <v>152.5</v>
      </c>
      <c r="F13" s="33">
        <f>SUM(E13*24/100)</f>
        <v>36.6</v>
      </c>
      <c r="G13" s="33">
        <v>539.30999999999995</v>
      </c>
      <c r="H13" s="34">
        <f t="shared" si="0"/>
        <v>19.738745999999999</v>
      </c>
      <c r="I13" s="35">
        <f>F13/12*G13</f>
        <v>1644.8955000000001</v>
      </c>
      <c r="J13" s="35">
        <f>F13/12*G13</f>
        <v>1644.8955000000001</v>
      </c>
      <c r="K13" s="35">
        <f>F13/12*G13</f>
        <v>1644.8955000000001</v>
      </c>
      <c r="L13" s="35">
        <f>F13/12*G13</f>
        <v>1644.8955000000001</v>
      </c>
      <c r="M13" s="35">
        <f>F13/12*G13</f>
        <v>1644.8955000000001</v>
      </c>
      <c r="N13" s="35">
        <f>F13/12*G13</f>
        <v>1644.8955000000001</v>
      </c>
      <c r="O13" s="35">
        <f>F13/12*G13</f>
        <v>1644.8955000000001</v>
      </c>
      <c r="P13" s="35">
        <f>F13/12*G13</f>
        <v>1644.8955000000001</v>
      </c>
      <c r="Q13" s="35">
        <f>F13/12*G13</f>
        <v>1644.8955000000001</v>
      </c>
      <c r="R13" s="35">
        <f>F13/12*G13</f>
        <v>1644.8955000000001</v>
      </c>
      <c r="S13" s="35">
        <f>F13/12*G13</f>
        <v>1644.8955000000001</v>
      </c>
      <c r="T13" s="35">
        <f>F13/12*G13</f>
        <v>1644.8955000000001</v>
      </c>
      <c r="U13" s="35">
        <f t="shared" si="1"/>
        <v>13159.164000000002</v>
      </c>
    </row>
    <row r="14" spans="1:21">
      <c r="A14" s="138" t="s">
        <v>167</v>
      </c>
      <c r="B14" s="11" t="s">
        <v>17</v>
      </c>
      <c r="C14" s="27" t="s">
        <v>18</v>
      </c>
      <c r="D14" s="11" t="s">
        <v>98</v>
      </c>
      <c r="E14" s="32">
        <v>32.4</v>
      </c>
      <c r="F14" s="33">
        <f>SUM(E14/10)</f>
        <v>3.2399999999999998</v>
      </c>
      <c r="G14" s="33">
        <v>181.91</v>
      </c>
      <c r="H14" s="34">
        <f t="shared" si="0"/>
        <v>0.58938839999999992</v>
      </c>
      <c r="I14" s="35">
        <v>0</v>
      </c>
      <c r="J14" s="35">
        <v>0</v>
      </c>
      <c r="K14" s="35">
        <v>0</v>
      </c>
      <c r="L14" s="35">
        <v>0</v>
      </c>
      <c r="M14" s="35">
        <f>F14*G14</f>
        <v>589.38839999999993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f t="shared" si="1"/>
        <v>589.38839999999993</v>
      </c>
    </row>
    <row r="15" spans="1:21">
      <c r="A15" s="138" t="s">
        <v>168</v>
      </c>
      <c r="B15" s="11" t="s">
        <v>19</v>
      </c>
      <c r="C15" s="27" t="s">
        <v>13</v>
      </c>
      <c r="D15" s="11" t="s">
        <v>51</v>
      </c>
      <c r="E15" s="32">
        <v>12.24</v>
      </c>
      <c r="F15" s="33">
        <f>SUM(E15*2/100)</f>
        <v>0.24480000000000002</v>
      </c>
      <c r="G15" s="33">
        <v>232.92</v>
      </c>
      <c r="H15" s="34">
        <f t="shared" si="0"/>
        <v>5.7018816E-2</v>
      </c>
      <c r="I15" s="35">
        <v>0</v>
      </c>
      <c r="J15" s="35">
        <v>0</v>
      </c>
      <c r="K15" s="35">
        <v>0</v>
      </c>
      <c r="L15" s="35">
        <v>0</v>
      </c>
      <c r="M15" s="35">
        <f>F15/2*G15</f>
        <v>28.509408000000001</v>
      </c>
      <c r="N15" s="35">
        <v>0</v>
      </c>
      <c r="O15" s="35">
        <v>0</v>
      </c>
      <c r="P15" s="35">
        <v>0</v>
      </c>
      <c r="Q15" s="35">
        <f>F15/2*G15</f>
        <v>28.509408000000001</v>
      </c>
      <c r="R15" s="35">
        <v>0</v>
      </c>
      <c r="S15" s="35">
        <v>0</v>
      </c>
      <c r="T15" s="35">
        <v>0</v>
      </c>
      <c r="U15" s="35">
        <f t="shared" si="1"/>
        <v>28.509408000000001</v>
      </c>
    </row>
    <row r="16" spans="1:21">
      <c r="A16" s="138" t="s">
        <v>169</v>
      </c>
      <c r="B16" s="11" t="s">
        <v>20</v>
      </c>
      <c r="C16" s="27" t="s">
        <v>13</v>
      </c>
      <c r="D16" s="11" t="s">
        <v>51</v>
      </c>
      <c r="E16" s="32">
        <v>10.08</v>
      </c>
      <c r="F16" s="33">
        <f>SUM(E16*2/100)</f>
        <v>0.2016</v>
      </c>
      <c r="G16" s="33">
        <v>231.03</v>
      </c>
      <c r="H16" s="34">
        <f t="shared" si="0"/>
        <v>4.6575648000000004E-2</v>
      </c>
      <c r="I16" s="35">
        <v>0</v>
      </c>
      <c r="J16" s="35">
        <v>0</v>
      </c>
      <c r="K16" s="35">
        <v>0</v>
      </c>
      <c r="L16" s="35">
        <v>0</v>
      </c>
      <c r="M16" s="35">
        <f>F16/2*G16</f>
        <v>23.287824000000001</v>
      </c>
      <c r="N16" s="35">
        <v>0</v>
      </c>
      <c r="O16" s="35">
        <v>0</v>
      </c>
      <c r="P16" s="35">
        <v>0</v>
      </c>
      <c r="Q16" s="35">
        <f>F16/2*G16</f>
        <v>23.287824000000001</v>
      </c>
      <c r="R16" s="35">
        <v>0</v>
      </c>
      <c r="S16" s="35">
        <v>0</v>
      </c>
      <c r="T16" s="35">
        <v>0</v>
      </c>
      <c r="U16" s="35">
        <f t="shared" si="1"/>
        <v>23.287824000000001</v>
      </c>
    </row>
    <row r="17" spans="1:21">
      <c r="A17" s="138" t="s">
        <v>170</v>
      </c>
      <c r="B17" s="11" t="s">
        <v>21</v>
      </c>
      <c r="C17" s="27" t="s">
        <v>22</v>
      </c>
      <c r="D17" s="11" t="s">
        <v>98</v>
      </c>
      <c r="E17" s="32">
        <v>293.76</v>
      </c>
      <c r="F17" s="33">
        <f>SUM(E17/100)</f>
        <v>2.9375999999999998</v>
      </c>
      <c r="G17" s="33">
        <v>287.83999999999997</v>
      </c>
      <c r="H17" s="34">
        <f t="shared" si="0"/>
        <v>0.84555878399999984</v>
      </c>
      <c r="I17" s="35">
        <v>0</v>
      </c>
      <c r="J17" s="35">
        <v>0</v>
      </c>
      <c r="K17" s="35">
        <v>0</v>
      </c>
      <c r="L17" s="35">
        <v>0</v>
      </c>
      <c r="M17" s="35">
        <f>F17*G17</f>
        <v>845.55878399999983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f t="shared" si="1"/>
        <v>845.55878399999983</v>
      </c>
    </row>
    <row r="18" spans="1:21">
      <c r="A18" s="138" t="s">
        <v>171</v>
      </c>
      <c r="B18" s="11" t="s">
        <v>23</v>
      </c>
      <c r="C18" s="27" t="s">
        <v>22</v>
      </c>
      <c r="D18" s="11" t="s">
        <v>98</v>
      </c>
      <c r="E18" s="37">
        <v>17.64</v>
      </c>
      <c r="F18" s="33">
        <f>SUM(E18/100)</f>
        <v>0.1764</v>
      </c>
      <c r="G18" s="33">
        <v>47.34</v>
      </c>
      <c r="H18" s="34">
        <f t="shared" si="0"/>
        <v>8.3507760000000007E-3</v>
      </c>
      <c r="I18" s="35">
        <v>0</v>
      </c>
      <c r="J18" s="35">
        <v>0</v>
      </c>
      <c r="K18" s="35">
        <v>0</v>
      </c>
      <c r="L18" s="35">
        <v>0</v>
      </c>
      <c r="M18" s="35">
        <f t="shared" ref="M18:M21" si="2">F18*G18</f>
        <v>8.3507760000000015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f t="shared" si="1"/>
        <v>8.3507760000000015</v>
      </c>
    </row>
    <row r="19" spans="1:21">
      <c r="A19" s="138" t="s">
        <v>172</v>
      </c>
      <c r="B19" s="11" t="s">
        <v>24</v>
      </c>
      <c r="C19" s="27" t="s">
        <v>22</v>
      </c>
      <c r="D19" s="11" t="s">
        <v>99</v>
      </c>
      <c r="E19" s="32">
        <v>10.8</v>
      </c>
      <c r="F19" s="33">
        <f>E19/100</f>
        <v>0.10800000000000001</v>
      </c>
      <c r="G19" s="33">
        <v>416.62</v>
      </c>
      <c r="H19" s="34">
        <f t="shared" si="0"/>
        <v>4.4994960000000007E-2</v>
      </c>
      <c r="I19" s="35">
        <v>0</v>
      </c>
      <c r="J19" s="35">
        <v>0</v>
      </c>
      <c r="K19" s="35">
        <v>0</v>
      </c>
      <c r="L19" s="35">
        <v>0</v>
      </c>
      <c r="M19" s="35">
        <f t="shared" si="2"/>
        <v>44.994960000000006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f t="shared" si="1"/>
        <v>44.994960000000006</v>
      </c>
    </row>
    <row r="20" spans="1:21" ht="25.5">
      <c r="A20" s="138" t="s">
        <v>174</v>
      </c>
      <c r="B20" s="11" t="s">
        <v>100</v>
      </c>
      <c r="C20" s="27" t="s">
        <v>22</v>
      </c>
      <c r="D20" s="11" t="s">
        <v>32</v>
      </c>
      <c r="E20" s="32">
        <v>12.6</v>
      </c>
      <c r="F20" s="33">
        <v>0.13</v>
      </c>
      <c r="G20" s="33">
        <v>231.03</v>
      </c>
      <c r="H20" s="34">
        <f>G20*F20/1000</f>
        <v>3.0033900000000002E-2</v>
      </c>
      <c r="I20" s="35">
        <v>0</v>
      </c>
      <c r="J20" s="35">
        <v>0</v>
      </c>
      <c r="K20" s="35">
        <v>0</v>
      </c>
      <c r="L20" s="35">
        <v>0</v>
      </c>
      <c r="M20" s="35">
        <f t="shared" si="2"/>
        <v>30.033900000000003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f t="shared" si="1"/>
        <v>30.033900000000003</v>
      </c>
    </row>
    <row r="21" spans="1:21">
      <c r="A21" s="138" t="s">
        <v>173</v>
      </c>
      <c r="B21" s="11" t="s">
        <v>25</v>
      </c>
      <c r="C21" s="27" t="s">
        <v>22</v>
      </c>
      <c r="D21" s="11" t="s">
        <v>98</v>
      </c>
      <c r="E21" s="32">
        <v>14.4</v>
      </c>
      <c r="F21" s="33">
        <f>SUM(E21/100)</f>
        <v>0.14400000000000002</v>
      </c>
      <c r="G21" s="33">
        <v>556.74</v>
      </c>
      <c r="H21" s="34">
        <f t="shared" si="0"/>
        <v>8.0170560000000016E-2</v>
      </c>
      <c r="I21" s="35">
        <v>0</v>
      </c>
      <c r="J21" s="35">
        <v>0</v>
      </c>
      <c r="K21" s="35">
        <v>0</v>
      </c>
      <c r="L21" s="35">
        <v>0</v>
      </c>
      <c r="M21" s="35">
        <f t="shared" si="2"/>
        <v>80.170560000000009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f t="shared" si="1"/>
        <v>80.170560000000009</v>
      </c>
    </row>
    <row r="22" spans="1:21" s="20" customFormat="1">
      <c r="A22" s="139"/>
      <c r="B22" s="21" t="s">
        <v>26</v>
      </c>
      <c r="C22" s="38"/>
      <c r="D22" s="21"/>
      <c r="E22" s="39"/>
      <c r="F22" s="40"/>
      <c r="G22" s="40"/>
      <c r="H22" s="41">
        <f>SUM(H11:H21)</f>
        <v>54.889519603999993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>
        <f>SUM(U11:U21)</f>
        <v>37108.579785333342</v>
      </c>
    </row>
    <row r="23" spans="1:21">
      <c r="A23" s="138"/>
      <c r="B23" s="13" t="s">
        <v>27</v>
      </c>
      <c r="C23" s="27"/>
      <c r="D23" s="11"/>
      <c r="E23" s="32"/>
      <c r="F23" s="33"/>
      <c r="G23" s="33"/>
      <c r="H23" s="34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1" ht="25.5" customHeight="1">
      <c r="A24" s="138" t="s">
        <v>177</v>
      </c>
      <c r="B24" s="11" t="s">
        <v>159</v>
      </c>
      <c r="C24" s="27" t="s">
        <v>29</v>
      </c>
      <c r="D24" s="11" t="s">
        <v>28</v>
      </c>
      <c r="E24" s="33">
        <v>652.9</v>
      </c>
      <c r="F24" s="33">
        <f>SUM(E24*52/1000)</f>
        <v>33.950799999999994</v>
      </c>
      <c r="G24" s="33">
        <v>166.65</v>
      </c>
      <c r="H24" s="34">
        <f t="shared" ref="H24:H31" si="3">SUM(F24*G24/1000)</f>
        <v>5.6579008199999992</v>
      </c>
      <c r="I24" s="35">
        <v>0</v>
      </c>
      <c r="J24" s="35">
        <v>0</v>
      </c>
      <c r="K24" s="35">
        <v>0</v>
      </c>
      <c r="L24" s="35">
        <v>0</v>
      </c>
      <c r="M24" s="35">
        <f>F24/6*G24</f>
        <v>942.9834699999999</v>
      </c>
      <c r="N24" s="35">
        <f>F24/6*G24</f>
        <v>942.9834699999999</v>
      </c>
      <c r="O24" s="35">
        <f>F24/6*G24</f>
        <v>942.9834699999999</v>
      </c>
      <c r="P24" s="35">
        <f>F24/6*G24</f>
        <v>942.9834699999999</v>
      </c>
      <c r="Q24" s="35">
        <f>F24/6*G24</f>
        <v>942.9834699999999</v>
      </c>
      <c r="R24" s="35">
        <f>F24/6*G24</f>
        <v>942.9834699999999</v>
      </c>
      <c r="S24" s="35">
        <v>0</v>
      </c>
      <c r="T24" s="35">
        <v>0</v>
      </c>
      <c r="U24" s="35">
        <f t="shared" ref="U24:U31" si="4">SUM(I24:P24)</f>
        <v>3771.9338799999996</v>
      </c>
    </row>
    <row r="25" spans="1:21" ht="38.25" customHeight="1">
      <c r="A25" s="138" t="s">
        <v>178</v>
      </c>
      <c r="B25" s="11" t="s">
        <v>160</v>
      </c>
      <c r="C25" s="27" t="s">
        <v>29</v>
      </c>
      <c r="D25" s="11" t="s">
        <v>30</v>
      </c>
      <c r="E25" s="33">
        <v>63.5</v>
      </c>
      <c r="F25" s="33">
        <f>SUM(E25*78/1000)</f>
        <v>4.9530000000000003</v>
      </c>
      <c r="G25" s="33">
        <v>276.48</v>
      </c>
      <c r="H25" s="34">
        <f t="shared" si="3"/>
        <v>1.3694054400000002</v>
      </c>
      <c r="I25" s="35">
        <v>0</v>
      </c>
      <c r="J25" s="35">
        <v>0</v>
      </c>
      <c r="K25" s="35">
        <v>0</v>
      </c>
      <c r="L25" s="35">
        <v>0</v>
      </c>
      <c r="M25" s="35">
        <f>F25/6*G25</f>
        <v>228.23424000000003</v>
      </c>
      <c r="N25" s="35">
        <f>F25/6*G25</f>
        <v>228.23424000000003</v>
      </c>
      <c r="O25" s="35">
        <f>F25/6*G25</f>
        <v>228.23424000000003</v>
      </c>
      <c r="P25" s="35">
        <f>F25/6*G25</f>
        <v>228.23424000000003</v>
      </c>
      <c r="Q25" s="35">
        <f>F25/6*G25</f>
        <v>228.23424000000003</v>
      </c>
      <c r="R25" s="35">
        <f>F25/6*G25</f>
        <v>228.23424000000003</v>
      </c>
      <c r="S25" s="35">
        <v>0</v>
      </c>
      <c r="T25" s="35">
        <v>0</v>
      </c>
      <c r="U25" s="35">
        <f t="shared" si="4"/>
        <v>912.93696000000011</v>
      </c>
    </row>
    <row r="26" spans="1:21">
      <c r="A26" s="138" t="s">
        <v>179</v>
      </c>
      <c r="B26" s="11" t="s">
        <v>31</v>
      </c>
      <c r="C26" s="27" t="s">
        <v>29</v>
      </c>
      <c r="D26" s="11" t="s">
        <v>32</v>
      </c>
      <c r="E26" s="33">
        <v>652.9</v>
      </c>
      <c r="F26" s="33">
        <f>SUM(E26/1000)</f>
        <v>0.65289999999999992</v>
      </c>
      <c r="G26" s="33">
        <v>3228.73</v>
      </c>
      <c r="H26" s="34">
        <f t="shared" si="3"/>
        <v>2.108037817</v>
      </c>
      <c r="I26" s="35">
        <v>0</v>
      </c>
      <c r="J26" s="35">
        <v>0</v>
      </c>
      <c r="K26" s="35">
        <v>0</v>
      </c>
      <c r="L26" s="35">
        <v>0</v>
      </c>
      <c r="M26" s="35">
        <f>F26*G26</f>
        <v>2108.0378169999999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f t="shared" si="4"/>
        <v>2108.0378169999999</v>
      </c>
    </row>
    <row r="27" spans="1:21">
      <c r="A27" s="138" t="s">
        <v>180</v>
      </c>
      <c r="B27" s="11" t="s">
        <v>33</v>
      </c>
      <c r="C27" s="27" t="s">
        <v>34</v>
      </c>
      <c r="D27" s="11" t="s">
        <v>35</v>
      </c>
      <c r="E27" s="44">
        <v>0.33333333333333331</v>
      </c>
      <c r="F27" s="33">
        <f>155/3</f>
        <v>51.666666666666664</v>
      </c>
      <c r="G27" s="33">
        <v>60.6</v>
      </c>
      <c r="H27" s="34">
        <f>SUM(G27*155/3/1000)</f>
        <v>3.1309999999999998</v>
      </c>
      <c r="I27" s="35">
        <v>0</v>
      </c>
      <c r="J27" s="35">
        <v>0</v>
      </c>
      <c r="K27" s="35">
        <v>0</v>
      </c>
      <c r="L27" s="35">
        <v>0</v>
      </c>
      <c r="M27" s="35">
        <f>F27/6*G27</f>
        <v>521.83333333333337</v>
      </c>
      <c r="N27" s="35">
        <f>F27/6*G27</f>
        <v>521.83333333333337</v>
      </c>
      <c r="O27" s="35">
        <f>F27/6*G27</f>
        <v>521.83333333333337</v>
      </c>
      <c r="P27" s="35">
        <f>F27/6*G27</f>
        <v>521.83333333333337</v>
      </c>
      <c r="Q27" s="35">
        <f>F27/6*G27</f>
        <v>521.83333333333337</v>
      </c>
      <c r="R27" s="35">
        <f>F27/6*G27</f>
        <v>521.83333333333337</v>
      </c>
      <c r="S27" s="35">
        <v>0</v>
      </c>
      <c r="T27" s="35">
        <v>0</v>
      </c>
      <c r="U27" s="35">
        <f t="shared" si="4"/>
        <v>2087.3333333333335</v>
      </c>
    </row>
    <row r="28" spans="1:21" ht="12.75" customHeight="1">
      <c r="A28" s="138" t="s">
        <v>181</v>
      </c>
      <c r="B28" s="11" t="s">
        <v>36</v>
      </c>
      <c r="C28" s="27" t="s">
        <v>37</v>
      </c>
      <c r="D28" s="11" t="s">
        <v>38</v>
      </c>
      <c r="E28" s="45">
        <v>0.1</v>
      </c>
      <c r="F28" s="33">
        <f>SUM(E28*365)</f>
        <v>36.5</v>
      </c>
      <c r="G28" s="33">
        <v>157.18</v>
      </c>
      <c r="H28" s="34">
        <f t="shared" si="3"/>
        <v>5.737070000000001</v>
      </c>
      <c r="I28" s="35">
        <f>F28/12*G28</f>
        <v>478.08916666666664</v>
      </c>
      <c r="J28" s="35">
        <f>F28/12*G28</f>
        <v>478.08916666666664</v>
      </c>
      <c r="K28" s="35">
        <f>F28/12*G28</f>
        <v>478.08916666666664</v>
      </c>
      <c r="L28" s="35">
        <f>F28/12*G28</f>
        <v>478.08916666666664</v>
      </c>
      <c r="M28" s="35">
        <f>F28/12*G28</f>
        <v>478.08916666666664</v>
      </c>
      <c r="N28" s="35">
        <f>F28/12*G28</f>
        <v>478.08916666666664</v>
      </c>
      <c r="O28" s="35">
        <f>F28/12*G28</f>
        <v>478.08916666666664</v>
      </c>
      <c r="P28" s="35">
        <f>F28/12*G28</f>
        <v>478.08916666666664</v>
      </c>
      <c r="Q28" s="35">
        <f>F28/12*G28</f>
        <v>478.08916666666664</v>
      </c>
      <c r="R28" s="35">
        <f>F28/12*G28</f>
        <v>478.08916666666664</v>
      </c>
      <c r="S28" s="35">
        <f>F28/12*G28</f>
        <v>478.08916666666664</v>
      </c>
      <c r="T28" s="35">
        <f>F28/12*G28</f>
        <v>478.08916666666664</v>
      </c>
      <c r="U28" s="35">
        <f t="shared" si="4"/>
        <v>3824.7133333333331</v>
      </c>
    </row>
    <row r="29" spans="1:21" ht="12.75" customHeight="1">
      <c r="A29" s="138" t="s">
        <v>182</v>
      </c>
      <c r="B29" s="11" t="s">
        <v>148</v>
      </c>
      <c r="C29" s="27" t="s">
        <v>37</v>
      </c>
      <c r="D29" s="11" t="s">
        <v>39</v>
      </c>
      <c r="E29" s="32"/>
      <c r="F29" s="33">
        <v>2</v>
      </c>
      <c r="G29" s="33">
        <v>204.52</v>
      </c>
      <c r="H29" s="34">
        <f t="shared" si="3"/>
        <v>0.40904000000000001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f t="shared" si="4"/>
        <v>0</v>
      </c>
    </row>
    <row r="30" spans="1:21" ht="12.75" customHeight="1">
      <c r="A30" s="138" t="s">
        <v>113</v>
      </c>
      <c r="B30" s="11" t="s">
        <v>40</v>
      </c>
      <c r="C30" s="27" t="s">
        <v>41</v>
      </c>
      <c r="D30" s="11" t="s">
        <v>39</v>
      </c>
      <c r="E30" s="32"/>
      <c r="F30" s="33">
        <v>1</v>
      </c>
      <c r="G30" s="33">
        <v>1214.74</v>
      </c>
      <c r="H30" s="34">
        <f t="shared" si="3"/>
        <v>1.2147399999999999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f t="shared" si="4"/>
        <v>0</v>
      </c>
    </row>
    <row r="31" spans="1:21">
      <c r="A31" s="138"/>
      <c r="B31" s="46" t="s">
        <v>42</v>
      </c>
      <c r="C31" s="27" t="s">
        <v>43</v>
      </c>
      <c r="D31" s="46" t="s">
        <v>44</v>
      </c>
      <c r="E31" s="32">
        <v>2062.5</v>
      </c>
      <c r="F31" s="33">
        <f>SUM(E31*12)</f>
        <v>24750</v>
      </c>
      <c r="G31" s="33">
        <v>5.53</v>
      </c>
      <c r="H31" s="34">
        <f t="shared" si="3"/>
        <v>136.86750000000001</v>
      </c>
      <c r="I31" s="35">
        <f>F31/12*G31</f>
        <v>11405.625</v>
      </c>
      <c r="J31" s="35">
        <f>F31/12*G31</f>
        <v>11405.625</v>
      </c>
      <c r="K31" s="35">
        <f>F31/12*G31</f>
        <v>11405.625</v>
      </c>
      <c r="L31" s="35">
        <f>F31/12*G31</f>
        <v>11405.625</v>
      </c>
      <c r="M31" s="35">
        <f>F31/12*G31</f>
        <v>11405.625</v>
      </c>
      <c r="N31" s="35">
        <f>F31/12*G31</f>
        <v>11405.625</v>
      </c>
      <c r="O31" s="35">
        <f>F31/12*G31</f>
        <v>11405.625</v>
      </c>
      <c r="P31" s="35">
        <f>F31/12*G31</f>
        <v>11405.625</v>
      </c>
      <c r="Q31" s="35">
        <f>F31/12*G31</f>
        <v>11405.625</v>
      </c>
      <c r="R31" s="35">
        <f>F31/12*G31</f>
        <v>11405.625</v>
      </c>
      <c r="S31" s="35">
        <f>F31/12*G31</f>
        <v>11405.625</v>
      </c>
      <c r="T31" s="35">
        <f>F31/12*G31</f>
        <v>11405.625</v>
      </c>
      <c r="U31" s="35">
        <f t="shared" si="4"/>
        <v>91245</v>
      </c>
    </row>
    <row r="32" spans="1:21" s="20" customFormat="1">
      <c r="A32" s="139"/>
      <c r="B32" s="21" t="s">
        <v>26</v>
      </c>
      <c r="C32" s="38"/>
      <c r="D32" s="21"/>
      <c r="E32" s="39"/>
      <c r="F32" s="40"/>
      <c r="G32" s="40"/>
      <c r="H32" s="47">
        <f>SUM(H24:H31)</f>
        <v>156.49469407700002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>
        <f>SUM(U24:U31)</f>
        <v>103949.95532366667</v>
      </c>
    </row>
    <row r="33" spans="1:21">
      <c r="A33" s="138"/>
      <c r="B33" s="13" t="s">
        <v>45</v>
      </c>
      <c r="C33" s="27"/>
      <c r="D33" s="11"/>
      <c r="E33" s="32"/>
      <c r="F33" s="33"/>
      <c r="G33" s="33"/>
      <c r="H33" s="34" t="s">
        <v>44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</row>
    <row r="34" spans="1:21" ht="12.75" customHeight="1">
      <c r="A34" s="138" t="s">
        <v>113</v>
      </c>
      <c r="B34" s="14" t="s">
        <v>46</v>
      </c>
      <c r="C34" s="27" t="s">
        <v>41</v>
      </c>
      <c r="D34" s="11"/>
      <c r="E34" s="32"/>
      <c r="F34" s="33">
        <v>10</v>
      </c>
      <c r="G34" s="33">
        <v>1632.6</v>
      </c>
      <c r="H34" s="34">
        <f t="shared" ref="H34:H41" si="5">SUM(F34*G34/1000)</f>
        <v>16.326000000000001</v>
      </c>
      <c r="I34" s="35">
        <f>F34/6*G34</f>
        <v>2721</v>
      </c>
      <c r="J34" s="35">
        <f>F34/6*G34</f>
        <v>2721</v>
      </c>
      <c r="K34" s="35">
        <f>F34/6*G34</f>
        <v>2721</v>
      </c>
      <c r="L34" s="35">
        <f>F34/6*G34</f>
        <v>2721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f>F34/6*G34</f>
        <v>2721</v>
      </c>
      <c r="T34" s="35">
        <f>F34/6*G34</f>
        <v>2721</v>
      </c>
      <c r="U34" s="35">
        <f t="shared" ref="U34:U41" si="6">SUM(I34:P34)</f>
        <v>10884</v>
      </c>
    </row>
    <row r="35" spans="1:21" s="1" customFormat="1">
      <c r="A35" s="140" t="s">
        <v>183</v>
      </c>
      <c r="B35" s="14" t="s">
        <v>149</v>
      </c>
      <c r="C35" s="48" t="s">
        <v>47</v>
      </c>
      <c r="D35" s="14" t="s">
        <v>103</v>
      </c>
      <c r="E35" s="49">
        <v>172.55</v>
      </c>
      <c r="F35" s="49">
        <f>SUM(E35*12/1000)</f>
        <v>2.0706000000000002</v>
      </c>
      <c r="G35" s="49">
        <v>2247.8000000000002</v>
      </c>
      <c r="H35" s="34">
        <f t="shared" si="5"/>
        <v>4.6542946800000005</v>
      </c>
      <c r="I35" s="50">
        <f>F35/6*G35</f>
        <v>775.71578000000011</v>
      </c>
      <c r="J35" s="50">
        <f>F35/6*G35</f>
        <v>775.71578000000011</v>
      </c>
      <c r="K35" s="50">
        <f>F35/6*G35</f>
        <v>775.71578000000011</v>
      </c>
      <c r="L35" s="50">
        <f>F35/6*G35</f>
        <v>775.71578000000011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f>F35/6*G35</f>
        <v>775.71578000000011</v>
      </c>
      <c r="T35" s="50">
        <f>F35/6*G35</f>
        <v>775.71578000000011</v>
      </c>
      <c r="U35" s="35">
        <f t="shared" si="6"/>
        <v>3102.8631200000004</v>
      </c>
    </row>
    <row r="36" spans="1:21" ht="25.5">
      <c r="A36" s="140" t="s">
        <v>183</v>
      </c>
      <c r="B36" s="14" t="s">
        <v>150</v>
      </c>
      <c r="C36" s="48" t="s">
        <v>47</v>
      </c>
      <c r="D36" s="11" t="s">
        <v>105</v>
      </c>
      <c r="E36" s="32">
        <v>63.5</v>
      </c>
      <c r="F36" s="49">
        <v>1.91</v>
      </c>
      <c r="G36" s="33">
        <v>2247.8000000000002</v>
      </c>
      <c r="H36" s="34">
        <f>G36*F36/1000</f>
        <v>4.2932980000000001</v>
      </c>
      <c r="I36" s="35">
        <f>F36/6*G36</f>
        <v>715.54966666666667</v>
      </c>
      <c r="J36" s="35">
        <f>F36/6*G36</f>
        <v>715.54966666666667</v>
      </c>
      <c r="K36" s="35">
        <f>F36/6*G36</f>
        <v>715.54966666666667</v>
      </c>
      <c r="L36" s="35">
        <f>F36/6*G36</f>
        <v>715.54966666666667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f>F36/6*G36</f>
        <v>715.54966666666667</v>
      </c>
      <c r="T36" s="35">
        <f>F36/6*G36</f>
        <v>715.54966666666667</v>
      </c>
      <c r="U36" s="35">
        <f t="shared" si="6"/>
        <v>2862.1986666666667</v>
      </c>
    </row>
    <row r="37" spans="1:21" ht="12.75" customHeight="1">
      <c r="A37" s="138" t="s">
        <v>113</v>
      </c>
      <c r="B37" s="11" t="s">
        <v>106</v>
      </c>
      <c r="C37" s="27" t="s">
        <v>68</v>
      </c>
      <c r="D37" s="11" t="s">
        <v>39</v>
      </c>
      <c r="E37" s="32"/>
      <c r="F37" s="49">
        <v>75</v>
      </c>
      <c r="G37" s="33">
        <v>213.2</v>
      </c>
      <c r="H37" s="34">
        <f>G37*F37/1000</f>
        <v>15.99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f t="shared" si="6"/>
        <v>0</v>
      </c>
    </row>
    <row r="38" spans="1:21" ht="25.5" customHeight="1">
      <c r="A38" s="138" t="s">
        <v>184</v>
      </c>
      <c r="B38" s="11" t="s">
        <v>151</v>
      </c>
      <c r="C38" s="27" t="s">
        <v>47</v>
      </c>
      <c r="D38" s="11" t="s">
        <v>48</v>
      </c>
      <c r="E38" s="33">
        <v>63.5</v>
      </c>
      <c r="F38" s="49">
        <f>SUM(E38*155/1000)</f>
        <v>9.8424999999999994</v>
      </c>
      <c r="G38" s="33">
        <v>374.95</v>
      </c>
      <c r="H38" s="34">
        <f t="shared" si="5"/>
        <v>3.6904453749999999</v>
      </c>
      <c r="I38" s="35">
        <f>F38/6*G38</f>
        <v>615.07422916666667</v>
      </c>
      <c r="J38" s="35">
        <f>F38/6*G38</f>
        <v>615.07422916666667</v>
      </c>
      <c r="K38" s="35">
        <f>F38/6*G38</f>
        <v>615.07422916666667</v>
      </c>
      <c r="L38" s="35">
        <f>F38/6*G38</f>
        <v>615.07422916666667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f>F38/6*G38</f>
        <v>615.07422916666667</v>
      </c>
      <c r="T38" s="35">
        <f>F38/6*G38</f>
        <v>615.07422916666667</v>
      </c>
      <c r="U38" s="35">
        <f t="shared" si="6"/>
        <v>2460.2969166666667</v>
      </c>
    </row>
    <row r="39" spans="1:21" ht="51" customHeight="1">
      <c r="A39" s="138" t="s">
        <v>185</v>
      </c>
      <c r="B39" s="11" t="s">
        <v>152</v>
      </c>
      <c r="C39" s="27" t="s">
        <v>29</v>
      </c>
      <c r="D39" s="11" t="s">
        <v>104</v>
      </c>
      <c r="E39" s="33">
        <v>63.5</v>
      </c>
      <c r="F39" s="49">
        <f>SUM(E39*24/1000)</f>
        <v>1.524</v>
      </c>
      <c r="G39" s="33">
        <v>6203.7</v>
      </c>
      <c r="H39" s="34">
        <f t="shared" si="5"/>
        <v>9.4544388000000001</v>
      </c>
      <c r="I39" s="35">
        <f>F39/6*G39</f>
        <v>1575.7398000000001</v>
      </c>
      <c r="J39" s="35">
        <f>F39/6*G39</f>
        <v>1575.7398000000001</v>
      </c>
      <c r="K39" s="35">
        <f>F39/6*G39</f>
        <v>1575.7398000000001</v>
      </c>
      <c r="L39" s="35">
        <f>F39/6*G39</f>
        <v>1575.7398000000001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f>F39/6*G39</f>
        <v>1575.7398000000001</v>
      </c>
      <c r="T39" s="35">
        <f>F39/6*G39</f>
        <v>1575.7398000000001</v>
      </c>
      <c r="U39" s="35">
        <f t="shared" si="6"/>
        <v>6302.9592000000002</v>
      </c>
    </row>
    <row r="40" spans="1:21" ht="12.75" customHeight="1">
      <c r="A40" s="138" t="s">
        <v>186</v>
      </c>
      <c r="B40" s="11" t="s">
        <v>153</v>
      </c>
      <c r="C40" s="27" t="s">
        <v>29</v>
      </c>
      <c r="D40" s="11" t="s">
        <v>49</v>
      </c>
      <c r="E40" s="33">
        <v>63.5</v>
      </c>
      <c r="F40" s="49">
        <f>SUM(E40*45/1000)</f>
        <v>2.8574999999999999</v>
      </c>
      <c r="G40" s="33">
        <v>458.28</v>
      </c>
      <c r="H40" s="34">
        <f t="shared" si="5"/>
        <v>1.3095350999999997</v>
      </c>
      <c r="I40" s="35">
        <f>F40/6*G40</f>
        <v>218.25584999999998</v>
      </c>
      <c r="J40" s="35">
        <f>F40/6*G40</f>
        <v>218.25584999999998</v>
      </c>
      <c r="K40" s="35">
        <f>F40/6*G40</f>
        <v>218.25584999999998</v>
      </c>
      <c r="L40" s="35">
        <f>F40/6*G40</f>
        <v>218.25584999999998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f>F40/6*G40</f>
        <v>218.25584999999998</v>
      </c>
      <c r="T40" s="35">
        <f>F40/6*G40</f>
        <v>218.25584999999998</v>
      </c>
      <c r="U40" s="35">
        <f t="shared" si="6"/>
        <v>873.02339999999992</v>
      </c>
    </row>
    <row r="41" spans="1:21" s="2" customFormat="1">
      <c r="A41" s="140"/>
      <c r="B41" s="14" t="s">
        <v>154</v>
      </c>
      <c r="C41" s="48" t="s">
        <v>37</v>
      </c>
      <c r="D41" s="14"/>
      <c r="E41" s="45"/>
      <c r="F41" s="49">
        <v>0.9</v>
      </c>
      <c r="G41" s="49">
        <v>853.06</v>
      </c>
      <c r="H41" s="34">
        <f t="shared" si="5"/>
        <v>0.76775400000000005</v>
      </c>
      <c r="I41" s="50">
        <f>F41/6*G41</f>
        <v>127.95899999999999</v>
      </c>
      <c r="J41" s="50">
        <f>F41/6*G41</f>
        <v>127.95899999999999</v>
      </c>
      <c r="K41" s="50">
        <f>F41/6*G41</f>
        <v>127.95899999999999</v>
      </c>
      <c r="L41" s="50">
        <f>F41/6*G41</f>
        <v>127.95899999999999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f>F41/6*G41</f>
        <v>127.95899999999999</v>
      </c>
      <c r="T41" s="50">
        <f>F41/6*G41</f>
        <v>127.95899999999999</v>
      </c>
      <c r="U41" s="35">
        <f t="shared" si="6"/>
        <v>511.83599999999996</v>
      </c>
    </row>
    <row r="42" spans="1:21" s="20" customFormat="1">
      <c r="A42" s="139"/>
      <c r="B42" s="21" t="s">
        <v>26</v>
      </c>
      <c r="C42" s="38"/>
      <c r="D42" s="21"/>
      <c r="E42" s="39"/>
      <c r="F42" s="40" t="s">
        <v>44</v>
      </c>
      <c r="G42" s="40"/>
      <c r="H42" s="47">
        <f>SUM(H34:H41)</f>
        <v>56.485765955000005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>
        <f>SUM(U34:U41)</f>
        <v>26997.17730333333</v>
      </c>
    </row>
    <row r="43" spans="1:21">
      <c r="A43" s="138"/>
      <c r="B43" s="15" t="s">
        <v>50</v>
      </c>
      <c r="C43" s="27"/>
      <c r="D43" s="11"/>
      <c r="E43" s="32"/>
      <c r="F43" s="33"/>
      <c r="G43" s="33"/>
      <c r="H43" s="34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>
      <c r="A44" s="138" t="s">
        <v>187</v>
      </c>
      <c r="B44" s="11" t="s">
        <v>196</v>
      </c>
      <c r="C44" s="27" t="s">
        <v>29</v>
      </c>
      <c r="D44" s="11" t="s">
        <v>51</v>
      </c>
      <c r="E44" s="32">
        <v>881.3</v>
      </c>
      <c r="F44" s="33">
        <f>SUM(E44*2/1000)</f>
        <v>1.7625999999999999</v>
      </c>
      <c r="G44" s="51">
        <v>865.61</v>
      </c>
      <c r="H44" s="34">
        <f t="shared" ref="H44:H53" si="7">SUM(F44*G44/1000)</f>
        <v>1.5257241859999999</v>
      </c>
      <c r="I44" s="35">
        <v>0</v>
      </c>
      <c r="J44" s="35">
        <v>0</v>
      </c>
      <c r="K44" s="35">
        <v>0</v>
      </c>
      <c r="L44" s="35">
        <v>0</v>
      </c>
      <c r="M44" s="35">
        <f>F44/2*G44</f>
        <v>762.86209299999996</v>
      </c>
      <c r="N44" s="35">
        <v>0</v>
      </c>
      <c r="O44" s="35">
        <v>0</v>
      </c>
      <c r="P44" s="35">
        <v>0</v>
      </c>
      <c r="Q44" s="35">
        <f>F44/2*G44</f>
        <v>762.86209299999996</v>
      </c>
      <c r="R44" s="35">
        <v>0</v>
      </c>
      <c r="S44" s="35">
        <v>0</v>
      </c>
      <c r="T44" s="35">
        <v>0</v>
      </c>
      <c r="U44" s="35">
        <f t="shared" ref="U44:U53" si="8">SUM(I44:P44)</f>
        <v>762.86209299999996</v>
      </c>
    </row>
    <row r="45" spans="1:21">
      <c r="A45" s="138" t="s">
        <v>188</v>
      </c>
      <c r="B45" s="11" t="s">
        <v>52</v>
      </c>
      <c r="C45" s="27" t="s">
        <v>29</v>
      </c>
      <c r="D45" s="11" t="s">
        <v>51</v>
      </c>
      <c r="E45" s="32">
        <v>48</v>
      </c>
      <c r="F45" s="33">
        <f>SUM(E45*2/1000)</f>
        <v>9.6000000000000002E-2</v>
      </c>
      <c r="G45" s="51">
        <v>619.46</v>
      </c>
      <c r="H45" s="34">
        <f t="shared" si="7"/>
        <v>5.9468160000000006E-2</v>
      </c>
      <c r="I45" s="35">
        <v>0</v>
      </c>
      <c r="J45" s="35">
        <v>0</v>
      </c>
      <c r="K45" s="35">
        <v>0</v>
      </c>
      <c r="L45" s="35">
        <v>0</v>
      </c>
      <c r="M45" s="35">
        <f t="shared" ref="M45:M48" si="9">F45/2*G45</f>
        <v>29.734080000000002</v>
      </c>
      <c r="N45" s="35">
        <v>0</v>
      </c>
      <c r="O45" s="35">
        <v>0</v>
      </c>
      <c r="P45" s="35">
        <v>0</v>
      </c>
      <c r="Q45" s="35">
        <f>F45/2*G45</f>
        <v>29.734080000000002</v>
      </c>
      <c r="R45" s="35">
        <v>0</v>
      </c>
      <c r="S45" s="35">
        <v>0</v>
      </c>
      <c r="T45" s="35">
        <v>0</v>
      </c>
      <c r="U45" s="35">
        <f t="shared" si="8"/>
        <v>29.734080000000002</v>
      </c>
    </row>
    <row r="46" spans="1:21" ht="12.75" customHeight="1">
      <c r="A46" s="138" t="s">
        <v>189</v>
      </c>
      <c r="B46" s="11" t="s">
        <v>53</v>
      </c>
      <c r="C46" s="27" t="s">
        <v>29</v>
      </c>
      <c r="D46" s="11" t="s">
        <v>51</v>
      </c>
      <c r="E46" s="32">
        <v>939.64</v>
      </c>
      <c r="F46" s="33">
        <f>SUM(E46*2/1000)</f>
        <v>1.8792800000000001</v>
      </c>
      <c r="G46" s="51">
        <v>619.46</v>
      </c>
      <c r="H46" s="34">
        <f t="shared" si="7"/>
        <v>1.1641387888000001</v>
      </c>
      <c r="I46" s="35">
        <v>0</v>
      </c>
      <c r="J46" s="35">
        <v>0</v>
      </c>
      <c r="K46" s="35">
        <v>0</v>
      </c>
      <c r="L46" s="35">
        <v>0</v>
      </c>
      <c r="M46" s="35">
        <f t="shared" si="9"/>
        <v>582.06939440000008</v>
      </c>
      <c r="N46" s="35">
        <v>0</v>
      </c>
      <c r="O46" s="35">
        <v>0</v>
      </c>
      <c r="P46" s="35">
        <v>0</v>
      </c>
      <c r="Q46" s="35">
        <f>F46/2*G46</f>
        <v>582.06939440000008</v>
      </c>
      <c r="R46" s="35">
        <v>0</v>
      </c>
      <c r="S46" s="35">
        <v>0</v>
      </c>
      <c r="T46" s="35">
        <v>0</v>
      </c>
      <c r="U46" s="35">
        <f t="shared" si="8"/>
        <v>582.06939440000008</v>
      </c>
    </row>
    <row r="47" spans="1:21">
      <c r="A47" s="138" t="s">
        <v>190</v>
      </c>
      <c r="B47" s="11" t="s">
        <v>54</v>
      </c>
      <c r="C47" s="27" t="s">
        <v>29</v>
      </c>
      <c r="D47" s="11" t="s">
        <v>51</v>
      </c>
      <c r="E47" s="32">
        <v>1247.3699999999999</v>
      </c>
      <c r="F47" s="33">
        <f>SUM(E47*2/1000)</f>
        <v>2.4947399999999997</v>
      </c>
      <c r="G47" s="51">
        <v>648.64</v>
      </c>
      <c r="H47" s="34">
        <f t="shared" si="7"/>
        <v>1.6181881535999998</v>
      </c>
      <c r="I47" s="35">
        <v>0</v>
      </c>
      <c r="J47" s="35">
        <v>0</v>
      </c>
      <c r="K47" s="35">
        <v>0</v>
      </c>
      <c r="L47" s="35">
        <v>0</v>
      </c>
      <c r="M47" s="35">
        <f t="shared" si="9"/>
        <v>809.09407679999993</v>
      </c>
      <c r="N47" s="35">
        <v>0</v>
      </c>
      <c r="O47" s="35">
        <v>0</v>
      </c>
      <c r="P47" s="35">
        <v>0</v>
      </c>
      <c r="Q47" s="35">
        <f>F47/2*G47</f>
        <v>809.09407679999993</v>
      </c>
      <c r="R47" s="35">
        <v>0</v>
      </c>
      <c r="S47" s="35">
        <v>0</v>
      </c>
      <c r="T47" s="35">
        <v>0</v>
      </c>
      <c r="U47" s="35">
        <f t="shared" si="8"/>
        <v>809.09407679999993</v>
      </c>
    </row>
    <row r="48" spans="1:21">
      <c r="A48" s="138" t="s">
        <v>191</v>
      </c>
      <c r="B48" s="11" t="s">
        <v>111</v>
      </c>
      <c r="C48" s="27" t="s">
        <v>112</v>
      </c>
      <c r="D48" s="11" t="s">
        <v>51</v>
      </c>
      <c r="E48" s="32">
        <v>65.03</v>
      </c>
      <c r="F48" s="33">
        <f>SUM(E48*2/100)</f>
        <v>1.3006</v>
      </c>
      <c r="G48" s="51">
        <v>77.84</v>
      </c>
      <c r="H48" s="34">
        <f t="shared" si="7"/>
        <v>0.101238704</v>
      </c>
      <c r="I48" s="35">
        <v>0</v>
      </c>
      <c r="J48" s="35">
        <v>0</v>
      </c>
      <c r="K48" s="35">
        <v>0</v>
      </c>
      <c r="L48" s="35">
        <v>0</v>
      </c>
      <c r="M48" s="35">
        <f t="shared" si="9"/>
        <v>50.619351999999999</v>
      </c>
      <c r="N48" s="35">
        <v>0</v>
      </c>
      <c r="O48" s="35">
        <v>0</v>
      </c>
      <c r="P48" s="35">
        <v>0</v>
      </c>
      <c r="Q48" s="35">
        <f>F48/2*G48</f>
        <v>50.619351999999999</v>
      </c>
      <c r="R48" s="35">
        <v>0</v>
      </c>
      <c r="S48" s="35">
        <v>0</v>
      </c>
      <c r="T48" s="35">
        <v>0</v>
      </c>
      <c r="U48" s="35">
        <f t="shared" si="8"/>
        <v>50.619351999999999</v>
      </c>
    </row>
    <row r="49" spans="1:21" ht="25.5">
      <c r="A49" s="138" t="s">
        <v>192</v>
      </c>
      <c r="B49" s="11" t="s">
        <v>55</v>
      </c>
      <c r="C49" s="27" t="s">
        <v>29</v>
      </c>
      <c r="D49" s="11" t="s">
        <v>56</v>
      </c>
      <c r="E49" s="32">
        <v>702</v>
      </c>
      <c r="F49" s="33">
        <f>SUM(E49*5/1000)</f>
        <v>3.51</v>
      </c>
      <c r="G49" s="51">
        <v>1297.28</v>
      </c>
      <c r="H49" s="34">
        <f t="shared" si="7"/>
        <v>4.5534527999999996</v>
      </c>
      <c r="I49" s="35">
        <f>F49/5*G49</f>
        <v>910.69055999999989</v>
      </c>
      <c r="J49" s="35">
        <f>F49/5*G49</f>
        <v>910.69055999999989</v>
      </c>
      <c r="K49" s="35">
        <v>0</v>
      </c>
      <c r="L49" s="35">
        <v>0</v>
      </c>
      <c r="M49" s="35">
        <f>F49/5*G49</f>
        <v>910.69055999999989</v>
      </c>
      <c r="N49" s="35">
        <v>0</v>
      </c>
      <c r="O49" s="35">
        <v>0</v>
      </c>
      <c r="P49" s="35">
        <v>0</v>
      </c>
      <c r="Q49" s="35">
        <f>F49/5*G49</f>
        <v>910.69055999999989</v>
      </c>
      <c r="R49" s="35">
        <f>0</f>
        <v>0</v>
      </c>
      <c r="S49" s="35">
        <v>0</v>
      </c>
      <c r="T49" s="35">
        <f>F49/5*G49</f>
        <v>910.69055999999989</v>
      </c>
      <c r="U49" s="35">
        <f t="shared" si="8"/>
        <v>2732.0716799999996</v>
      </c>
    </row>
    <row r="50" spans="1:21" ht="38.25" customHeight="1">
      <c r="A50" s="138" t="s">
        <v>193</v>
      </c>
      <c r="B50" s="11" t="s">
        <v>57</v>
      </c>
      <c r="C50" s="27" t="s">
        <v>29</v>
      </c>
      <c r="D50" s="11" t="s">
        <v>51</v>
      </c>
      <c r="E50" s="32">
        <v>702</v>
      </c>
      <c r="F50" s="33">
        <f>SUM(E50*2/1000)</f>
        <v>1.4039999999999999</v>
      </c>
      <c r="G50" s="51">
        <v>1297.28</v>
      </c>
      <c r="H50" s="34">
        <f t="shared" si="7"/>
        <v>1.8213811199999999</v>
      </c>
      <c r="I50" s="35">
        <v>0</v>
      </c>
      <c r="J50" s="35">
        <v>0</v>
      </c>
      <c r="K50" s="35">
        <v>0</v>
      </c>
      <c r="L50" s="35">
        <v>0</v>
      </c>
      <c r="M50" s="35">
        <f>F50/2*G50</f>
        <v>910.69055999999989</v>
      </c>
      <c r="N50" s="35">
        <v>0</v>
      </c>
      <c r="O50" s="35">
        <v>0</v>
      </c>
      <c r="P50" s="35">
        <v>0</v>
      </c>
      <c r="Q50" s="133">
        <f>F50/2*G50</f>
        <v>910.69055999999989</v>
      </c>
      <c r="R50" s="35">
        <v>0</v>
      </c>
      <c r="S50" s="35">
        <v>0</v>
      </c>
      <c r="T50" s="35">
        <v>0</v>
      </c>
      <c r="U50" s="35">
        <f t="shared" si="8"/>
        <v>910.69055999999989</v>
      </c>
    </row>
    <row r="51" spans="1:21" ht="25.5" customHeight="1">
      <c r="A51" s="138" t="s">
        <v>194</v>
      </c>
      <c r="B51" s="11" t="s">
        <v>58</v>
      </c>
      <c r="C51" s="27" t="s">
        <v>59</v>
      </c>
      <c r="D51" s="11" t="s">
        <v>51</v>
      </c>
      <c r="E51" s="32">
        <v>12</v>
      </c>
      <c r="F51" s="33">
        <f>SUM(E51*2/100)</f>
        <v>0.24</v>
      </c>
      <c r="G51" s="51">
        <v>2918.89</v>
      </c>
      <c r="H51" s="34">
        <f t="shared" si="7"/>
        <v>0.70053359999999998</v>
      </c>
      <c r="I51" s="35">
        <v>0</v>
      </c>
      <c r="J51" s="35">
        <v>0</v>
      </c>
      <c r="K51" s="35">
        <v>0</v>
      </c>
      <c r="L51" s="35">
        <v>0</v>
      </c>
      <c r="M51" s="35">
        <f>F51/2*G51</f>
        <v>350.26679999999999</v>
      </c>
      <c r="N51" s="35">
        <v>0</v>
      </c>
      <c r="O51" s="35">
        <v>0</v>
      </c>
      <c r="P51" s="35">
        <v>0</v>
      </c>
      <c r="Q51" s="133">
        <f>F51/2*G51</f>
        <v>350.26679999999999</v>
      </c>
      <c r="R51" s="35">
        <v>0</v>
      </c>
      <c r="S51" s="35">
        <v>0</v>
      </c>
      <c r="T51" s="35">
        <v>0</v>
      </c>
      <c r="U51" s="35">
        <f t="shared" si="8"/>
        <v>350.26679999999999</v>
      </c>
    </row>
    <row r="52" spans="1:21">
      <c r="A52" s="138" t="s">
        <v>195</v>
      </c>
      <c r="B52" s="11" t="s">
        <v>60</v>
      </c>
      <c r="C52" s="27" t="s">
        <v>61</v>
      </c>
      <c r="D52" s="11" t="s">
        <v>51</v>
      </c>
      <c r="E52" s="32">
        <v>1</v>
      </c>
      <c r="F52" s="33">
        <v>0.02</v>
      </c>
      <c r="G52" s="51">
        <v>6042.12</v>
      </c>
      <c r="H52" s="34">
        <f t="shared" si="7"/>
        <v>0.1208424</v>
      </c>
      <c r="I52" s="35">
        <v>0</v>
      </c>
      <c r="J52" s="35">
        <v>0</v>
      </c>
      <c r="K52" s="35">
        <v>0</v>
      </c>
      <c r="L52" s="35">
        <v>0</v>
      </c>
      <c r="M52" s="35">
        <f>F52/2*G52</f>
        <v>60.421199999999999</v>
      </c>
      <c r="N52" s="35">
        <v>0</v>
      </c>
      <c r="O52" s="35">
        <v>0</v>
      </c>
      <c r="P52" s="35">
        <v>0</v>
      </c>
      <c r="Q52" s="133">
        <f>F52/2*G52</f>
        <v>60.421199999999999</v>
      </c>
      <c r="R52" s="35">
        <v>0</v>
      </c>
      <c r="S52" s="35">
        <v>0</v>
      </c>
      <c r="T52" s="35">
        <v>0</v>
      </c>
      <c r="U52" s="35">
        <f t="shared" si="8"/>
        <v>60.421199999999999</v>
      </c>
    </row>
    <row r="53" spans="1:21" ht="13.5" customHeight="1">
      <c r="A53" s="138" t="s">
        <v>63</v>
      </c>
      <c r="B53" s="11" t="s">
        <v>64</v>
      </c>
      <c r="C53" s="27" t="s">
        <v>62</v>
      </c>
      <c r="D53" s="11" t="s">
        <v>101</v>
      </c>
      <c r="E53" s="32">
        <v>72</v>
      </c>
      <c r="F53" s="33">
        <f>SUM(E53)*3</f>
        <v>216</v>
      </c>
      <c r="G53" s="52">
        <v>70.209999999999994</v>
      </c>
      <c r="H53" s="34">
        <f t="shared" si="7"/>
        <v>15.165359999999998</v>
      </c>
      <c r="I53" s="35">
        <f>E53*G53</f>
        <v>5055.12</v>
      </c>
      <c r="J53" s="35">
        <v>0</v>
      </c>
      <c r="K53" s="35">
        <v>0</v>
      </c>
      <c r="L53" s="35">
        <f>E53*G53</f>
        <v>5055.12</v>
      </c>
      <c r="M53" s="35">
        <v>0</v>
      </c>
      <c r="N53" s="35">
        <v>0</v>
      </c>
      <c r="O53" s="35">
        <v>0</v>
      </c>
      <c r="P53" s="35">
        <f>E53*G53</f>
        <v>5055.12</v>
      </c>
      <c r="Q53" s="35">
        <v>0</v>
      </c>
      <c r="R53" s="35">
        <v>0</v>
      </c>
      <c r="S53" s="35">
        <v>0</v>
      </c>
      <c r="T53" s="35">
        <v>0</v>
      </c>
      <c r="U53" s="35">
        <f t="shared" si="8"/>
        <v>15165.36</v>
      </c>
    </row>
    <row r="54" spans="1:21" s="22" customFormat="1">
      <c r="A54" s="139"/>
      <c r="B54" s="21" t="s">
        <v>26</v>
      </c>
      <c r="C54" s="53"/>
      <c r="D54" s="21"/>
      <c r="E54" s="54"/>
      <c r="F54" s="55"/>
      <c r="G54" s="55"/>
      <c r="H54" s="47">
        <f>SUM(H44:H53)</f>
        <v>26.830327912399998</v>
      </c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>
        <f>SUM(U44:U53)</f>
        <v>21453.1892362</v>
      </c>
    </row>
    <row r="55" spans="1:21">
      <c r="A55" s="138"/>
      <c r="B55" s="13" t="s">
        <v>65</v>
      </c>
      <c r="C55" s="27"/>
      <c r="D55" s="11"/>
      <c r="E55" s="32"/>
      <c r="F55" s="33"/>
      <c r="G55" s="33"/>
      <c r="H55" s="34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1" ht="38.25" customHeight="1">
      <c r="A56" s="138" t="s">
        <v>197</v>
      </c>
      <c r="B56" s="11" t="s">
        <v>155</v>
      </c>
      <c r="C56" s="27" t="s">
        <v>13</v>
      </c>
      <c r="D56" s="11" t="s">
        <v>66</v>
      </c>
      <c r="E56" s="32">
        <v>106.13</v>
      </c>
      <c r="F56" s="33">
        <f>SUM(E56*6/100)</f>
        <v>6.3677999999999999</v>
      </c>
      <c r="G56" s="51">
        <v>1456.95</v>
      </c>
      <c r="H56" s="34">
        <f>SUM(F56*G56/1000)</f>
        <v>9.2775662100000016</v>
      </c>
      <c r="I56" s="35">
        <f>F56/6*G56</f>
        <v>1546.261035</v>
      </c>
      <c r="J56" s="35">
        <f>F56/6*G56</f>
        <v>1546.261035</v>
      </c>
      <c r="K56" s="35">
        <f>F56/6*G56</f>
        <v>1546.261035</v>
      </c>
      <c r="L56" s="35">
        <f>F56/6*G56</f>
        <v>1546.261035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f>F56/6*G56</f>
        <v>1546.261035</v>
      </c>
      <c r="T56" s="35">
        <f>F56/6*G56</f>
        <v>1546.261035</v>
      </c>
      <c r="U56" s="35">
        <f t="shared" ref="U56" si="10">SUM(I56:P56)</f>
        <v>6185.04414</v>
      </c>
    </row>
    <row r="57" spans="1:21">
      <c r="A57" s="138"/>
      <c r="B57" s="12" t="s">
        <v>67</v>
      </c>
      <c r="C57" s="27"/>
      <c r="D57" s="11"/>
      <c r="E57" s="32"/>
      <c r="F57" s="33"/>
      <c r="G57" s="57"/>
      <c r="H57" s="34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</row>
    <row r="58" spans="1:21">
      <c r="A58" s="138" t="s">
        <v>198</v>
      </c>
      <c r="B58" s="11" t="s">
        <v>102</v>
      </c>
      <c r="C58" s="27"/>
      <c r="D58" s="11" t="s">
        <v>32</v>
      </c>
      <c r="E58" s="32">
        <v>1036</v>
      </c>
      <c r="F58" s="34">
        <v>10.36</v>
      </c>
      <c r="G58" s="51">
        <v>848.37</v>
      </c>
      <c r="H58" s="58">
        <f>F58*G58/1000</f>
        <v>8.7891131999999992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f t="shared" ref="U58" si="11">SUM(I58:P58)</f>
        <v>0</v>
      </c>
    </row>
    <row r="59" spans="1:21">
      <c r="A59" s="141"/>
      <c r="B59" s="16" t="s">
        <v>69</v>
      </c>
      <c r="C59" s="59"/>
      <c r="D59" s="60"/>
      <c r="E59" s="61"/>
      <c r="F59" s="62"/>
      <c r="G59" s="62"/>
      <c r="H59" s="63" t="s">
        <v>44</v>
      </c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1:21" ht="12.75" customHeight="1">
      <c r="A60" s="160" t="s">
        <v>199</v>
      </c>
      <c r="B60" s="17" t="s">
        <v>70</v>
      </c>
      <c r="C60" s="64" t="s">
        <v>62</v>
      </c>
      <c r="D60" s="9" t="s">
        <v>39</v>
      </c>
      <c r="E60" s="65">
        <v>10</v>
      </c>
      <c r="F60" s="33">
        <v>10</v>
      </c>
      <c r="G60" s="51">
        <v>237.74</v>
      </c>
      <c r="H60" s="116">
        <f t="shared" ref="H60:H72" si="12">SUM(F60*G60/1000)</f>
        <v>2.3774000000000002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f>G60</f>
        <v>237.74</v>
      </c>
      <c r="Q60" s="35">
        <v>0</v>
      </c>
      <c r="R60" s="35">
        <v>0</v>
      </c>
      <c r="S60" s="35">
        <v>0</v>
      </c>
      <c r="T60" s="35">
        <v>0</v>
      </c>
      <c r="U60" s="35">
        <f t="shared" ref="U60:U77" si="13">SUM(I60:P60)</f>
        <v>237.74</v>
      </c>
    </row>
    <row r="61" spans="1:21" ht="12.75" customHeight="1">
      <c r="A61" s="160" t="s">
        <v>200</v>
      </c>
      <c r="B61" s="17" t="s">
        <v>71</v>
      </c>
      <c r="C61" s="64" t="s">
        <v>62</v>
      </c>
      <c r="D61" s="9" t="s">
        <v>39</v>
      </c>
      <c r="E61" s="65">
        <v>5</v>
      </c>
      <c r="F61" s="33">
        <v>5</v>
      </c>
      <c r="G61" s="51">
        <v>81.510000000000005</v>
      </c>
      <c r="H61" s="116">
        <f t="shared" si="12"/>
        <v>0.40755000000000002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f t="shared" si="13"/>
        <v>0</v>
      </c>
    </row>
    <row r="62" spans="1:21" s="2" customFormat="1">
      <c r="A62" s="161" t="s">
        <v>201</v>
      </c>
      <c r="B62" s="17" t="s">
        <v>72</v>
      </c>
      <c r="C62" s="66" t="s">
        <v>73</v>
      </c>
      <c r="D62" s="9" t="s">
        <v>32</v>
      </c>
      <c r="E62" s="32">
        <v>8607</v>
      </c>
      <c r="F62" s="52">
        <f>SUM(E62/100)</f>
        <v>86.07</v>
      </c>
      <c r="G62" s="51">
        <v>226.79</v>
      </c>
      <c r="H62" s="116">
        <f t="shared" si="12"/>
        <v>19.519815299999998</v>
      </c>
      <c r="I62" s="50">
        <v>0</v>
      </c>
      <c r="J62" s="50">
        <v>0</v>
      </c>
      <c r="K62" s="50">
        <v>0</v>
      </c>
      <c r="L62" s="50">
        <v>0</v>
      </c>
      <c r="M62" s="50">
        <f>F62*G62</f>
        <v>19519.815299999998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35">
        <f t="shared" si="13"/>
        <v>19519.815299999998</v>
      </c>
    </row>
    <row r="63" spans="1:21" ht="12.75" customHeight="1">
      <c r="A63" s="160" t="s">
        <v>202</v>
      </c>
      <c r="B63" s="17" t="s">
        <v>74</v>
      </c>
      <c r="C63" s="64" t="s">
        <v>75</v>
      </c>
      <c r="D63" s="9"/>
      <c r="E63" s="32">
        <v>8607</v>
      </c>
      <c r="F63" s="51">
        <f>SUM(E63/1000)</f>
        <v>8.6069999999999993</v>
      </c>
      <c r="G63" s="51">
        <v>176.61</v>
      </c>
      <c r="H63" s="116">
        <f t="shared" si="12"/>
        <v>1.5200822700000001</v>
      </c>
      <c r="I63" s="35">
        <v>0</v>
      </c>
      <c r="J63" s="35">
        <v>0</v>
      </c>
      <c r="K63" s="35">
        <v>0</v>
      </c>
      <c r="L63" s="35">
        <v>0</v>
      </c>
      <c r="M63" s="35">
        <f>F63*G63</f>
        <v>1520.0822700000001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f t="shared" si="13"/>
        <v>1520.0822700000001</v>
      </c>
    </row>
    <row r="64" spans="1:21">
      <c r="A64" s="160" t="s">
        <v>203</v>
      </c>
      <c r="B64" s="17" t="s">
        <v>76</v>
      </c>
      <c r="C64" s="64" t="s">
        <v>77</v>
      </c>
      <c r="D64" s="9" t="s">
        <v>32</v>
      </c>
      <c r="E64" s="32">
        <v>1370</v>
      </c>
      <c r="F64" s="51">
        <f>SUM(E64/100)</f>
        <v>13.7</v>
      </c>
      <c r="G64" s="51">
        <v>2217.7800000000002</v>
      </c>
      <c r="H64" s="116">
        <f t="shared" si="12"/>
        <v>30.383586000000005</v>
      </c>
      <c r="I64" s="35">
        <v>0</v>
      </c>
      <c r="J64" s="35">
        <v>0</v>
      </c>
      <c r="K64" s="35">
        <v>0</v>
      </c>
      <c r="L64" s="35">
        <v>0</v>
      </c>
      <c r="M64" s="35">
        <f>F64*G64</f>
        <v>30383.586000000003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f t="shared" si="13"/>
        <v>30383.586000000003</v>
      </c>
    </row>
    <row r="65" spans="1:21">
      <c r="A65" s="160"/>
      <c r="B65" s="18" t="s">
        <v>107</v>
      </c>
      <c r="C65" s="64" t="s">
        <v>37</v>
      </c>
      <c r="D65" s="9"/>
      <c r="E65" s="32">
        <v>7.8</v>
      </c>
      <c r="F65" s="51">
        <f>SUM(E65)</f>
        <v>7.8</v>
      </c>
      <c r="G65" s="51">
        <v>42.67</v>
      </c>
      <c r="H65" s="116">
        <f t="shared" si="12"/>
        <v>0.33282600000000001</v>
      </c>
      <c r="I65" s="35">
        <v>0</v>
      </c>
      <c r="J65" s="35">
        <v>0</v>
      </c>
      <c r="K65" s="35">
        <v>0</v>
      </c>
      <c r="L65" s="35">
        <v>0</v>
      </c>
      <c r="M65" s="35">
        <f>F65*G65</f>
        <v>332.82600000000002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f t="shared" si="13"/>
        <v>332.82600000000002</v>
      </c>
    </row>
    <row r="66" spans="1:21" ht="12.75" customHeight="1">
      <c r="A66" s="142"/>
      <c r="B66" s="18" t="s">
        <v>108</v>
      </c>
      <c r="C66" s="64" t="s">
        <v>37</v>
      </c>
      <c r="D66" s="9"/>
      <c r="E66" s="32">
        <v>7.8</v>
      </c>
      <c r="F66" s="51">
        <f>SUM(E66)</f>
        <v>7.8</v>
      </c>
      <c r="G66" s="51">
        <v>39.81</v>
      </c>
      <c r="H66" s="116">
        <f t="shared" si="12"/>
        <v>0.31051800000000002</v>
      </c>
      <c r="I66" s="35">
        <v>0</v>
      </c>
      <c r="J66" s="35">
        <v>0</v>
      </c>
      <c r="K66" s="35">
        <v>0</v>
      </c>
      <c r="L66" s="35">
        <v>0</v>
      </c>
      <c r="M66" s="35">
        <f>F66*G66</f>
        <v>310.51800000000003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f t="shared" si="13"/>
        <v>310.51800000000003</v>
      </c>
    </row>
    <row r="67" spans="1:21">
      <c r="A67" s="160" t="s">
        <v>204</v>
      </c>
      <c r="B67" s="9" t="s">
        <v>78</v>
      </c>
      <c r="C67" s="64" t="s">
        <v>79</v>
      </c>
      <c r="D67" s="9" t="s">
        <v>32</v>
      </c>
      <c r="E67" s="65">
        <v>3</v>
      </c>
      <c r="F67" s="33">
        <v>3</v>
      </c>
      <c r="G67" s="51">
        <v>53.32</v>
      </c>
      <c r="H67" s="116">
        <f t="shared" si="12"/>
        <v>0.15996000000000002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f>F67*G67</f>
        <v>159.96</v>
      </c>
      <c r="R67" s="35">
        <v>0</v>
      </c>
      <c r="S67" s="35">
        <v>0</v>
      </c>
      <c r="T67" s="35">
        <v>0</v>
      </c>
      <c r="U67" s="35">
        <f t="shared" si="13"/>
        <v>0</v>
      </c>
    </row>
    <row r="68" spans="1:21">
      <c r="A68" s="142"/>
      <c r="B68" s="19" t="s">
        <v>80</v>
      </c>
      <c r="C68" s="64"/>
      <c r="D68" s="9"/>
      <c r="E68" s="65"/>
      <c r="F68" s="51"/>
      <c r="G68" s="51"/>
      <c r="H68" s="116" t="s">
        <v>44</v>
      </c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</row>
    <row r="69" spans="1:21">
      <c r="A69" s="160" t="s">
        <v>205</v>
      </c>
      <c r="B69" s="9" t="s">
        <v>81</v>
      </c>
      <c r="C69" s="64" t="s">
        <v>82</v>
      </c>
      <c r="D69" s="9"/>
      <c r="E69" s="65">
        <v>2</v>
      </c>
      <c r="F69" s="51">
        <v>0.2</v>
      </c>
      <c r="G69" s="51">
        <v>536.23</v>
      </c>
      <c r="H69" s="116">
        <f t="shared" si="12"/>
        <v>0.10724600000000001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f t="shared" si="13"/>
        <v>0</v>
      </c>
    </row>
    <row r="70" spans="1:21">
      <c r="A70" s="160" t="s">
        <v>206</v>
      </c>
      <c r="B70" s="9" t="s">
        <v>109</v>
      </c>
      <c r="C70" s="64" t="s">
        <v>34</v>
      </c>
      <c r="D70" s="9"/>
      <c r="E70" s="65">
        <v>1</v>
      </c>
      <c r="F70" s="57">
        <v>1</v>
      </c>
      <c r="G70" s="51">
        <v>911.85</v>
      </c>
      <c r="H70" s="116">
        <f>F70*G70/1000</f>
        <v>0.91185000000000005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f t="shared" si="13"/>
        <v>0</v>
      </c>
    </row>
    <row r="71" spans="1:21">
      <c r="A71" s="142"/>
      <c r="B71" s="68" t="s">
        <v>83</v>
      </c>
      <c r="C71" s="64"/>
      <c r="D71" s="9"/>
      <c r="E71" s="65"/>
      <c r="F71" s="51"/>
      <c r="G71" s="51" t="s">
        <v>44</v>
      </c>
      <c r="H71" s="116" t="s">
        <v>44</v>
      </c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</row>
    <row r="72" spans="1:21" s="2" customFormat="1">
      <c r="A72" s="66" t="s">
        <v>84</v>
      </c>
      <c r="B72" s="69" t="s">
        <v>85</v>
      </c>
      <c r="C72" s="66" t="s">
        <v>77</v>
      </c>
      <c r="D72" s="17"/>
      <c r="E72" s="70"/>
      <c r="F72" s="52">
        <v>1</v>
      </c>
      <c r="G72" s="52">
        <v>2831.38</v>
      </c>
      <c r="H72" s="116">
        <f t="shared" si="12"/>
        <v>2.8313800000000002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35">
        <f t="shared" si="13"/>
        <v>0</v>
      </c>
    </row>
    <row r="73" spans="1:21" s="22" customFormat="1">
      <c r="A73" s="143"/>
      <c r="B73" s="21" t="s">
        <v>26</v>
      </c>
      <c r="C73" s="71"/>
      <c r="D73" s="72"/>
      <c r="E73" s="73"/>
      <c r="F73" s="56"/>
      <c r="G73" s="56"/>
      <c r="H73" s="74">
        <f>SUM(H56:H72)</f>
        <v>76.928892980000001</v>
      </c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>
        <f>SUM(U56:U72)</f>
        <v>58489.611709999997</v>
      </c>
    </row>
    <row r="74" spans="1:21">
      <c r="A74" s="144" t="s">
        <v>132</v>
      </c>
      <c r="B74" s="11" t="s">
        <v>133</v>
      </c>
      <c r="C74" s="75"/>
      <c r="D74" s="76"/>
      <c r="E74" s="121"/>
      <c r="F74" s="77">
        <v>1</v>
      </c>
      <c r="G74" s="78">
        <v>7528.4</v>
      </c>
      <c r="H74" s="116">
        <f>G74*F74/1000</f>
        <v>7.5283999999999995</v>
      </c>
      <c r="I74" s="35">
        <v>0</v>
      </c>
      <c r="J74" s="35">
        <v>0</v>
      </c>
      <c r="K74" s="35">
        <v>0</v>
      </c>
      <c r="L74" s="35">
        <v>0</v>
      </c>
      <c r="M74" s="36">
        <v>0</v>
      </c>
      <c r="N74" s="35">
        <v>0</v>
      </c>
      <c r="O74" s="35">
        <v>0</v>
      </c>
      <c r="P74" s="35">
        <v>0</v>
      </c>
      <c r="Q74" s="35">
        <v>0</v>
      </c>
      <c r="R74" s="35">
        <f>G74</f>
        <v>7528.4</v>
      </c>
      <c r="S74" s="35">
        <v>0</v>
      </c>
      <c r="T74" s="35">
        <v>0</v>
      </c>
      <c r="U74" s="35">
        <f t="shared" si="13"/>
        <v>0</v>
      </c>
    </row>
    <row r="75" spans="1:21" ht="12.75" customHeight="1">
      <c r="A75" s="64"/>
      <c r="B75" s="12" t="s">
        <v>86</v>
      </c>
      <c r="C75" s="64" t="s">
        <v>87</v>
      </c>
      <c r="D75" s="79"/>
      <c r="E75" s="51">
        <v>2062.5</v>
      </c>
      <c r="F75" s="51">
        <f>SUM(E75*12)</f>
        <v>24750</v>
      </c>
      <c r="G75" s="80">
        <v>2.2400000000000002</v>
      </c>
      <c r="H75" s="116">
        <f>SUM(F75*G75/1000)</f>
        <v>55.440000000000005</v>
      </c>
      <c r="I75" s="35">
        <f>F75/12*G75</f>
        <v>4620</v>
      </c>
      <c r="J75" s="35">
        <f>F75/12*G75</f>
        <v>4620</v>
      </c>
      <c r="K75" s="35">
        <f>F75/12*G75</f>
        <v>4620</v>
      </c>
      <c r="L75" s="35">
        <f>F75/12*G75</f>
        <v>4620</v>
      </c>
      <c r="M75" s="35">
        <f>F75/12*G75</f>
        <v>4620</v>
      </c>
      <c r="N75" s="35">
        <f>F75/12*G75</f>
        <v>4620</v>
      </c>
      <c r="O75" s="35">
        <f>F75/12*G75</f>
        <v>4620</v>
      </c>
      <c r="P75" s="35">
        <f>F75/12*G75</f>
        <v>4620</v>
      </c>
      <c r="Q75" s="35">
        <f>F75/12*G75</f>
        <v>4620</v>
      </c>
      <c r="R75" s="35">
        <f>F75/12*G75</f>
        <v>4620</v>
      </c>
      <c r="S75" s="35">
        <f>F75/12*G75</f>
        <v>4620</v>
      </c>
      <c r="T75" s="35">
        <f>F75/12*G75</f>
        <v>4620</v>
      </c>
      <c r="U75" s="35">
        <f t="shared" si="13"/>
        <v>36960</v>
      </c>
    </row>
    <row r="76" spans="1:21" s="20" customFormat="1">
      <c r="A76" s="81"/>
      <c r="B76" s="21" t="s">
        <v>26</v>
      </c>
      <c r="C76" s="82"/>
      <c r="D76" s="83"/>
      <c r="E76" s="84"/>
      <c r="F76" s="42"/>
      <c r="G76" s="85"/>
      <c r="H76" s="43">
        <f>SUM(H74:H75)</f>
        <v>62.968400000000003</v>
      </c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>
        <f>SUM(U74:U75)</f>
        <v>36960</v>
      </c>
    </row>
    <row r="77" spans="1:21" ht="25.5" customHeight="1">
      <c r="A77" s="142"/>
      <c r="B77" s="9" t="s">
        <v>88</v>
      </c>
      <c r="C77" s="64"/>
      <c r="D77" s="86"/>
      <c r="E77" s="32">
        <f>E75</f>
        <v>2062.5</v>
      </c>
      <c r="F77" s="51">
        <f>E77*12</f>
        <v>24750</v>
      </c>
      <c r="G77" s="51">
        <v>1.74</v>
      </c>
      <c r="H77" s="116">
        <f>F77*G77/1000</f>
        <v>43.064999999999998</v>
      </c>
      <c r="I77" s="35">
        <f>F77/12*G77</f>
        <v>3588.75</v>
      </c>
      <c r="J77" s="35">
        <f>F77/12*G77</f>
        <v>3588.75</v>
      </c>
      <c r="K77" s="35">
        <f>F77/12*G77</f>
        <v>3588.75</v>
      </c>
      <c r="L77" s="35">
        <f>F77/12*G77</f>
        <v>3588.75</v>
      </c>
      <c r="M77" s="35">
        <f>F77/12*G77</f>
        <v>3588.75</v>
      </c>
      <c r="N77" s="35">
        <f>F77/12*G77</f>
        <v>3588.75</v>
      </c>
      <c r="O77" s="35">
        <f>F77/12*G77</f>
        <v>3588.75</v>
      </c>
      <c r="P77" s="35">
        <f>F77/12*G77</f>
        <v>3588.75</v>
      </c>
      <c r="Q77" s="35">
        <f>F77/12*G77</f>
        <v>3588.75</v>
      </c>
      <c r="R77" s="35">
        <f>F77/12*G77</f>
        <v>3588.75</v>
      </c>
      <c r="S77" s="35">
        <f>F77/12*G77</f>
        <v>3588.75</v>
      </c>
      <c r="T77" s="35">
        <f>F77/12*G77</f>
        <v>3588.75</v>
      </c>
      <c r="U77" s="35">
        <f t="shared" si="13"/>
        <v>28710</v>
      </c>
    </row>
    <row r="78" spans="1:21" s="20" customFormat="1">
      <c r="A78" s="81"/>
      <c r="B78" s="87" t="s">
        <v>89</v>
      </c>
      <c r="C78" s="88"/>
      <c r="D78" s="87"/>
      <c r="E78" s="42"/>
      <c r="F78" s="42"/>
      <c r="G78" s="42"/>
      <c r="H78" s="74">
        <f>H77</f>
        <v>43.064999999999998</v>
      </c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145">
        <f>U77</f>
        <v>28710</v>
      </c>
    </row>
    <row r="79" spans="1:21" s="20" customFormat="1">
      <c r="A79" s="81"/>
      <c r="B79" s="87" t="s">
        <v>90</v>
      </c>
      <c r="C79" s="89"/>
      <c r="D79" s="90"/>
      <c r="E79" s="91"/>
      <c r="F79" s="91"/>
      <c r="G79" s="91"/>
      <c r="H79" s="74">
        <f>SUM(H78+H76+H73+H54+H42+H32+H22)</f>
        <v>477.66260052840005</v>
      </c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145">
        <f>SUM(U78+U76+U73+U54+U42+U32+U22)*1.094</f>
        <v>343153.35361423553</v>
      </c>
    </row>
    <row r="80" spans="1:21" s="115" customFormat="1" ht="51" customHeight="1">
      <c r="A80" s="94"/>
      <c r="B80" s="68"/>
      <c r="C80" s="64"/>
      <c r="D80" s="86"/>
      <c r="E80" s="51"/>
      <c r="F80" s="51"/>
      <c r="G80" s="51"/>
      <c r="H80" s="114"/>
      <c r="I80" s="51"/>
      <c r="J80" s="51"/>
      <c r="K80" s="51"/>
      <c r="L80" s="51"/>
      <c r="M80" s="51"/>
      <c r="N80" s="51"/>
      <c r="O80" s="51"/>
      <c r="P80" s="51"/>
      <c r="Q80" s="51"/>
      <c r="R80" s="122"/>
      <c r="S80" s="122"/>
      <c r="T80" s="122"/>
      <c r="U80" s="146" t="s">
        <v>147</v>
      </c>
    </row>
    <row r="81" spans="1:26">
      <c r="A81" s="142"/>
      <c r="B81" s="86" t="s">
        <v>91</v>
      </c>
      <c r="C81" s="64"/>
      <c r="D81" s="86"/>
      <c r="E81" s="51"/>
      <c r="F81" s="51"/>
      <c r="G81" s="51" t="s">
        <v>92</v>
      </c>
      <c r="H81" s="92">
        <f>E77</f>
        <v>2062.5</v>
      </c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W81" s="172"/>
      <c r="X81" s="172"/>
      <c r="Y81" s="172"/>
      <c r="Z81" s="172"/>
    </row>
    <row r="82" spans="1:26" s="20" customFormat="1">
      <c r="A82" s="81"/>
      <c r="B82" s="90" t="s">
        <v>93</v>
      </c>
      <c r="C82" s="89"/>
      <c r="D82" s="90"/>
      <c r="E82" s="91"/>
      <c r="F82" s="91"/>
      <c r="G82" s="91"/>
      <c r="H82" s="93">
        <f>SUM(H79/H81/12*1000)</f>
        <v>19.299499011248486</v>
      </c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147"/>
    </row>
    <row r="83" spans="1:26">
      <c r="A83" s="94"/>
      <c r="B83" s="86"/>
      <c r="C83" s="64"/>
      <c r="D83" s="86"/>
      <c r="E83" s="51"/>
      <c r="F83" s="51"/>
      <c r="G83" s="51"/>
      <c r="H83" s="9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148"/>
    </row>
    <row r="84" spans="1:26">
      <c r="A84" s="142"/>
      <c r="B84" s="132" t="s">
        <v>94</v>
      </c>
      <c r="C84" s="64"/>
      <c r="D84" s="86"/>
      <c r="E84" s="51"/>
      <c r="F84" s="51"/>
      <c r="G84" s="51"/>
      <c r="H84" s="5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</row>
    <row r="85" spans="1:26" s="126" customFormat="1" ht="25.5">
      <c r="A85" s="25" t="s">
        <v>113</v>
      </c>
      <c r="B85" s="26" t="s">
        <v>126</v>
      </c>
      <c r="C85" s="113" t="s">
        <v>127</v>
      </c>
      <c r="D85" s="123"/>
      <c r="E85" s="124"/>
      <c r="F85" s="124">
        <v>1</v>
      </c>
      <c r="G85" s="124">
        <v>1835.8</v>
      </c>
      <c r="H85" s="125">
        <f t="shared" ref="H85:H99" si="14">G85*F85/1000</f>
        <v>1.8357999999999999</v>
      </c>
      <c r="I85" s="35">
        <f>G85</f>
        <v>1835.8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f t="shared" ref="U85:U102" si="15">SUM(I85:P85)</f>
        <v>1835.8</v>
      </c>
    </row>
    <row r="86" spans="1:26" s="126" customFormat="1" ht="25.5">
      <c r="A86" s="127" t="s">
        <v>128</v>
      </c>
      <c r="B86" s="128" t="s">
        <v>142</v>
      </c>
      <c r="C86" s="127" t="s">
        <v>139</v>
      </c>
      <c r="D86" s="123"/>
      <c r="E86" s="124"/>
      <c r="F86" s="124">
        <v>1.5</v>
      </c>
      <c r="G86" s="124">
        <v>2057</v>
      </c>
      <c r="H86" s="125">
        <f t="shared" ref="H86:H91" si="16">G86*F86/1000</f>
        <v>3.0855000000000001</v>
      </c>
      <c r="I86" s="35">
        <f>G86*1.5</f>
        <v>3085.5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f t="shared" si="15"/>
        <v>3085.5</v>
      </c>
    </row>
    <row r="87" spans="1:26" s="126" customFormat="1" ht="25.5">
      <c r="A87" s="129" t="s">
        <v>207</v>
      </c>
      <c r="B87" s="128" t="s">
        <v>136</v>
      </c>
      <c r="C87" s="127" t="s">
        <v>62</v>
      </c>
      <c r="D87" s="123"/>
      <c r="E87" s="124"/>
      <c r="F87" s="124">
        <v>2</v>
      </c>
      <c r="G87" s="124">
        <v>79.09</v>
      </c>
      <c r="H87" s="125">
        <f t="shared" si="16"/>
        <v>0.15818000000000002</v>
      </c>
      <c r="I87" s="35">
        <f>G87</f>
        <v>79.09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f>G87</f>
        <v>79.09</v>
      </c>
      <c r="R87" s="35">
        <v>0</v>
      </c>
      <c r="S87" s="35">
        <v>0</v>
      </c>
      <c r="T87" s="35">
        <v>0</v>
      </c>
      <c r="U87" s="35">
        <f t="shared" si="15"/>
        <v>79.09</v>
      </c>
    </row>
    <row r="88" spans="1:26" s="126" customFormat="1">
      <c r="A88" s="127" t="s">
        <v>208</v>
      </c>
      <c r="B88" s="128" t="s">
        <v>138</v>
      </c>
      <c r="C88" s="129" t="s">
        <v>139</v>
      </c>
      <c r="D88" s="123"/>
      <c r="E88" s="124"/>
      <c r="F88" s="124">
        <v>1</v>
      </c>
      <c r="G88" s="124">
        <v>18</v>
      </c>
      <c r="H88" s="125">
        <f t="shared" si="16"/>
        <v>1.7999999999999999E-2</v>
      </c>
      <c r="I88" s="35">
        <f>G88</f>
        <v>18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f t="shared" si="15"/>
        <v>18</v>
      </c>
    </row>
    <row r="89" spans="1:26" s="126" customFormat="1">
      <c r="A89" s="129" t="s">
        <v>209</v>
      </c>
      <c r="B89" s="128" t="s">
        <v>130</v>
      </c>
      <c r="C89" s="127" t="s">
        <v>62</v>
      </c>
      <c r="D89" s="123"/>
      <c r="E89" s="124"/>
      <c r="F89" s="124">
        <v>2</v>
      </c>
      <c r="G89" s="124">
        <v>1072.21</v>
      </c>
      <c r="H89" s="125">
        <f t="shared" si="16"/>
        <v>2.1444200000000002</v>
      </c>
      <c r="I89" s="35">
        <f>G89*2</f>
        <v>2144.42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f t="shared" si="15"/>
        <v>2144.42</v>
      </c>
    </row>
    <row r="90" spans="1:26" ht="25.5">
      <c r="A90" s="130" t="s">
        <v>195</v>
      </c>
      <c r="B90" s="131" t="s">
        <v>145</v>
      </c>
      <c r="C90" s="130" t="s">
        <v>144</v>
      </c>
      <c r="D90" s="86"/>
      <c r="E90" s="51"/>
      <c r="F90" s="51">
        <f>1/100</f>
        <v>0.01</v>
      </c>
      <c r="G90" s="51">
        <v>7033.13</v>
      </c>
      <c r="H90" s="116">
        <f t="shared" si="16"/>
        <v>7.0331299999999999E-2</v>
      </c>
      <c r="I90" s="35">
        <f>G90*0.01</f>
        <v>70.331299999999999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/>
      <c r="U90" s="35">
        <f t="shared" si="15"/>
        <v>70.331299999999999</v>
      </c>
    </row>
    <row r="91" spans="1:26" ht="25.5">
      <c r="A91" s="130" t="s">
        <v>210</v>
      </c>
      <c r="B91" s="131" t="s">
        <v>146</v>
      </c>
      <c r="C91" s="127" t="s">
        <v>129</v>
      </c>
      <c r="D91" s="123"/>
      <c r="E91" s="124"/>
      <c r="F91" s="124">
        <v>1</v>
      </c>
      <c r="G91" s="124">
        <v>251.02</v>
      </c>
      <c r="H91" s="125">
        <f t="shared" si="16"/>
        <v>0.25102000000000002</v>
      </c>
      <c r="I91" s="35">
        <f>G91</f>
        <v>251.02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/>
      <c r="U91" s="35">
        <f t="shared" si="15"/>
        <v>251.02</v>
      </c>
    </row>
    <row r="92" spans="1:26">
      <c r="A92" s="129" t="s">
        <v>113</v>
      </c>
      <c r="B92" s="128" t="s">
        <v>135</v>
      </c>
      <c r="C92" s="127" t="s">
        <v>134</v>
      </c>
      <c r="D92" s="123"/>
      <c r="E92" s="124"/>
      <c r="F92" s="124">
        <v>1.5</v>
      </c>
      <c r="G92" s="124">
        <v>1501</v>
      </c>
      <c r="H92" s="125">
        <f>G92*F92/1000</f>
        <v>2.2515000000000001</v>
      </c>
      <c r="I92" s="35">
        <v>0</v>
      </c>
      <c r="J92" s="35">
        <v>0</v>
      </c>
      <c r="K92" s="35">
        <f>G92*0.5</f>
        <v>750.5</v>
      </c>
      <c r="L92" s="35">
        <v>0</v>
      </c>
      <c r="M92" s="35">
        <v>0</v>
      </c>
      <c r="N92" s="35">
        <f>G92</f>
        <v>1501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f t="shared" si="15"/>
        <v>2251.5</v>
      </c>
    </row>
    <row r="93" spans="1:26">
      <c r="A93" s="127" t="s">
        <v>211</v>
      </c>
      <c r="B93" s="128" t="s">
        <v>156</v>
      </c>
      <c r="C93" s="127" t="s">
        <v>141</v>
      </c>
      <c r="D93" s="123"/>
      <c r="E93" s="124"/>
      <c r="F93" s="124">
        <v>3</v>
      </c>
      <c r="G93" s="124">
        <v>185.81</v>
      </c>
      <c r="H93" s="125">
        <f>G93*F93/1000</f>
        <v>0.55743000000000009</v>
      </c>
      <c r="I93" s="35">
        <v>0</v>
      </c>
      <c r="J93" s="35">
        <v>0</v>
      </c>
      <c r="K93" s="35">
        <v>0</v>
      </c>
      <c r="L93" s="35">
        <f>G93</f>
        <v>185.81</v>
      </c>
      <c r="M93" s="35">
        <f>G93</f>
        <v>185.81</v>
      </c>
      <c r="N93" s="35">
        <v>0</v>
      </c>
      <c r="O93" s="35">
        <f>G93</f>
        <v>185.81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f t="shared" si="15"/>
        <v>557.43000000000006</v>
      </c>
    </row>
    <row r="94" spans="1:26" ht="25.5">
      <c r="A94" s="129" t="s">
        <v>212</v>
      </c>
      <c r="B94" s="128" t="s">
        <v>158</v>
      </c>
      <c r="C94" s="127" t="s">
        <v>129</v>
      </c>
      <c r="D94" s="123"/>
      <c r="E94" s="124"/>
      <c r="F94" s="124">
        <v>1</v>
      </c>
      <c r="G94" s="124">
        <v>625.07000000000005</v>
      </c>
      <c r="H94" s="125">
        <f>G94*F94/1000</f>
        <v>0.62507000000000001</v>
      </c>
      <c r="I94" s="35">
        <v>0</v>
      </c>
      <c r="J94" s="35">
        <v>0</v>
      </c>
      <c r="K94" s="35">
        <v>0</v>
      </c>
      <c r="L94" s="35">
        <v>0</v>
      </c>
      <c r="M94" s="35">
        <f>G94</f>
        <v>625.07000000000005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/>
      <c r="U94" s="35">
        <f t="shared" si="15"/>
        <v>625.07000000000005</v>
      </c>
    </row>
    <row r="95" spans="1:26">
      <c r="A95" s="130" t="s">
        <v>213</v>
      </c>
      <c r="B95" s="131" t="s">
        <v>157</v>
      </c>
      <c r="C95" s="130" t="s">
        <v>144</v>
      </c>
      <c r="D95" s="86"/>
      <c r="E95" s="51"/>
      <c r="F95" s="51">
        <f>1/100</f>
        <v>0.01</v>
      </c>
      <c r="G95" s="51">
        <v>7033.13</v>
      </c>
      <c r="H95" s="116">
        <f t="shared" ref="H95" si="17">G95*F95/1000</f>
        <v>7.0331299999999999E-2</v>
      </c>
      <c r="I95" s="35">
        <v>0</v>
      </c>
      <c r="J95" s="35">
        <v>0</v>
      </c>
      <c r="K95" s="35">
        <v>0</v>
      </c>
      <c r="L95" s="35">
        <v>0</v>
      </c>
      <c r="M95" s="35">
        <f>G95*0.01</f>
        <v>70.331299999999999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/>
      <c r="U95" s="35">
        <f t="shared" si="15"/>
        <v>70.331299999999999</v>
      </c>
    </row>
    <row r="96" spans="1:26" ht="38.25">
      <c r="A96" s="129" t="s">
        <v>214</v>
      </c>
      <c r="B96" s="128" t="s">
        <v>161</v>
      </c>
      <c r="C96" s="127" t="s">
        <v>129</v>
      </c>
      <c r="D96" s="123"/>
      <c r="E96" s="124"/>
      <c r="F96" s="124">
        <v>1</v>
      </c>
      <c r="G96" s="124">
        <v>476.76</v>
      </c>
      <c r="H96" s="125">
        <f t="shared" si="14"/>
        <v>0.47676000000000002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f>G96</f>
        <v>476.76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f t="shared" si="15"/>
        <v>476.76</v>
      </c>
    </row>
    <row r="97" spans="1:21" ht="25.5">
      <c r="A97" s="129" t="s">
        <v>215</v>
      </c>
      <c r="B97" s="128" t="s">
        <v>162</v>
      </c>
      <c r="C97" s="127" t="s">
        <v>129</v>
      </c>
      <c r="D97" s="123"/>
      <c r="E97" s="124"/>
      <c r="F97" s="124">
        <v>1</v>
      </c>
      <c r="G97" s="124">
        <v>968.53</v>
      </c>
      <c r="H97" s="125">
        <f t="shared" si="14"/>
        <v>0.96853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f>G97</f>
        <v>968.53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/>
      <c r="U97" s="35">
        <f t="shared" si="15"/>
        <v>968.53</v>
      </c>
    </row>
    <row r="98" spans="1:21" ht="25.5" customHeight="1">
      <c r="A98" s="156" t="s">
        <v>216</v>
      </c>
      <c r="B98" s="155" t="s">
        <v>163</v>
      </c>
      <c r="C98" s="156" t="s">
        <v>164</v>
      </c>
      <c r="D98" s="157"/>
      <c r="E98" s="158"/>
      <c r="F98" s="158">
        <f>1.57/10</f>
        <v>0.157</v>
      </c>
      <c r="G98" s="158">
        <v>5641.28</v>
      </c>
      <c r="H98" s="125">
        <f t="shared" si="14"/>
        <v>0.88568095999999996</v>
      </c>
      <c r="I98" s="159">
        <v>0</v>
      </c>
      <c r="J98" s="159">
        <v>0</v>
      </c>
      <c r="K98" s="159">
        <v>0</v>
      </c>
      <c r="L98" s="159">
        <v>0</v>
      </c>
      <c r="M98" s="159">
        <v>0</v>
      </c>
      <c r="N98" s="159">
        <f>G98*F98</f>
        <v>885.68095999999991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159"/>
      <c r="U98" s="35">
        <f t="shared" si="15"/>
        <v>885.68095999999991</v>
      </c>
    </row>
    <row r="99" spans="1:21" ht="25.5" customHeight="1">
      <c r="A99" s="127" t="s">
        <v>128</v>
      </c>
      <c r="B99" s="128" t="s">
        <v>224</v>
      </c>
      <c r="C99" s="127" t="s">
        <v>139</v>
      </c>
      <c r="D99" s="123"/>
      <c r="E99" s="124"/>
      <c r="F99" s="124">
        <v>2</v>
      </c>
      <c r="G99" s="124">
        <v>1272</v>
      </c>
      <c r="H99" s="125">
        <f t="shared" si="14"/>
        <v>2.544</v>
      </c>
      <c r="I99" s="171">
        <v>0</v>
      </c>
      <c r="J99" s="171">
        <v>0</v>
      </c>
      <c r="K99" s="171">
        <v>0</v>
      </c>
      <c r="L99" s="171">
        <v>0</v>
      </c>
      <c r="M99" s="171">
        <v>0</v>
      </c>
      <c r="N99" s="171">
        <v>0</v>
      </c>
      <c r="O99" s="171">
        <v>0</v>
      </c>
      <c r="P99" s="171">
        <f>G99*2</f>
        <v>2544</v>
      </c>
      <c r="Q99" s="35">
        <v>0</v>
      </c>
      <c r="R99" s="35">
        <v>0</v>
      </c>
      <c r="S99" s="35">
        <v>0</v>
      </c>
      <c r="T99" s="171"/>
      <c r="U99" s="35">
        <f t="shared" si="15"/>
        <v>2544</v>
      </c>
    </row>
    <row r="100" spans="1:21" ht="25.5">
      <c r="A100" s="127" t="s">
        <v>217</v>
      </c>
      <c r="B100" s="128" t="s">
        <v>143</v>
      </c>
      <c r="C100" s="127" t="s">
        <v>62</v>
      </c>
      <c r="D100" s="123"/>
      <c r="E100" s="124"/>
      <c r="F100" s="124">
        <v>8</v>
      </c>
      <c r="G100" s="124">
        <v>180.15</v>
      </c>
      <c r="H100" s="125">
        <f>G100*F100/1000</f>
        <v>1.4412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f>G100*8</f>
        <v>1441.2</v>
      </c>
      <c r="Q100" s="35">
        <v>0</v>
      </c>
      <c r="R100" s="35">
        <v>0</v>
      </c>
      <c r="S100" s="35">
        <v>0</v>
      </c>
      <c r="T100" s="35">
        <v>0</v>
      </c>
      <c r="U100" s="35">
        <f t="shared" si="15"/>
        <v>1441.2</v>
      </c>
    </row>
    <row r="101" spans="1:21">
      <c r="A101" s="162" t="s">
        <v>128</v>
      </c>
      <c r="B101" s="163" t="s">
        <v>220</v>
      </c>
      <c r="C101" s="162" t="s">
        <v>221</v>
      </c>
      <c r="D101" s="164"/>
      <c r="E101" s="165"/>
      <c r="F101" s="165">
        <v>1</v>
      </c>
      <c r="G101" s="165">
        <v>9577</v>
      </c>
      <c r="H101" s="166">
        <f>G101*F101/1000</f>
        <v>9.577</v>
      </c>
      <c r="I101" s="167">
        <v>0</v>
      </c>
      <c r="J101" s="167">
        <v>0</v>
      </c>
      <c r="K101" s="167">
        <v>0</v>
      </c>
      <c r="L101" s="167">
        <v>0</v>
      </c>
      <c r="M101" s="167">
        <v>0</v>
      </c>
      <c r="N101" s="167">
        <v>0</v>
      </c>
      <c r="O101" s="167">
        <v>0</v>
      </c>
      <c r="P101" s="167">
        <f>G101</f>
        <v>9577</v>
      </c>
      <c r="Q101" s="35">
        <v>0</v>
      </c>
      <c r="R101" s="35">
        <v>0</v>
      </c>
      <c r="S101" s="35">
        <v>0</v>
      </c>
      <c r="T101" s="167"/>
      <c r="U101" s="35">
        <f t="shared" si="15"/>
        <v>9577</v>
      </c>
    </row>
    <row r="102" spans="1:21">
      <c r="A102" s="168" t="s">
        <v>218</v>
      </c>
      <c r="B102" s="169" t="s">
        <v>219</v>
      </c>
      <c r="C102" s="168" t="s">
        <v>22</v>
      </c>
      <c r="D102" s="164"/>
      <c r="E102" s="165"/>
      <c r="F102" s="165">
        <f>126.1/100</f>
        <v>1.2609999999999999</v>
      </c>
      <c r="G102" s="165">
        <v>384.29</v>
      </c>
      <c r="H102" s="170">
        <f t="shared" ref="H102" si="18">G102*F102/1000</f>
        <v>0.48458968999999996</v>
      </c>
      <c r="I102" s="167">
        <v>0</v>
      </c>
      <c r="J102" s="167">
        <v>0</v>
      </c>
      <c r="K102" s="167">
        <v>0</v>
      </c>
      <c r="L102" s="167">
        <v>0</v>
      </c>
      <c r="M102" s="167">
        <v>0</v>
      </c>
      <c r="N102" s="167">
        <v>0</v>
      </c>
      <c r="O102" s="167">
        <v>0</v>
      </c>
      <c r="P102" s="167">
        <f>G102*F102</f>
        <v>484.58968999999996</v>
      </c>
      <c r="Q102" s="35">
        <v>0</v>
      </c>
      <c r="R102" s="35">
        <v>0</v>
      </c>
      <c r="S102" s="35">
        <v>0</v>
      </c>
      <c r="T102" s="167"/>
      <c r="U102" s="35">
        <f t="shared" si="15"/>
        <v>484.58968999999996</v>
      </c>
    </row>
    <row r="103" spans="1:21" s="20" customFormat="1">
      <c r="A103" s="96"/>
      <c r="B103" s="97" t="s">
        <v>95</v>
      </c>
      <c r="C103" s="96"/>
      <c r="D103" s="96"/>
      <c r="E103" s="91"/>
      <c r="F103" s="91"/>
      <c r="G103" s="91"/>
      <c r="H103" s="43">
        <f>SUM(H85:H102)</f>
        <v>27.445343250000001</v>
      </c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42">
        <f>SUM(U85:U102)</f>
        <v>27366.253250000002</v>
      </c>
    </row>
    <row r="104" spans="1:21">
      <c r="A104" s="94"/>
      <c r="B104" s="98"/>
      <c r="C104" s="99"/>
      <c r="D104" s="99"/>
      <c r="E104" s="51"/>
      <c r="F104" s="51"/>
      <c r="G104" s="51"/>
      <c r="H104" s="100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149"/>
    </row>
    <row r="105" spans="1:21" ht="12" customHeight="1">
      <c r="A105" s="142"/>
      <c r="B105" s="19" t="s">
        <v>96</v>
      </c>
      <c r="C105" s="64"/>
      <c r="D105" s="86"/>
      <c r="E105" s="51"/>
      <c r="F105" s="51"/>
      <c r="G105" s="51"/>
      <c r="H105" s="101">
        <f>H103/E106/12*1000</f>
        <v>1.1089027575757577</v>
      </c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149"/>
    </row>
    <row r="106" spans="1:21" s="20" customFormat="1">
      <c r="A106" s="81"/>
      <c r="B106" s="102" t="s">
        <v>97</v>
      </c>
      <c r="C106" s="103"/>
      <c r="D106" s="102"/>
      <c r="E106" s="150">
        <v>2062.5</v>
      </c>
      <c r="F106" s="151">
        <f>SUM(E106*12)</f>
        <v>24750</v>
      </c>
      <c r="G106" s="152">
        <f>H82+H105</f>
        <v>20.408401768824245</v>
      </c>
      <c r="H106" s="153">
        <f>SUM(F106*G106/1000)</f>
        <v>505.10794377840006</v>
      </c>
      <c r="I106" s="91">
        <f t="shared" ref="I106:R106" si="19">SUM(I11:I105)</f>
        <v>46270.277034166662</v>
      </c>
      <c r="J106" s="91">
        <f t="shared" si="19"/>
        <v>33730.995734166667</v>
      </c>
      <c r="K106" s="91">
        <f t="shared" si="19"/>
        <v>33570.805174166671</v>
      </c>
      <c r="L106" s="91">
        <f t="shared" si="19"/>
        <v>38061.235174166664</v>
      </c>
      <c r="M106" s="91">
        <f>SUM(M11:M105)</f>
        <v>87390.620271866675</v>
      </c>
      <c r="N106" s="91">
        <f t="shared" si="19"/>
        <v>30049.771816666667</v>
      </c>
      <c r="O106" s="91">
        <f t="shared" si="19"/>
        <v>26403.61085666667</v>
      </c>
      <c r="P106" s="91">
        <f t="shared" si="19"/>
        <v>45557.450546666667</v>
      </c>
      <c r="Q106" s="91">
        <f t="shared" si="19"/>
        <v>30975.096204866666</v>
      </c>
      <c r="R106" s="91">
        <f t="shared" si="19"/>
        <v>33746.20085666667</v>
      </c>
      <c r="S106" s="91">
        <f>SUM(S11:S105)</f>
        <v>32820.305174166671</v>
      </c>
      <c r="T106" s="91">
        <f>SUM(T11:T105)</f>
        <v>33730.995734166667</v>
      </c>
      <c r="U106" s="42">
        <f>U79+U103</f>
        <v>370519.60686423554</v>
      </c>
    </row>
    <row r="107" spans="1:21">
      <c r="A107" s="67"/>
      <c r="B107" s="67"/>
      <c r="C107" s="67"/>
      <c r="D107" s="67"/>
      <c r="E107" s="104"/>
      <c r="F107" s="104"/>
      <c r="G107" s="104"/>
      <c r="H107" s="104"/>
      <c r="I107" s="104"/>
      <c r="J107" s="104"/>
      <c r="K107" s="104"/>
      <c r="L107" s="104"/>
      <c r="M107" s="67"/>
      <c r="N107" s="104"/>
      <c r="O107" s="67"/>
      <c r="P107" s="67"/>
      <c r="Q107" s="67"/>
      <c r="R107" s="67"/>
      <c r="S107" s="67"/>
      <c r="T107" s="67"/>
      <c r="U107" s="67"/>
    </row>
    <row r="108" spans="1:21">
      <c r="A108" s="67"/>
      <c r="B108" s="67"/>
      <c r="C108" s="67"/>
      <c r="D108" s="67"/>
      <c r="E108" s="104"/>
      <c r="F108" s="104"/>
      <c r="G108" s="104"/>
      <c r="H108" s="104"/>
      <c r="I108" s="104"/>
      <c r="J108" s="105"/>
      <c r="K108" s="106"/>
      <c r="L108" s="105"/>
      <c r="M108" s="104"/>
      <c r="N108" s="67"/>
      <c r="O108" s="67"/>
      <c r="P108" s="67"/>
      <c r="Q108" s="67"/>
      <c r="R108" s="67"/>
      <c r="S108" s="67"/>
      <c r="T108" s="67"/>
      <c r="U108" s="67"/>
    </row>
    <row r="109" spans="1:21" ht="45">
      <c r="A109" s="67"/>
      <c r="B109" s="107" t="s">
        <v>140</v>
      </c>
      <c r="C109" s="179">
        <v>247937.12</v>
      </c>
      <c r="D109" s="174"/>
      <c r="E109" s="174"/>
      <c r="F109" s="175"/>
      <c r="G109" s="104"/>
      <c r="H109" s="104"/>
      <c r="I109" s="104"/>
      <c r="J109" s="105"/>
      <c r="K109" s="106"/>
      <c r="L109" s="105"/>
      <c r="M109" s="104"/>
      <c r="N109" s="67"/>
      <c r="O109" s="67"/>
      <c r="P109" s="67"/>
      <c r="Q109" s="67"/>
      <c r="R109" s="67"/>
      <c r="S109" s="67"/>
      <c r="T109" s="67"/>
      <c r="U109" s="67"/>
    </row>
    <row r="110" spans="1:21" ht="30">
      <c r="A110" s="67"/>
      <c r="B110" s="23" t="s">
        <v>226</v>
      </c>
      <c r="C110" s="176">
        <f>46860*8</f>
        <v>374880</v>
      </c>
      <c r="D110" s="177"/>
      <c r="E110" s="177"/>
      <c r="F110" s="178"/>
      <c r="G110" s="104"/>
      <c r="H110" s="104"/>
      <c r="I110" s="104"/>
      <c r="J110" s="105"/>
      <c r="K110" s="106"/>
      <c r="L110" s="105"/>
      <c r="M110" s="104"/>
      <c r="N110" s="67"/>
      <c r="O110" s="67"/>
      <c r="P110" s="67"/>
      <c r="Q110" s="67"/>
      <c r="R110" s="67"/>
      <c r="S110" s="67"/>
      <c r="T110" s="67"/>
      <c r="U110" s="67"/>
    </row>
    <row r="111" spans="1:21" ht="30">
      <c r="A111" s="67"/>
      <c r="B111" s="23" t="s">
        <v>227</v>
      </c>
      <c r="C111" s="176">
        <f>SUM(U106-U103)</f>
        <v>343153.35361423553</v>
      </c>
      <c r="D111" s="177"/>
      <c r="E111" s="177"/>
      <c r="F111" s="178"/>
      <c r="G111" s="104"/>
      <c r="H111" s="104"/>
      <c r="I111" s="104"/>
      <c r="J111" s="105"/>
      <c r="K111" s="106"/>
      <c r="L111" s="105"/>
      <c r="M111" s="104"/>
      <c r="N111" s="67"/>
      <c r="O111" s="67"/>
      <c r="P111" s="67"/>
      <c r="Q111" s="67"/>
      <c r="R111" s="67"/>
      <c r="S111" s="67"/>
      <c r="T111" s="67"/>
      <c r="U111" s="67"/>
    </row>
    <row r="112" spans="1:21" ht="30">
      <c r="A112" s="67"/>
      <c r="B112" s="23" t="s">
        <v>228</v>
      </c>
      <c r="C112" s="176">
        <f>SUM(U103)</f>
        <v>27366.253250000002</v>
      </c>
      <c r="D112" s="177"/>
      <c r="E112" s="177"/>
      <c r="F112" s="178"/>
      <c r="G112" s="104"/>
      <c r="H112" s="104"/>
      <c r="I112" s="104"/>
      <c r="J112" s="105"/>
      <c r="K112" s="106"/>
      <c r="L112" s="105"/>
      <c r="M112" s="104"/>
      <c r="N112" s="67"/>
      <c r="O112" s="67"/>
      <c r="P112" s="67"/>
      <c r="Q112" s="67"/>
      <c r="R112" s="67"/>
      <c r="S112" s="67"/>
      <c r="T112" s="67"/>
      <c r="U112" s="67"/>
    </row>
    <row r="113" spans="1:21" ht="30">
      <c r="A113" s="67"/>
      <c r="B113" s="117" t="s">
        <v>229</v>
      </c>
      <c r="C113" s="179">
        <f>49345.67+46819.17+38803.74+50610.99+47920.49+37721.49+45606.84+45152.34</f>
        <v>361980.73</v>
      </c>
      <c r="D113" s="174"/>
      <c r="E113" s="174"/>
      <c r="F113" s="175"/>
      <c r="G113" s="67"/>
      <c r="I113" s="108" t="s">
        <v>110</v>
      </c>
      <c r="J113" s="109"/>
      <c r="K113" s="110"/>
      <c r="L113" s="111"/>
      <c r="M113" s="108"/>
      <c r="N113" s="108"/>
      <c r="O113" s="67"/>
      <c r="P113" s="67"/>
      <c r="Q113" s="67"/>
      <c r="R113" s="67"/>
      <c r="S113" s="67"/>
      <c r="T113" s="67"/>
      <c r="U113" s="67"/>
    </row>
    <row r="114" spans="1:21" ht="78.75">
      <c r="A114" s="67"/>
      <c r="B114" s="24" t="s">
        <v>222</v>
      </c>
      <c r="C114" s="180">
        <v>92130.14</v>
      </c>
      <c r="D114" s="181"/>
      <c r="E114" s="181"/>
      <c r="F114" s="182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</row>
    <row r="115" spans="1:21" ht="45">
      <c r="A115" s="67"/>
      <c r="B115" s="112" t="s">
        <v>223</v>
      </c>
      <c r="C115" s="173">
        <f>SUM(U106-C110)+C109</f>
        <v>243576.72686423553</v>
      </c>
      <c r="D115" s="174"/>
      <c r="E115" s="174"/>
      <c r="F115" s="175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</row>
    <row r="117" spans="1:21">
      <c r="J117" s="4"/>
      <c r="K117" s="5"/>
      <c r="L117" s="5"/>
      <c r="M117" s="3"/>
    </row>
    <row r="118" spans="1:21">
      <c r="G118" s="6"/>
      <c r="H118" s="6"/>
    </row>
    <row r="119" spans="1:21">
      <c r="G119" s="7"/>
    </row>
  </sheetData>
  <mergeCells count="12">
    <mergeCell ref="B3:L3"/>
    <mergeCell ref="B4:L4"/>
    <mergeCell ref="B5:L5"/>
    <mergeCell ref="B6:L6"/>
    <mergeCell ref="C109:F109"/>
    <mergeCell ref="W81:Z81"/>
    <mergeCell ref="C115:F115"/>
    <mergeCell ref="C110:F110"/>
    <mergeCell ref="C111:F111"/>
    <mergeCell ref="C112:F112"/>
    <mergeCell ref="C113:F113"/>
    <mergeCell ref="C114:F114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Окт.,43</vt:lpstr>
      <vt:lpstr>'Окт.,43'!Область_печати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2017-04-17T13:36:36Z</dcterms:modified>
</cp:coreProperties>
</file>