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тр. 7" sheetId="1" r:id="rId1"/>
  </sheets>
  <definedNames>
    <definedName name="_xlnm.Print_Area" localSheetId="0">'Стр. 7'!$A$1:$U$128</definedName>
  </definedNames>
  <calcPr calcId="124519"/>
</workbook>
</file>

<file path=xl/calcChain.xml><?xml version="1.0" encoding="utf-8"?>
<calcChain xmlns="http://schemas.openxmlformats.org/spreadsheetml/2006/main">
  <c r="H116" i="1"/>
  <c r="O115"/>
  <c r="U115" s="1"/>
  <c r="H115"/>
  <c r="T114"/>
  <c r="U114" s="1"/>
  <c r="H114"/>
  <c r="U113"/>
  <c r="T113"/>
  <c r="H113"/>
  <c r="O112"/>
  <c r="N112"/>
  <c r="S112"/>
  <c r="U112" s="1"/>
  <c r="H112"/>
  <c r="I88"/>
  <c r="T111"/>
  <c r="U111" s="1"/>
  <c r="H111"/>
  <c r="T96"/>
  <c r="Q96"/>
  <c r="N88"/>
  <c r="O88"/>
  <c r="P88"/>
  <c r="Q88"/>
  <c r="R88"/>
  <c r="S88"/>
  <c r="T88"/>
  <c r="S86"/>
  <c r="S110"/>
  <c r="R110"/>
  <c r="U110" s="1"/>
  <c r="H110"/>
  <c r="U109"/>
  <c r="S109"/>
  <c r="H109"/>
  <c r="R94"/>
  <c r="N94"/>
  <c r="O61"/>
  <c r="S61"/>
  <c r="R61"/>
  <c r="K37" l="1"/>
  <c r="T53"/>
  <c r="T41"/>
  <c r="S41"/>
  <c r="S37"/>
  <c r="T35"/>
  <c r="S35"/>
  <c r="Q68"/>
  <c r="Q53"/>
  <c r="J52"/>
  <c r="P52"/>
  <c r="Q48"/>
  <c r="N21"/>
  <c r="M53"/>
  <c r="M28"/>
  <c r="F28"/>
  <c r="Q28" s="1"/>
  <c r="K95"/>
  <c r="L108"/>
  <c r="H108"/>
  <c r="U108"/>
  <c r="L107"/>
  <c r="U107" s="1"/>
  <c r="H107"/>
  <c r="L106"/>
  <c r="U106" s="1"/>
  <c r="H106"/>
  <c r="L105"/>
  <c r="U105" s="1"/>
  <c r="H105"/>
  <c r="U104"/>
  <c r="L104"/>
  <c r="H104"/>
  <c r="L103"/>
  <c r="U103" s="1"/>
  <c r="H103"/>
  <c r="U102"/>
  <c r="L102"/>
  <c r="H102"/>
  <c r="L86"/>
  <c r="L87"/>
  <c r="L88"/>
  <c r="L48"/>
  <c r="L41"/>
  <c r="L35"/>
  <c r="N28" l="1"/>
  <c r="P28"/>
  <c r="R28"/>
  <c r="O28"/>
  <c r="K101"/>
  <c r="U101" s="1"/>
  <c r="H101"/>
  <c r="U100"/>
  <c r="K100"/>
  <c r="H100"/>
  <c r="K99"/>
  <c r="U99" s="1"/>
  <c r="H99"/>
  <c r="U98"/>
  <c r="K98"/>
  <c r="H98"/>
  <c r="K97" l="1"/>
  <c r="U97" s="1"/>
  <c r="H97"/>
  <c r="K91"/>
  <c r="K88"/>
  <c r="U96"/>
  <c r="K96"/>
  <c r="H96"/>
  <c r="U95"/>
  <c r="H95"/>
  <c r="K70"/>
  <c r="U94"/>
  <c r="K94"/>
  <c r="H94"/>
  <c r="K61"/>
  <c r="K41"/>
  <c r="K35"/>
  <c r="F76"/>
  <c r="N76" s="1"/>
  <c r="U76" s="1"/>
  <c r="H76"/>
  <c r="J93"/>
  <c r="U93" s="1"/>
  <c r="H93"/>
  <c r="J92"/>
  <c r="U92" s="1"/>
  <c r="H92"/>
  <c r="J91"/>
  <c r="U91" s="1"/>
  <c r="H91"/>
  <c r="J70"/>
  <c r="J41"/>
  <c r="J35"/>
  <c r="I90"/>
  <c r="U90" s="1"/>
  <c r="H90"/>
  <c r="I89"/>
  <c r="U89" s="1"/>
  <c r="H89"/>
  <c r="U88"/>
  <c r="H88"/>
  <c r="I87"/>
  <c r="U87" s="1"/>
  <c r="H87"/>
  <c r="I86"/>
  <c r="U86" s="1"/>
  <c r="I72"/>
  <c r="U74"/>
  <c r="U72"/>
  <c r="U71"/>
  <c r="U70"/>
  <c r="U68"/>
  <c r="U62"/>
  <c r="U61"/>
  <c r="U58"/>
  <c r="U53"/>
  <c r="U48"/>
  <c r="U31"/>
  <c r="U30"/>
  <c r="U28"/>
  <c r="U21"/>
  <c r="H48"/>
  <c r="F53"/>
  <c r="H53" s="1"/>
  <c r="U52"/>
  <c r="I41"/>
  <c r="U41" s="1"/>
  <c r="U37"/>
  <c r="I35"/>
  <c r="U35" s="1"/>
  <c r="F58"/>
  <c r="F39"/>
  <c r="F36"/>
  <c r="H21"/>
  <c r="F20"/>
  <c r="N20" s="1"/>
  <c r="U20" s="1"/>
  <c r="F19"/>
  <c r="N19" s="1"/>
  <c r="U19" s="1"/>
  <c r="F16"/>
  <c r="F59"/>
  <c r="F56"/>
  <c r="K56" s="1"/>
  <c r="F51"/>
  <c r="F27"/>
  <c r="H86"/>
  <c r="H58"/>
  <c r="R27" l="1"/>
  <c r="P27"/>
  <c r="N27"/>
  <c r="M27"/>
  <c r="Q27"/>
  <c r="O27"/>
  <c r="P51"/>
  <c r="J51"/>
  <c r="U51" s="1"/>
  <c r="H59"/>
  <c r="T59"/>
  <c r="Q59"/>
  <c r="O59"/>
  <c r="L59"/>
  <c r="S59"/>
  <c r="R59"/>
  <c r="P59"/>
  <c r="N59"/>
  <c r="M59"/>
  <c r="I39"/>
  <c r="T39"/>
  <c r="S39"/>
  <c r="L39"/>
  <c r="I56"/>
  <c r="T56"/>
  <c r="S56"/>
  <c r="L56"/>
  <c r="I16"/>
  <c r="O16"/>
  <c r="K16"/>
  <c r="S16"/>
  <c r="Q16"/>
  <c r="M16"/>
  <c r="I36"/>
  <c r="S36"/>
  <c r="T36"/>
  <c r="L36"/>
  <c r="U116"/>
  <c r="K36"/>
  <c r="K39"/>
  <c r="K59"/>
  <c r="J59"/>
  <c r="U16"/>
  <c r="J36"/>
  <c r="J39"/>
  <c r="U39" s="1"/>
  <c r="J56"/>
  <c r="H51"/>
  <c r="I59"/>
  <c r="F45"/>
  <c r="H27"/>
  <c r="Q45" l="1"/>
  <c r="L45"/>
  <c r="U45" s="1"/>
  <c r="U59"/>
  <c r="U56"/>
  <c r="U36"/>
  <c r="U27"/>
  <c r="H37"/>
  <c r="F15" l="1"/>
  <c r="H36"/>
  <c r="H72"/>
  <c r="T15" l="1"/>
  <c r="Q15"/>
  <c r="O15"/>
  <c r="S15"/>
  <c r="R15"/>
  <c r="P15"/>
  <c r="N15"/>
  <c r="M15"/>
  <c r="L15"/>
  <c r="K15"/>
  <c r="I15"/>
  <c r="J15"/>
  <c r="H71"/>
  <c r="U15" l="1"/>
  <c r="F14"/>
  <c r="M14" s="1"/>
  <c r="U14" s="1"/>
  <c r="F17"/>
  <c r="N17" s="1"/>
  <c r="U17" s="1"/>
  <c r="F18"/>
  <c r="N18" s="1"/>
  <c r="U18" s="1"/>
  <c r="F119" l="1"/>
  <c r="E79"/>
  <c r="H82" s="1"/>
  <c r="F77"/>
  <c r="H74"/>
  <c r="H70"/>
  <c r="H68"/>
  <c r="F67"/>
  <c r="F66"/>
  <c r="F65"/>
  <c r="F64"/>
  <c r="F63"/>
  <c r="H62"/>
  <c r="H61"/>
  <c r="H56"/>
  <c r="H52"/>
  <c r="F50"/>
  <c r="F49"/>
  <c r="F47"/>
  <c r="F46"/>
  <c r="H45"/>
  <c r="F44"/>
  <c r="H41"/>
  <c r="F40"/>
  <c r="H39"/>
  <c r="F38"/>
  <c r="H35"/>
  <c r="F32"/>
  <c r="H31"/>
  <c r="H30"/>
  <c r="F29"/>
  <c r="H28"/>
  <c r="F26"/>
  <c r="F25"/>
  <c r="F24"/>
  <c r="H20"/>
  <c r="H18"/>
  <c r="H17"/>
  <c r="H14"/>
  <c r="F13"/>
  <c r="F12"/>
  <c r="F11"/>
  <c r="T11" l="1"/>
  <c r="Q11"/>
  <c r="O11"/>
  <c r="M11"/>
  <c r="L11"/>
  <c r="S11"/>
  <c r="R11"/>
  <c r="P11"/>
  <c r="N11"/>
  <c r="K11"/>
  <c r="T13"/>
  <c r="Q13"/>
  <c r="O13"/>
  <c r="M13"/>
  <c r="L13"/>
  <c r="S13"/>
  <c r="R13"/>
  <c r="P13"/>
  <c r="N13"/>
  <c r="K13"/>
  <c r="T12"/>
  <c r="R12"/>
  <c r="P12"/>
  <c r="N12"/>
  <c r="L12"/>
  <c r="S12"/>
  <c r="Q12"/>
  <c r="O12"/>
  <c r="M12"/>
  <c r="K12"/>
  <c r="H24"/>
  <c r="Q24"/>
  <c r="O24"/>
  <c r="M24"/>
  <c r="R24"/>
  <c r="P24"/>
  <c r="N24"/>
  <c r="H26"/>
  <c r="M26"/>
  <c r="U26" s="1"/>
  <c r="S29"/>
  <c r="R29"/>
  <c r="P29"/>
  <c r="N29"/>
  <c r="L29"/>
  <c r="T29"/>
  <c r="Q29"/>
  <c r="O29"/>
  <c r="M29"/>
  <c r="K29"/>
  <c r="H47"/>
  <c r="Q47"/>
  <c r="L47"/>
  <c r="U47" s="1"/>
  <c r="P50"/>
  <c r="J50"/>
  <c r="H64"/>
  <c r="M64"/>
  <c r="U64" s="1"/>
  <c r="H66"/>
  <c r="M66"/>
  <c r="U66" s="1"/>
  <c r="T77"/>
  <c r="R77"/>
  <c r="P77"/>
  <c r="N77"/>
  <c r="S77"/>
  <c r="Q77"/>
  <c r="O77"/>
  <c r="M77"/>
  <c r="L77"/>
  <c r="K77"/>
  <c r="H25"/>
  <c r="R25"/>
  <c r="P25"/>
  <c r="N25"/>
  <c r="Q25"/>
  <c r="O25"/>
  <c r="M25"/>
  <c r="J32"/>
  <c r="S32"/>
  <c r="Q32"/>
  <c r="O32"/>
  <c r="M32"/>
  <c r="T32"/>
  <c r="R32"/>
  <c r="P32"/>
  <c r="N32"/>
  <c r="L32"/>
  <c r="K32"/>
  <c r="J38"/>
  <c r="T38"/>
  <c r="L38"/>
  <c r="S38"/>
  <c r="K38"/>
  <c r="J40"/>
  <c r="T40"/>
  <c r="L40"/>
  <c r="S40"/>
  <c r="K40"/>
  <c r="H44"/>
  <c r="Q44"/>
  <c r="L44"/>
  <c r="H46"/>
  <c r="Q46"/>
  <c r="L46"/>
  <c r="U46" s="1"/>
  <c r="T49"/>
  <c r="Q49"/>
  <c r="M49"/>
  <c r="J49"/>
  <c r="I49"/>
  <c r="H63"/>
  <c r="M63"/>
  <c r="U63" s="1"/>
  <c r="H65"/>
  <c r="M65"/>
  <c r="U65" s="1"/>
  <c r="H67"/>
  <c r="M67"/>
  <c r="U67" s="1"/>
  <c r="I11"/>
  <c r="J11"/>
  <c r="I12"/>
  <c r="J12"/>
  <c r="I29"/>
  <c r="J29"/>
  <c r="I77"/>
  <c r="J77"/>
  <c r="I13"/>
  <c r="J13"/>
  <c r="H32"/>
  <c r="I32"/>
  <c r="U32" s="1"/>
  <c r="H38"/>
  <c r="I38"/>
  <c r="U38" s="1"/>
  <c r="H40"/>
  <c r="I40"/>
  <c r="U40" s="1"/>
  <c r="H49"/>
  <c r="U49"/>
  <c r="H50"/>
  <c r="U50"/>
  <c r="H77"/>
  <c r="H78" s="1"/>
  <c r="H29"/>
  <c r="H54"/>
  <c r="H11"/>
  <c r="H12"/>
  <c r="H16"/>
  <c r="H13"/>
  <c r="H15"/>
  <c r="F79"/>
  <c r="H19"/>
  <c r="H42"/>
  <c r="H75"/>
  <c r="T79" l="1"/>
  <c r="Q79"/>
  <c r="O79"/>
  <c r="M79"/>
  <c r="L79"/>
  <c r="S79"/>
  <c r="R79"/>
  <c r="P79"/>
  <c r="N79"/>
  <c r="K79"/>
  <c r="H33"/>
  <c r="U75"/>
  <c r="U44"/>
  <c r="U25"/>
  <c r="N119"/>
  <c r="R119"/>
  <c r="L119"/>
  <c r="O119"/>
  <c r="T119"/>
  <c r="U24"/>
  <c r="K119"/>
  <c r="P119"/>
  <c r="S119"/>
  <c r="M119"/>
  <c r="Q119"/>
  <c r="U54"/>
  <c r="U42"/>
  <c r="I79"/>
  <c r="J79"/>
  <c r="U13"/>
  <c r="U77"/>
  <c r="U78" s="1"/>
  <c r="U29"/>
  <c r="U33" s="1"/>
  <c r="U12"/>
  <c r="U11"/>
  <c r="J119"/>
  <c r="H22"/>
  <c r="H79"/>
  <c r="H80" s="1"/>
  <c r="C125"/>
  <c r="U22" l="1"/>
  <c r="U79"/>
  <c r="U80" s="1"/>
  <c r="I119"/>
  <c r="H81"/>
  <c r="H83" s="1"/>
  <c r="U81" l="1"/>
  <c r="U119" s="1"/>
  <c r="C124" s="1"/>
  <c r="C128" l="1"/>
  <c r="H118"/>
  <c r="G119" s="1"/>
  <c r="H119" s="1"/>
</calcChain>
</file>

<file path=xl/sharedStrings.xml><?xml version="1.0" encoding="utf-8"?>
<sst xmlns="http://schemas.openxmlformats.org/spreadsheetml/2006/main" count="354" uniqueCount="261">
  <si>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</si>
  <si>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</si>
  <si>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</si>
  <si>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</si>
  <si>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</si>
  <si>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</si>
  <si>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</si>
  <si>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</si>
  <si>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</si>
  <si>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</si>
  <si>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</si>
  <si>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</si>
  <si>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</si>
  <si>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</si>
  <si>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</si>
  <si>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</si>
  <si>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</si>
  <si>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</si>
  <si>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</si>
  <si>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</si>
  <si>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</si>
  <si>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</si>
  <si>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</si>
  <si>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</si>
  <si>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</si>
  <si>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</si>
  <si>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</si>
  <si>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</si>
  <si>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</si>
  <si>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</si>
  <si>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</si>
  <si>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</si>
  <si>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</si>
  <si>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</si>
  <si>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</si>
  <si>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</si>
  <si>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</si>
  <si>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</si>
  <si>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</si>
  <si>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</si>
  <si>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</si>
  <si>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</si>
  <si>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</si>
  <si>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</si>
  <si>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</si>
  <si>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</si>
  <si>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</si>
  <si>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</si>
  <si>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</si>
  <si>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</si>
  <si>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</si>
  <si>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</si>
  <si>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</si>
  <si>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</si>
  <si>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</si>
  <si>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</si>
  <si>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</si>
  <si>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</si>
  <si>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</si>
  <si>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</si>
  <si>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</si>
  <si>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</si>
  <si>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</si>
  <si>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</si>
  <si>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</si>
  <si>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</si>
  <si>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</si>
  <si>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</si>
  <si>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</si>
  <si>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</si>
  <si>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</si>
  <si>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</si>
  <si>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</si>
  <si>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</si>
  <si>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</si>
  <si>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</si>
  <si>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</si>
  <si>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</si>
  <si>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</si>
  <si>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</si>
  <si>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</si>
  <si>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</si>
  <si>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</si>
  <si>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</si>
  <si>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</si>
  <si>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</si>
  <si>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</si>
  <si>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</si>
  <si>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</si>
  <si>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</si>
  <si>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</si>
  <si>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</si>
  <si>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</si>
  <si>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</si>
  <si>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</si>
  <si>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</si>
  <si>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</si>
  <si>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</si>
  <si>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</si>
  <si>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</si>
  <si>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</si>
  <si>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</si>
  <si>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</si>
  <si>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</si>
  <si>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</si>
  <si>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</si>
  <si>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</si>
  <si>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</si>
  <si>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</si>
  <si>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</si>
  <si>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</si>
  <si>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</si>
  <si>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</si>
  <si>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</si>
  <si>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</si>
  <si>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</si>
  <si>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</si>
  <si>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</si>
  <si>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</si>
  <si>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</si>
  <si>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</si>
  <si>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</si>
  <si>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</si>
  <si>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</si>
  <si>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</si>
  <si>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</si>
  <si>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</si>
  <si>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</si>
  <si>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</si>
  <si>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</si>
  <si>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</si>
  <si>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</si>
  <si>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</si>
  <si>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</si>
  <si>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</si>
  <si>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</si>
  <si>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</si>
  <si>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</si>
  <si>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</si>
  <si>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</si>
  <si>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</si>
  <si>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</si>
  <si>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</si>
  <si>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</si>
  <si>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</si>
  <si>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</si>
  <si>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</si>
  <si>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</si>
  <si>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</si>
  <si>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</si>
  <si>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</si>
  <si>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</si>
  <si>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</si>
  <si>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</si>
  <si>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 xml:space="preserve">1 раз в месяц </t>
  </si>
  <si>
    <t>Вывоз снега с придомовой территории</t>
  </si>
  <si>
    <t>1 раз в месяц</t>
  </si>
  <si>
    <t>ТЭР 55-003</t>
  </si>
  <si>
    <t>Очистка урн от мусора</t>
  </si>
  <si>
    <t>Дератизация</t>
  </si>
  <si>
    <t>Очистка  от мусора</t>
  </si>
  <si>
    <t>1 раз в 2 месяца</t>
  </si>
  <si>
    <t>ТЭР 51-022</t>
  </si>
  <si>
    <t>Влажная протирка шкафов для щитов и слаботочн.ус.</t>
  </si>
  <si>
    <t>30 раз за сезон</t>
  </si>
  <si>
    <t>35 раз за сезон</t>
  </si>
  <si>
    <t>ТЭР3-7-1в</t>
  </si>
  <si>
    <t>Осмотр шиферной  кровли</t>
  </si>
  <si>
    <t>ТЭР 42-003</t>
  </si>
  <si>
    <t>Осмотр деревянных конструкций стропил</t>
  </si>
  <si>
    <t xml:space="preserve"> Очистка края кровли от слежавшегося снега со сбрасыванием сосулек (10% от S кровли)</t>
  </si>
  <si>
    <t>калькуляция</t>
  </si>
  <si>
    <t>Работа автовышки</t>
  </si>
  <si>
    <t>маш/час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</si>
  <si>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</si>
  <si>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</si>
  <si>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</si>
  <si>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</si>
  <si>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</si>
  <si>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</si>
  <si>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</si>
  <si>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</si>
  <si>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</si>
  <si>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</si>
  <si>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</si>
  <si>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</si>
  <si>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</si>
  <si>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3 раза в год</t>
  </si>
  <si>
    <t>Внеплановый осмотр электросетей, арматуры и электрооборудования на лестничных клетках</t>
  </si>
  <si>
    <t>Снятие показаний эл.счетчика коммунального назначения</t>
  </si>
  <si>
    <t>ТЭР 33-037</t>
  </si>
  <si>
    <t>прим. ТЭР 11-013</t>
  </si>
  <si>
    <t>Заделка слуховых окон</t>
  </si>
  <si>
    <t>1 соединение</t>
  </si>
  <si>
    <t>прим. ТЭР 2-2-1-2-7</t>
  </si>
  <si>
    <t>Уплотнение контргайки ДУ-15</t>
  </si>
  <si>
    <t>Смена выключателей</t>
  </si>
  <si>
    <t>ТЭР 33-025</t>
  </si>
  <si>
    <t>смета</t>
  </si>
  <si>
    <t>Монтаж кабеля на дожимной насос</t>
  </si>
  <si>
    <t>тыс.руб.</t>
  </si>
  <si>
    <t>Монтаж светодиодных светильников наружного освещения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</si>
  <si>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Строительная, 7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</si>
  <si>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3 подъезда</t>
  </si>
  <si>
    <t>Стоимость (руб.)</t>
  </si>
  <si>
    <t>договор</t>
  </si>
  <si>
    <t>ТО внутридомового газ.оборудования</t>
  </si>
  <si>
    <t>10 м</t>
  </si>
  <si>
    <t>Подключение и отключение сварочного аппарата</t>
  </si>
  <si>
    <t>ТЭР 33-060</t>
  </si>
  <si>
    <t>Ремонт силового предохранительного шкафа (без стоимости материалов)</t>
  </si>
  <si>
    <t>ТЭР 33-032</t>
  </si>
  <si>
    <t>Ремонт групповых щитков на лестничной клетке без ремонта автоматов</t>
  </si>
  <si>
    <t>ТЭР 33-030</t>
  </si>
  <si>
    <t>Демонтаж осветительных приборов. Выключатели, розетки</t>
  </si>
  <si>
    <t>10шт</t>
  </si>
  <si>
    <t>ТЭР 33-013</t>
  </si>
  <si>
    <t>Смена автомата трехфазного</t>
  </si>
  <si>
    <t>ТЭР 33-047</t>
  </si>
  <si>
    <t>1 м</t>
  </si>
  <si>
    <t>ТЭР 32-087</t>
  </si>
  <si>
    <t>ТЭР 32-089</t>
  </si>
  <si>
    <t>Смена внутренних трубопроводов из стальных труб диаметром до 32 мм</t>
  </si>
  <si>
    <t xml:space="preserve">Смена внутренних трубопроводов из стальных труб диаметром до 50 мм </t>
  </si>
  <si>
    <t>Смена арматуры - вентилей и клапанов обратных муфтовых диаметром до 20 мм</t>
  </si>
  <si>
    <t>ТЭР 32-027</t>
  </si>
  <si>
    <t>Демонтаж кабеля</t>
  </si>
  <si>
    <t>ТЭР 33-012</t>
  </si>
  <si>
    <t>Демонтаж осветительных приборов. Патроны, подвесы</t>
  </si>
  <si>
    <t>ТЭР 33-014</t>
  </si>
  <si>
    <t>Демонтаж осветительных приборов. Светильники с лампами накаливания</t>
  </si>
  <si>
    <t>ТЭР 33-015</t>
  </si>
  <si>
    <t>Ремонт и регулировка доводчика (со стоимостью доводчика)</t>
  </si>
  <si>
    <t>1шт.</t>
  </si>
  <si>
    <t xml:space="preserve">Смена сгонов у трубопроводов диаметром до 20 мм </t>
  </si>
  <si>
    <t>1 сгон</t>
  </si>
  <si>
    <t>ТЭР 31-009</t>
  </si>
  <si>
    <t>прим.ТЭР 31-009</t>
  </si>
  <si>
    <t>1 шт.</t>
  </si>
  <si>
    <t>10шт.</t>
  </si>
  <si>
    <t>Установка тройников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</si>
  <si>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</si>
  <si>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</si>
  <si>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</si>
  <si>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</si>
  <si>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</si>
  <si>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</si>
  <si>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и регулировка доводчика (без стоимости доводчика)</t>
  </si>
  <si>
    <t>место</t>
  </si>
  <si>
    <t>ТЭР 32-098</t>
  </si>
  <si>
    <t>Ремонт внутренних трубопроводов и стояков д=до 50 мм ( хомуты)</t>
  </si>
  <si>
    <t>Q2-2-1-3-3</t>
  </si>
  <si>
    <t>Мелкий ремонт электропроводки</t>
  </si>
  <si>
    <t>Смена трубопроводов на металл-полимерные трубы д=20 (подвал, кв.19,22,25,28,31)</t>
  </si>
  <si>
    <t xml:space="preserve">Ремонт кирпичной кладки  после работы ВДИС </t>
  </si>
  <si>
    <t>Ремонт штукатурки внугренних стен по камню известковым раствором площадью до 1 м2 толщиной слоя до 20 мм</t>
  </si>
  <si>
    <t>10 м2</t>
  </si>
  <si>
    <t>ТЭР 21-001</t>
  </si>
  <si>
    <t>32-029</t>
  </si>
  <si>
    <t>Смена арматуры - вентилей и клапанов обратных муфтовых диаметром до 50 мм</t>
  </si>
  <si>
    <t>1 шт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</si>
</sst>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1" fillId="12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32"/>
  <sheetViews>
    <sheetView tabSelected="1" view="pageBreakPreview" zoomScaleNormal="75" zoomScaleSheetLayoutView="100" workbookViewId="0">
      <pane ySplit="7" topLeftCell="A115" activePane="bottomLeft" state="frozen"/>
      <selection activeCell="B1" sqref="B1"/>
      <selection pane="bottomLeft" activeCell="I119" sqref="I119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140625" customWidth="1"/>
    <col min="10" max="11" width="10" customWidth="1"/>
    <col min="12" max="12" width="9.85546875" customWidth="1"/>
    <col min="13" max="13" width="10" customWidth="1"/>
    <col min="14" max="15" width="10.140625" customWidth="1"/>
    <col min="16" max="16" width="9.5703125" customWidth="1"/>
    <col min="17" max="17" width="10.140625" customWidth="1"/>
    <col min="18" max="18" width="9.7109375" customWidth="1"/>
    <col min="19" max="19" width="9.5703125" customWidth="1"/>
    <col min="20" max="20" width="9.7109375" customWidth="1"/>
    <col min="21" max="21" width="11.7109375" customWidth="1"/>
  </cols>
  <sheetData>
    <row r="1" spans="1:21" ht="14.25" customHeight="1">
      <c r="A1" s="10"/>
    </row>
    <row r="3" spans="1:21" ht="18">
      <c r="A3" s="141"/>
      <c r="B3" s="156" t="s">
        <v>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74"/>
      <c r="N3" s="74"/>
      <c r="O3" s="74"/>
      <c r="P3" s="74"/>
      <c r="Q3" s="74"/>
      <c r="R3" s="74"/>
      <c r="S3" s="74"/>
      <c r="T3" s="74"/>
      <c r="U3" s="74"/>
    </row>
    <row r="4" spans="1:21" ht="33.75" customHeight="1">
      <c r="A4" s="74"/>
      <c r="B4" s="157" t="s">
        <v>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74"/>
      <c r="N4" s="74"/>
      <c r="O4" s="74"/>
      <c r="P4" s="74"/>
      <c r="Q4" s="74"/>
      <c r="R4" s="74"/>
      <c r="S4" s="74"/>
      <c r="T4" s="74"/>
      <c r="U4" s="74"/>
    </row>
    <row r="5" spans="1:21" ht="18">
      <c r="A5" s="74"/>
      <c r="B5" s="157" t="s">
        <v>202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74"/>
      <c r="N5" s="74"/>
      <c r="O5" s="74"/>
      <c r="P5" s="74"/>
      <c r="Q5" s="74"/>
      <c r="R5" s="74"/>
      <c r="S5" s="74"/>
      <c r="T5" s="74"/>
      <c r="U5" s="74"/>
    </row>
    <row r="6" spans="1:21" ht="15">
      <c r="A6" s="74"/>
      <c r="B6" s="158" t="s">
        <v>203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74"/>
      <c r="N6" s="74"/>
      <c r="O6" s="74"/>
      <c r="P6" s="74"/>
      <c r="Q6" s="74"/>
      <c r="R6" s="74"/>
      <c r="S6" s="74"/>
      <c r="T6" s="74"/>
      <c r="U6" s="74"/>
    </row>
    <row r="7" spans="1:21" ht="46.5" customHeight="1">
      <c r="A7" s="126" t="s">
        <v>2</v>
      </c>
      <c r="B7" s="126" t="s">
        <v>3</v>
      </c>
      <c r="C7" s="126" t="s">
        <v>4</v>
      </c>
      <c r="D7" s="126" t="s">
        <v>5</v>
      </c>
      <c r="E7" s="126" t="s">
        <v>6</v>
      </c>
      <c r="F7" s="126" t="s">
        <v>7</v>
      </c>
      <c r="G7" s="126" t="s">
        <v>8</v>
      </c>
      <c r="H7" s="127" t="s">
        <v>9</v>
      </c>
      <c r="I7" s="28" t="s">
        <v>174</v>
      </c>
      <c r="J7" s="28" t="s">
        <v>175</v>
      </c>
      <c r="K7" s="28" t="s">
        <v>176</v>
      </c>
      <c r="L7" s="28" t="s">
        <v>177</v>
      </c>
      <c r="M7" s="28" t="s">
        <v>178</v>
      </c>
      <c r="N7" s="28" t="s">
        <v>179</v>
      </c>
      <c r="O7" s="28" t="s">
        <v>180</v>
      </c>
      <c r="P7" s="28" t="s">
        <v>181</v>
      </c>
      <c r="Q7" s="28" t="s">
        <v>182</v>
      </c>
      <c r="R7" s="28" t="s">
        <v>183</v>
      </c>
      <c r="S7" s="28" t="s">
        <v>184</v>
      </c>
      <c r="T7" s="28" t="s">
        <v>185</v>
      </c>
      <c r="U7" s="28" t="s">
        <v>204</v>
      </c>
    </row>
    <row r="8" spans="1:21">
      <c r="A8" s="29">
        <v>1</v>
      </c>
      <c r="B8" s="7">
        <v>2</v>
      </c>
      <c r="C8" s="29">
        <v>3</v>
      </c>
      <c r="D8" s="7">
        <v>4</v>
      </c>
      <c r="E8" s="7">
        <v>5</v>
      </c>
      <c r="F8" s="29">
        <v>6</v>
      </c>
      <c r="G8" s="29">
        <v>7</v>
      </c>
      <c r="H8" s="30">
        <v>8</v>
      </c>
      <c r="I8" s="31">
        <v>10</v>
      </c>
      <c r="J8" s="31">
        <v>11</v>
      </c>
      <c r="K8" s="31">
        <v>12</v>
      </c>
      <c r="L8" s="31">
        <v>13</v>
      </c>
      <c r="M8" s="32">
        <v>14</v>
      </c>
      <c r="N8" s="31">
        <v>15</v>
      </c>
      <c r="O8" s="31">
        <v>16</v>
      </c>
      <c r="P8" s="31">
        <v>17</v>
      </c>
      <c r="Q8" s="31">
        <v>18</v>
      </c>
      <c r="R8" s="31">
        <v>19</v>
      </c>
      <c r="S8" s="31">
        <v>20</v>
      </c>
      <c r="T8" s="31">
        <v>21</v>
      </c>
      <c r="U8" s="31">
        <v>22</v>
      </c>
    </row>
    <row r="9" spans="1:21" ht="38.25">
      <c r="A9" s="29"/>
      <c r="B9" s="9" t="s">
        <v>10</v>
      </c>
      <c r="C9" s="29"/>
      <c r="D9" s="11"/>
      <c r="E9" s="11"/>
      <c r="F9" s="29"/>
      <c r="G9" s="29"/>
      <c r="H9" s="33"/>
      <c r="I9" s="34"/>
      <c r="J9" s="34"/>
      <c r="K9" s="34"/>
      <c r="L9" s="34"/>
      <c r="M9" s="35"/>
      <c r="N9" s="36"/>
      <c r="O9" s="36"/>
      <c r="P9" s="36"/>
      <c r="Q9" s="36"/>
      <c r="R9" s="36"/>
      <c r="S9" s="36"/>
      <c r="T9" s="36"/>
      <c r="U9" s="36"/>
    </row>
    <row r="10" spans="1:21">
      <c r="A10" s="29"/>
      <c r="B10" s="9" t="s">
        <v>11</v>
      </c>
      <c r="C10" s="29"/>
      <c r="D10" s="11"/>
      <c r="E10" s="11"/>
      <c r="F10" s="29"/>
      <c r="G10" s="29"/>
      <c r="H10" s="33"/>
      <c r="I10" s="34"/>
      <c r="J10" s="34"/>
      <c r="K10" s="34"/>
      <c r="L10" s="34"/>
      <c r="M10" s="35"/>
      <c r="N10" s="36"/>
      <c r="O10" s="36"/>
      <c r="P10" s="36"/>
      <c r="Q10" s="36"/>
      <c r="R10" s="36"/>
      <c r="S10" s="36"/>
      <c r="T10" s="36"/>
      <c r="U10" s="36"/>
    </row>
    <row r="11" spans="1:21" ht="25.5">
      <c r="A11" s="29" t="s">
        <v>12</v>
      </c>
      <c r="B11" s="11" t="s">
        <v>13</v>
      </c>
      <c r="C11" s="29" t="s">
        <v>14</v>
      </c>
      <c r="D11" s="11" t="s">
        <v>15</v>
      </c>
      <c r="E11" s="37">
        <v>49.72</v>
      </c>
      <c r="F11" s="38">
        <f>SUM(E11*156/100)</f>
        <v>77.563199999999995</v>
      </c>
      <c r="G11" s="38">
        <v>187.48</v>
      </c>
      <c r="H11" s="39">
        <f t="shared" ref="H11:H20" si="0">SUM(F11*G11/1000)</f>
        <v>14.541548735999999</v>
      </c>
      <c r="I11" s="40">
        <f>F11/12*G11</f>
        <v>1211.7957279999998</v>
      </c>
      <c r="J11" s="40">
        <f>F11/12*G11</f>
        <v>1211.7957279999998</v>
      </c>
      <c r="K11" s="40">
        <f>F11/12*G11</f>
        <v>1211.7957279999998</v>
      </c>
      <c r="L11" s="40">
        <f>F11/12*G11</f>
        <v>1211.7957279999998</v>
      </c>
      <c r="M11" s="40">
        <f>F11/12*G11</f>
        <v>1211.7957279999998</v>
      </c>
      <c r="N11" s="40">
        <f>F11/12*G11</f>
        <v>1211.7957279999998</v>
      </c>
      <c r="O11" s="40">
        <f>F11/12*G11</f>
        <v>1211.7957279999998</v>
      </c>
      <c r="P11" s="40">
        <f>F11/12*G11</f>
        <v>1211.7957279999998</v>
      </c>
      <c r="Q11" s="40">
        <f>F11/12*G11</f>
        <v>1211.7957279999998</v>
      </c>
      <c r="R11" s="40">
        <f>F11/12*G11</f>
        <v>1211.7957279999998</v>
      </c>
      <c r="S11" s="40">
        <f>F11/12*G11</f>
        <v>1211.7957279999998</v>
      </c>
      <c r="T11" s="40">
        <f>F11/12*G11</f>
        <v>1211.7957279999998</v>
      </c>
      <c r="U11" s="40">
        <f t="shared" ref="U11:U21" si="1">SUM(I11:T11)</f>
        <v>14541.548735999995</v>
      </c>
    </row>
    <row r="12" spans="1:21" ht="25.5">
      <c r="A12" s="29" t="s">
        <v>12</v>
      </c>
      <c r="B12" s="11" t="s">
        <v>16</v>
      </c>
      <c r="C12" s="29" t="s">
        <v>14</v>
      </c>
      <c r="D12" s="11" t="s">
        <v>17</v>
      </c>
      <c r="E12" s="37">
        <v>198.88</v>
      </c>
      <c r="F12" s="38">
        <f>SUM(E12*104/100)</f>
        <v>206.83520000000001</v>
      </c>
      <c r="G12" s="38">
        <v>187.48</v>
      </c>
      <c r="H12" s="39">
        <f t="shared" si="0"/>
        <v>38.777463296000001</v>
      </c>
      <c r="I12" s="40">
        <f>F12/12*G12</f>
        <v>3231.4552746666668</v>
      </c>
      <c r="J12" s="40">
        <f>F12/12*G12</f>
        <v>3231.4552746666668</v>
      </c>
      <c r="K12" s="40">
        <f>F12/12*G12</f>
        <v>3231.4552746666668</v>
      </c>
      <c r="L12" s="40">
        <f>F12/12*G12</f>
        <v>3231.4552746666668</v>
      </c>
      <c r="M12" s="40">
        <f>F12/12*G12</f>
        <v>3231.4552746666668</v>
      </c>
      <c r="N12" s="40">
        <f>F12/12*G12</f>
        <v>3231.4552746666668</v>
      </c>
      <c r="O12" s="40">
        <f>F12/12*G12</f>
        <v>3231.4552746666668</v>
      </c>
      <c r="P12" s="40">
        <f>F12/12*G12</f>
        <v>3231.4552746666668</v>
      </c>
      <c r="Q12" s="40">
        <f>F12/12*G12</f>
        <v>3231.4552746666668</v>
      </c>
      <c r="R12" s="40">
        <f>F12/12*G12</f>
        <v>3231.4552746666668</v>
      </c>
      <c r="S12" s="40">
        <f>F12/12*G12</f>
        <v>3231.4552746666668</v>
      </c>
      <c r="T12" s="40">
        <f>F12/12*G12</f>
        <v>3231.4552746666668</v>
      </c>
      <c r="U12" s="40">
        <f t="shared" si="1"/>
        <v>38777.463296000002</v>
      </c>
    </row>
    <row r="13" spans="1:21" ht="25.5">
      <c r="A13" s="29" t="s">
        <v>18</v>
      </c>
      <c r="B13" s="11" t="s">
        <v>19</v>
      </c>
      <c r="C13" s="29" t="s">
        <v>14</v>
      </c>
      <c r="D13" s="11" t="s">
        <v>20</v>
      </c>
      <c r="E13" s="37">
        <v>248.6</v>
      </c>
      <c r="F13" s="38">
        <f>SUM(E13*24/100)</f>
        <v>59.663999999999994</v>
      </c>
      <c r="G13" s="38">
        <v>539.30999999999995</v>
      </c>
      <c r="H13" s="39">
        <f t="shared" si="0"/>
        <v>32.177391839999991</v>
      </c>
      <c r="I13" s="40">
        <f>F13/12*G13</f>
        <v>2681.4493199999993</v>
      </c>
      <c r="J13" s="40">
        <f>F13/12*G13</f>
        <v>2681.4493199999993</v>
      </c>
      <c r="K13" s="40">
        <f>F13/12*G13</f>
        <v>2681.4493199999993</v>
      </c>
      <c r="L13" s="40">
        <f>F13/12*G13</f>
        <v>2681.4493199999993</v>
      </c>
      <c r="M13" s="40">
        <f>F13/12*G13</f>
        <v>2681.4493199999993</v>
      </c>
      <c r="N13" s="40">
        <f>F13/12*G13</f>
        <v>2681.4493199999993</v>
      </c>
      <c r="O13" s="40">
        <f>F13/12*G13</f>
        <v>2681.4493199999993</v>
      </c>
      <c r="P13" s="40">
        <f>F13/12*G13</f>
        <v>2681.4493199999993</v>
      </c>
      <c r="Q13" s="40">
        <f>F13/12*G13</f>
        <v>2681.4493199999993</v>
      </c>
      <c r="R13" s="40">
        <f>F13/12*G13</f>
        <v>2681.4493199999993</v>
      </c>
      <c r="S13" s="40">
        <f>F13/12*G13</f>
        <v>2681.4493199999993</v>
      </c>
      <c r="T13" s="40">
        <f>F13/12*G13</f>
        <v>2681.4493199999993</v>
      </c>
      <c r="U13" s="40">
        <f t="shared" si="1"/>
        <v>32177.391839999993</v>
      </c>
    </row>
    <row r="14" spans="1:21">
      <c r="A14" s="29" t="s">
        <v>21</v>
      </c>
      <c r="B14" s="11" t="s">
        <v>22</v>
      </c>
      <c r="C14" s="29" t="s">
        <v>23</v>
      </c>
      <c r="D14" s="11" t="s">
        <v>146</v>
      </c>
      <c r="E14" s="37">
        <v>18.48</v>
      </c>
      <c r="F14" s="38">
        <f>SUM(E14/10)</f>
        <v>1.8480000000000001</v>
      </c>
      <c r="G14" s="38">
        <v>181.91</v>
      </c>
      <c r="H14" s="39">
        <f t="shared" si="0"/>
        <v>0.33616968000000003</v>
      </c>
      <c r="I14" s="40">
        <v>0</v>
      </c>
      <c r="J14" s="40">
        <v>0</v>
      </c>
      <c r="K14" s="40">
        <v>0</v>
      </c>
      <c r="L14" s="40">
        <v>0</v>
      </c>
      <c r="M14" s="40">
        <f>F14*G14</f>
        <v>336.16968000000003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1"/>
        <v>336.16968000000003</v>
      </c>
    </row>
    <row r="15" spans="1:21">
      <c r="A15" s="29" t="s">
        <v>24</v>
      </c>
      <c r="B15" s="11" t="s">
        <v>25</v>
      </c>
      <c r="C15" s="29" t="s">
        <v>14</v>
      </c>
      <c r="D15" s="11" t="s">
        <v>154</v>
      </c>
      <c r="E15" s="37">
        <v>10.5</v>
      </c>
      <c r="F15" s="38">
        <f>SUM(E15*12/100)</f>
        <v>1.26</v>
      </c>
      <c r="G15" s="38">
        <v>232.92</v>
      </c>
      <c r="H15" s="39">
        <f t="shared" si="0"/>
        <v>0.2934792</v>
      </c>
      <c r="I15" s="40">
        <f>F15/12*G15</f>
        <v>24.456599999999998</v>
      </c>
      <c r="J15" s="40">
        <f>F15/12*G15</f>
        <v>24.456599999999998</v>
      </c>
      <c r="K15" s="40">
        <f>F15/12*G15</f>
        <v>24.456599999999998</v>
      </c>
      <c r="L15" s="40">
        <f>F15/12*G15</f>
        <v>24.456599999999998</v>
      </c>
      <c r="M15" s="40">
        <f>F15/12*G15</f>
        <v>24.456599999999998</v>
      </c>
      <c r="N15" s="40">
        <f>F15/12*G15</f>
        <v>24.456599999999998</v>
      </c>
      <c r="O15" s="40">
        <f>F15/12*G15</f>
        <v>24.456599999999998</v>
      </c>
      <c r="P15" s="40">
        <f>F15/12*G15</f>
        <v>24.456599999999998</v>
      </c>
      <c r="Q15" s="40">
        <f>F15/12*G15</f>
        <v>24.456599999999998</v>
      </c>
      <c r="R15" s="40">
        <f>F15/12*G15</f>
        <v>24.456599999999998</v>
      </c>
      <c r="S15" s="40">
        <f>F15/12*G15</f>
        <v>24.456599999999998</v>
      </c>
      <c r="T15" s="40">
        <f>F15/12*G15</f>
        <v>24.456599999999998</v>
      </c>
      <c r="U15" s="40">
        <f t="shared" si="1"/>
        <v>293.47919999999999</v>
      </c>
    </row>
    <row r="16" spans="1:21">
      <c r="A16" s="29" t="s">
        <v>26</v>
      </c>
      <c r="B16" s="11" t="s">
        <v>27</v>
      </c>
      <c r="C16" s="29" t="s">
        <v>14</v>
      </c>
      <c r="D16" s="11" t="s">
        <v>161</v>
      </c>
      <c r="E16" s="37">
        <v>2.7</v>
      </c>
      <c r="F16" s="38">
        <f>SUM(E16*6/100)</f>
        <v>0.16200000000000003</v>
      </c>
      <c r="G16" s="38">
        <v>231.03</v>
      </c>
      <c r="H16" s="39">
        <f t="shared" si="0"/>
        <v>3.7426860000000006E-2</v>
      </c>
      <c r="I16" s="40">
        <f>F16/6*G16</f>
        <v>6.2378100000000014</v>
      </c>
      <c r="J16" s="40">
        <v>0</v>
      </c>
      <c r="K16" s="40">
        <f>F16/6*G16</f>
        <v>6.2378100000000014</v>
      </c>
      <c r="L16" s="40">
        <v>0</v>
      </c>
      <c r="M16" s="40">
        <f>F16/6*G16</f>
        <v>6.2378100000000014</v>
      </c>
      <c r="N16" s="40">
        <v>0</v>
      </c>
      <c r="O16" s="40">
        <f>F16/6*G16</f>
        <v>6.2378100000000014</v>
      </c>
      <c r="P16" s="40">
        <v>0</v>
      </c>
      <c r="Q16" s="40">
        <f>F16/6*G16</f>
        <v>6.2378100000000014</v>
      </c>
      <c r="R16" s="40">
        <v>0</v>
      </c>
      <c r="S16" s="40">
        <f>F16/6*G16</f>
        <v>6.2378100000000014</v>
      </c>
      <c r="T16" s="40">
        <v>0</v>
      </c>
      <c r="U16" s="40">
        <f t="shared" si="1"/>
        <v>37.426860000000012</v>
      </c>
    </row>
    <row r="17" spans="1:21">
      <c r="A17" s="29" t="s">
        <v>28</v>
      </c>
      <c r="B17" s="11" t="s">
        <v>29</v>
      </c>
      <c r="C17" s="29" t="s">
        <v>30</v>
      </c>
      <c r="D17" s="11" t="s">
        <v>146</v>
      </c>
      <c r="E17" s="37">
        <v>267.75</v>
      </c>
      <c r="F17" s="38">
        <f>SUM(E17/100)</f>
        <v>2.6775000000000002</v>
      </c>
      <c r="G17" s="38">
        <v>287.83999999999997</v>
      </c>
      <c r="H17" s="39">
        <f t="shared" si="0"/>
        <v>0.77069160000000003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f>F17*G17</f>
        <v>770.69159999999999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f t="shared" si="1"/>
        <v>770.69159999999999</v>
      </c>
    </row>
    <row r="18" spans="1:21">
      <c r="A18" s="29" t="s">
        <v>31</v>
      </c>
      <c r="B18" s="11" t="s">
        <v>32</v>
      </c>
      <c r="C18" s="29" t="s">
        <v>30</v>
      </c>
      <c r="D18" s="11" t="s">
        <v>146</v>
      </c>
      <c r="E18" s="42">
        <v>36.229999999999997</v>
      </c>
      <c r="F18" s="38">
        <f>SUM(E18/100)</f>
        <v>0.36229999999999996</v>
      </c>
      <c r="G18" s="38">
        <v>47.34</v>
      </c>
      <c r="H18" s="39">
        <f t="shared" si="0"/>
        <v>1.7151281999999997E-2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f>F18*G18</f>
        <v>17.151281999999998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1"/>
        <v>17.151281999999998</v>
      </c>
    </row>
    <row r="19" spans="1:21">
      <c r="A19" s="29" t="s">
        <v>33</v>
      </c>
      <c r="B19" s="11" t="s">
        <v>34</v>
      </c>
      <c r="C19" s="29" t="s">
        <v>30</v>
      </c>
      <c r="D19" s="11" t="s">
        <v>49</v>
      </c>
      <c r="E19" s="37">
        <v>15</v>
      </c>
      <c r="F19" s="38">
        <f>E19/100</f>
        <v>0.15</v>
      </c>
      <c r="G19" s="38">
        <v>416.62</v>
      </c>
      <c r="H19" s="39">
        <f t="shared" si="0"/>
        <v>6.2492999999999993E-2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f>F19*G19</f>
        <v>62.492999999999995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1"/>
        <v>62.492999999999995</v>
      </c>
    </row>
    <row r="20" spans="1:21">
      <c r="A20" s="29" t="s">
        <v>35</v>
      </c>
      <c r="B20" s="11" t="s">
        <v>36</v>
      </c>
      <c r="C20" s="29" t="s">
        <v>30</v>
      </c>
      <c r="D20" s="11" t="s">
        <v>49</v>
      </c>
      <c r="E20" s="37">
        <v>6.38</v>
      </c>
      <c r="F20" s="38">
        <f>SUM(E20/100)</f>
        <v>6.3799999999999996E-2</v>
      </c>
      <c r="G20" s="38">
        <v>556.74</v>
      </c>
      <c r="H20" s="39">
        <f t="shared" si="0"/>
        <v>3.5520012000000004E-2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f>F20*G20</f>
        <v>35.520012000000001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1"/>
        <v>35.520012000000001</v>
      </c>
    </row>
    <row r="21" spans="1:21" ht="25.5">
      <c r="A21" s="29" t="s">
        <v>162</v>
      </c>
      <c r="B21" s="11" t="s">
        <v>163</v>
      </c>
      <c r="C21" s="29" t="s">
        <v>30</v>
      </c>
      <c r="D21" s="11" t="s">
        <v>49</v>
      </c>
      <c r="E21" s="37">
        <v>14.25</v>
      </c>
      <c r="F21" s="38">
        <v>0.14000000000000001</v>
      </c>
      <c r="G21" s="38">
        <v>231.03</v>
      </c>
      <c r="H21" s="39">
        <f>G21*F21/1000</f>
        <v>3.2344200000000004E-2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f>F21*G21</f>
        <v>32.344200000000001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f t="shared" si="1"/>
        <v>32.344200000000001</v>
      </c>
    </row>
    <row r="22" spans="1:21" s="19" customFormat="1">
      <c r="A22" s="43"/>
      <c r="B22" s="20" t="s">
        <v>37</v>
      </c>
      <c r="C22" s="44"/>
      <c r="D22" s="20"/>
      <c r="E22" s="45"/>
      <c r="F22" s="46"/>
      <c r="G22" s="46"/>
      <c r="H22" s="47">
        <f>SUM(H11:H21)</f>
        <v>87.081679706000003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>SUM(U11:U21)</f>
        <v>87081.679706000024</v>
      </c>
    </row>
    <row r="23" spans="1:21">
      <c r="A23" s="29"/>
      <c r="B23" s="12" t="s">
        <v>38</v>
      </c>
      <c r="C23" s="29"/>
      <c r="D23" s="11"/>
      <c r="E23" s="37"/>
      <c r="F23" s="38"/>
      <c r="G23" s="38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25.5" customHeight="1">
      <c r="A24" s="29" t="s">
        <v>39</v>
      </c>
      <c r="B24" s="11" t="s">
        <v>40</v>
      </c>
      <c r="C24" s="29" t="s">
        <v>41</v>
      </c>
      <c r="D24" s="11" t="s">
        <v>42</v>
      </c>
      <c r="E24" s="38">
        <v>665</v>
      </c>
      <c r="F24" s="38">
        <f>SUM(E24*52/1000)</f>
        <v>34.58</v>
      </c>
      <c r="G24" s="38">
        <v>166.65</v>
      </c>
      <c r="H24" s="39">
        <f t="shared" ref="H24:H32" si="2">SUM(F24*G24/1000)</f>
        <v>5.7627569999999997</v>
      </c>
      <c r="I24" s="40">
        <v>0</v>
      </c>
      <c r="J24" s="40">
        <v>0</v>
      </c>
      <c r="K24" s="40">
        <v>0</v>
      </c>
      <c r="L24" s="40">
        <v>0</v>
      </c>
      <c r="M24" s="40">
        <f>F24/6*G24</f>
        <v>960.45949999999993</v>
      </c>
      <c r="N24" s="40">
        <f>F24/6*G24</f>
        <v>960.45949999999993</v>
      </c>
      <c r="O24" s="40">
        <f>F24/6*G24</f>
        <v>960.45949999999993</v>
      </c>
      <c r="P24" s="40">
        <f>F24/6*G24</f>
        <v>960.45949999999993</v>
      </c>
      <c r="Q24" s="40">
        <f>F24/6*G24</f>
        <v>960.45949999999993</v>
      </c>
      <c r="R24" s="40">
        <f>F24/6*G24</f>
        <v>960.45949999999993</v>
      </c>
      <c r="S24" s="40">
        <v>0</v>
      </c>
      <c r="T24" s="40">
        <v>0</v>
      </c>
      <c r="U24" s="40">
        <f t="shared" ref="U24:U32" si="3">SUM(I24:T24)</f>
        <v>5762.7569999999996</v>
      </c>
    </row>
    <row r="25" spans="1:21" ht="38.25" customHeight="1">
      <c r="A25" s="29" t="s">
        <v>43</v>
      </c>
      <c r="B25" s="11" t="s">
        <v>44</v>
      </c>
      <c r="C25" s="29" t="s">
        <v>45</v>
      </c>
      <c r="D25" s="11" t="s">
        <v>46</v>
      </c>
      <c r="E25" s="38">
        <v>81.5</v>
      </c>
      <c r="F25" s="38">
        <f>SUM(E25*78/1000)</f>
        <v>6.3570000000000002</v>
      </c>
      <c r="G25" s="38">
        <v>276.48</v>
      </c>
      <c r="H25" s="39">
        <f t="shared" si="2"/>
        <v>1.7575833600000001</v>
      </c>
      <c r="I25" s="40">
        <v>0</v>
      </c>
      <c r="J25" s="40">
        <v>0</v>
      </c>
      <c r="K25" s="40">
        <v>0</v>
      </c>
      <c r="L25" s="40">
        <v>0</v>
      </c>
      <c r="M25" s="40">
        <f>F25/6*G25</f>
        <v>292.93056000000007</v>
      </c>
      <c r="N25" s="40">
        <f>F25/6*G25</f>
        <v>292.93056000000007</v>
      </c>
      <c r="O25" s="40">
        <f>F25/6*G25</f>
        <v>292.93056000000007</v>
      </c>
      <c r="P25" s="40">
        <f>F25/6*G25</f>
        <v>292.93056000000007</v>
      </c>
      <c r="Q25" s="40">
        <f>F25/6*G25</f>
        <v>292.93056000000007</v>
      </c>
      <c r="R25" s="40">
        <f>F25/6*G25</f>
        <v>292.93056000000007</v>
      </c>
      <c r="S25" s="40">
        <v>0</v>
      </c>
      <c r="T25" s="40">
        <v>0</v>
      </c>
      <c r="U25" s="40">
        <f t="shared" si="3"/>
        <v>1757.5833600000003</v>
      </c>
    </row>
    <row r="26" spans="1:21">
      <c r="A26" s="29" t="s">
        <v>47</v>
      </c>
      <c r="B26" s="11" t="s">
        <v>48</v>
      </c>
      <c r="C26" s="29" t="s">
        <v>45</v>
      </c>
      <c r="D26" s="11" t="s">
        <v>49</v>
      </c>
      <c r="E26" s="38">
        <v>665</v>
      </c>
      <c r="F26" s="38">
        <f>SUM(E26/1000)</f>
        <v>0.66500000000000004</v>
      </c>
      <c r="G26" s="38">
        <v>3228.73</v>
      </c>
      <c r="H26" s="39">
        <f t="shared" si="2"/>
        <v>2.1471054500000002</v>
      </c>
      <c r="I26" s="40">
        <v>0</v>
      </c>
      <c r="J26" s="40">
        <v>0</v>
      </c>
      <c r="K26" s="40">
        <v>0</v>
      </c>
      <c r="L26" s="40">
        <v>0</v>
      </c>
      <c r="M26" s="40">
        <f>F26*G26</f>
        <v>2147.10545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f t="shared" si="3"/>
        <v>2147.10545</v>
      </c>
    </row>
    <row r="27" spans="1:21">
      <c r="A27" s="29" t="s">
        <v>157</v>
      </c>
      <c r="B27" s="11" t="s">
        <v>158</v>
      </c>
      <c r="C27" s="29" t="s">
        <v>98</v>
      </c>
      <c r="D27" s="11" t="s">
        <v>53</v>
      </c>
      <c r="E27" s="38">
        <v>3</v>
      </c>
      <c r="F27" s="38">
        <f>E27*155/100</f>
        <v>4.6500000000000004</v>
      </c>
      <c r="G27" s="38">
        <v>1391.86</v>
      </c>
      <c r="H27" s="39">
        <f>G27*F27/1000</f>
        <v>6.4721489999999999</v>
      </c>
      <c r="I27" s="40">
        <v>0</v>
      </c>
      <c r="J27" s="40">
        <v>0</v>
      </c>
      <c r="K27" s="40">
        <v>0</v>
      </c>
      <c r="L27" s="40">
        <v>0</v>
      </c>
      <c r="M27" s="40">
        <f>F27/6*G27</f>
        <v>1078.6914999999999</v>
      </c>
      <c r="N27" s="40">
        <f>F27/6*G27</f>
        <v>1078.6914999999999</v>
      </c>
      <c r="O27" s="40">
        <f>F27/6*G27</f>
        <v>1078.6914999999999</v>
      </c>
      <c r="P27" s="40">
        <f>F27/6*G27</f>
        <v>1078.6914999999999</v>
      </c>
      <c r="Q27" s="40">
        <f>F27/6*G27</f>
        <v>1078.6914999999999</v>
      </c>
      <c r="R27" s="40">
        <f>F27/6*G27</f>
        <v>1078.6914999999999</v>
      </c>
      <c r="S27" s="40">
        <v>0</v>
      </c>
      <c r="T27" s="40">
        <v>0</v>
      </c>
      <c r="U27" s="40">
        <f t="shared" si="3"/>
        <v>6472.1489999999994</v>
      </c>
    </row>
    <row r="28" spans="1:21">
      <c r="A28" s="29" t="s">
        <v>50</v>
      </c>
      <c r="B28" s="11" t="s">
        <v>51</v>
      </c>
      <c r="C28" s="29" t="s">
        <v>52</v>
      </c>
      <c r="D28" s="11" t="s">
        <v>53</v>
      </c>
      <c r="E28" s="50">
        <v>0.33333333333333331</v>
      </c>
      <c r="F28" s="38">
        <f>155/3</f>
        <v>51.666666666666664</v>
      </c>
      <c r="G28" s="38">
        <v>60.6</v>
      </c>
      <c r="H28" s="39">
        <f>SUM(G28*155/3/1000)</f>
        <v>3.1309999999999998</v>
      </c>
      <c r="I28" s="40">
        <v>0</v>
      </c>
      <c r="J28" s="40">
        <v>0</v>
      </c>
      <c r="K28" s="40">
        <v>0</v>
      </c>
      <c r="L28" s="40">
        <v>0</v>
      </c>
      <c r="M28" s="40">
        <f>F28/6*G28</f>
        <v>521.83333333333337</v>
      </c>
      <c r="N28" s="40">
        <f>F28/6*G28</f>
        <v>521.83333333333337</v>
      </c>
      <c r="O28" s="40">
        <f>F28/6*G28</f>
        <v>521.83333333333337</v>
      </c>
      <c r="P28" s="40">
        <f>F28/6*G28</f>
        <v>521.83333333333337</v>
      </c>
      <c r="Q28" s="40">
        <f>F28/6*G28</f>
        <v>521.83333333333337</v>
      </c>
      <c r="R28" s="40">
        <f>F28/6*G28</f>
        <v>521.83333333333337</v>
      </c>
      <c r="S28" s="40">
        <v>0</v>
      </c>
      <c r="T28" s="40">
        <v>0</v>
      </c>
      <c r="U28" s="40">
        <f t="shared" si="3"/>
        <v>3131.0000000000005</v>
      </c>
    </row>
    <row r="29" spans="1:21" ht="12.75" customHeight="1">
      <c r="A29" s="29" t="s">
        <v>54</v>
      </c>
      <c r="B29" s="11" t="s">
        <v>55</v>
      </c>
      <c r="C29" s="29" t="s">
        <v>56</v>
      </c>
      <c r="D29" s="11" t="s">
        <v>57</v>
      </c>
      <c r="E29" s="51">
        <v>0.1</v>
      </c>
      <c r="F29" s="38">
        <f>SUM(E29*365)</f>
        <v>36.5</v>
      </c>
      <c r="G29" s="38">
        <v>157.18</v>
      </c>
      <c r="H29" s="39">
        <f t="shared" si="2"/>
        <v>5.737070000000001</v>
      </c>
      <c r="I29" s="40">
        <f>F29/12*G29</f>
        <v>478.08916666666664</v>
      </c>
      <c r="J29" s="40">
        <f>F29/12*G29</f>
        <v>478.08916666666664</v>
      </c>
      <c r="K29" s="40">
        <f>F29/12*G29</f>
        <v>478.08916666666664</v>
      </c>
      <c r="L29" s="40">
        <f>F29/12*G29</f>
        <v>478.08916666666664</v>
      </c>
      <c r="M29" s="40">
        <f>F29/12*G29</f>
        <v>478.08916666666664</v>
      </c>
      <c r="N29" s="40">
        <f>F29/12*G29</f>
        <v>478.08916666666664</v>
      </c>
      <c r="O29" s="40">
        <f>F29/12*G29</f>
        <v>478.08916666666664</v>
      </c>
      <c r="P29" s="40">
        <f>F29/12*G29</f>
        <v>478.08916666666664</v>
      </c>
      <c r="Q29" s="40">
        <f>F29/12*G29</f>
        <v>478.08916666666664</v>
      </c>
      <c r="R29" s="40">
        <f>F29/12*G29</f>
        <v>478.08916666666664</v>
      </c>
      <c r="S29" s="40">
        <f>F29/12*G29</f>
        <v>478.08916666666664</v>
      </c>
      <c r="T29" s="40">
        <f>F29/12*G29</f>
        <v>478.08916666666664</v>
      </c>
      <c r="U29" s="40">
        <f t="shared" si="3"/>
        <v>5737.07</v>
      </c>
    </row>
    <row r="30" spans="1:21" ht="12.75" customHeight="1">
      <c r="A30" s="29" t="s">
        <v>59</v>
      </c>
      <c r="B30" s="11" t="s">
        <v>60</v>
      </c>
      <c r="C30" s="29" t="s">
        <v>56</v>
      </c>
      <c r="D30" s="11" t="s">
        <v>58</v>
      </c>
      <c r="E30" s="37"/>
      <c r="F30" s="38">
        <v>3</v>
      </c>
      <c r="G30" s="38">
        <v>204.52</v>
      </c>
      <c r="H30" s="39">
        <f t="shared" si="2"/>
        <v>0.61356000000000011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f t="shared" si="3"/>
        <v>0</v>
      </c>
    </row>
    <row r="31" spans="1:21" ht="13.5" customHeight="1">
      <c r="A31" s="29" t="s">
        <v>61</v>
      </c>
      <c r="B31" s="11" t="s">
        <v>62</v>
      </c>
      <c r="C31" s="29" t="s">
        <v>63</v>
      </c>
      <c r="D31" s="11" t="s">
        <v>58</v>
      </c>
      <c r="E31" s="37"/>
      <c r="F31" s="38">
        <v>2</v>
      </c>
      <c r="G31" s="38">
        <v>1214.73</v>
      </c>
      <c r="H31" s="39">
        <f t="shared" si="2"/>
        <v>2.4294600000000002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f t="shared" si="3"/>
        <v>0</v>
      </c>
    </row>
    <row r="32" spans="1:21">
      <c r="A32" s="29"/>
      <c r="B32" s="52" t="s">
        <v>64</v>
      </c>
      <c r="C32" s="29" t="s">
        <v>65</v>
      </c>
      <c r="D32" s="52" t="s">
        <v>66</v>
      </c>
      <c r="E32" s="37">
        <v>2626.5</v>
      </c>
      <c r="F32" s="38">
        <f>SUM(E32*12)</f>
        <v>31518</v>
      </c>
      <c r="G32" s="38">
        <v>4.7</v>
      </c>
      <c r="H32" s="39">
        <f t="shared" si="2"/>
        <v>148.13460000000001</v>
      </c>
      <c r="I32" s="40">
        <f>F32/12*G32</f>
        <v>12344.550000000001</v>
      </c>
      <c r="J32" s="40">
        <f>F32/12*G32</f>
        <v>12344.550000000001</v>
      </c>
      <c r="K32" s="40">
        <f>F32/12*G32</f>
        <v>12344.550000000001</v>
      </c>
      <c r="L32" s="40">
        <f>F32/12*G32</f>
        <v>12344.550000000001</v>
      </c>
      <c r="M32" s="40">
        <f>F32/12*G32</f>
        <v>12344.550000000001</v>
      </c>
      <c r="N32" s="40">
        <f>F32/12*G32</f>
        <v>12344.550000000001</v>
      </c>
      <c r="O32" s="40">
        <f>F32/12*G32</f>
        <v>12344.550000000001</v>
      </c>
      <c r="P32" s="40">
        <f>F32/12*G32</f>
        <v>12344.550000000001</v>
      </c>
      <c r="Q32" s="40">
        <f>F32/12*G32</f>
        <v>12344.550000000001</v>
      </c>
      <c r="R32" s="40">
        <f>F32/12*G32</f>
        <v>12344.550000000001</v>
      </c>
      <c r="S32" s="40">
        <f>F32/12*G32</f>
        <v>12344.550000000001</v>
      </c>
      <c r="T32" s="40">
        <f>F32/12*G32</f>
        <v>12344.550000000001</v>
      </c>
      <c r="U32" s="40">
        <f t="shared" si="3"/>
        <v>148134.6</v>
      </c>
    </row>
    <row r="33" spans="1:21" s="19" customFormat="1">
      <c r="A33" s="43"/>
      <c r="B33" s="20" t="s">
        <v>37</v>
      </c>
      <c r="C33" s="44"/>
      <c r="D33" s="20"/>
      <c r="E33" s="45"/>
      <c r="F33" s="46"/>
      <c r="G33" s="46"/>
      <c r="H33" s="53">
        <f>SUM(H24:H32)</f>
        <v>176.18528481000001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>
        <f>SUM(U24:U32)</f>
        <v>173142.26481000002</v>
      </c>
    </row>
    <row r="34" spans="1:21">
      <c r="A34" s="29"/>
      <c r="B34" s="12" t="s">
        <v>67</v>
      </c>
      <c r="C34" s="29"/>
      <c r="D34" s="11"/>
      <c r="E34" s="37"/>
      <c r="F34" s="38"/>
      <c r="G34" s="38"/>
      <c r="H34" s="39" t="s">
        <v>66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25.5">
      <c r="A35" s="29" t="s">
        <v>61</v>
      </c>
      <c r="B35" s="13" t="s">
        <v>68</v>
      </c>
      <c r="C35" s="29" t="s">
        <v>63</v>
      </c>
      <c r="D35" s="11"/>
      <c r="E35" s="37"/>
      <c r="F35" s="38">
        <v>8</v>
      </c>
      <c r="G35" s="38">
        <v>1632.6</v>
      </c>
      <c r="H35" s="39">
        <f t="shared" ref="H35:H41" si="4">SUM(F35*G35/1000)</f>
        <v>13.060799999999999</v>
      </c>
      <c r="I35" s="40">
        <f t="shared" ref="I35:I41" si="5">F35/6*G35</f>
        <v>2176.7999999999997</v>
      </c>
      <c r="J35" s="40">
        <f>F35/6*G35</f>
        <v>2176.7999999999997</v>
      </c>
      <c r="K35" s="40">
        <f>F35/6*G35</f>
        <v>2176.7999999999997</v>
      </c>
      <c r="L35" s="40">
        <f>F35/6*G35</f>
        <v>2176.7999999999997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f>F35/6*G35</f>
        <v>2176.7999999999997</v>
      </c>
      <c r="T35" s="40">
        <f>F35/6*G35</f>
        <v>2176.7999999999997</v>
      </c>
      <c r="U35" s="40">
        <f t="shared" ref="U35:U41" si="6">SUM(I35:T35)</f>
        <v>13060.799999999997</v>
      </c>
    </row>
    <row r="36" spans="1:21" ht="25.5">
      <c r="A36" s="55" t="s">
        <v>69</v>
      </c>
      <c r="B36" s="13" t="s">
        <v>147</v>
      </c>
      <c r="C36" s="55" t="s">
        <v>70</v>
      </c>
      <c r="D36" s="11" t="s">
        <v>164</v>
      </c>
      <c r="E36" s="37">
        <v>81.5</v>
      </c>
      <c r="F36" s="54">
        <f>E36*30/1000</f>
        <v>2.4449999999999998</v>
      </c>
      <c r="G36" s="38">
        <v>2247.8000000000002</v>
      </c>
      <c r="H36" s="39">
        <f>G36*F36/1000</f>
        <v>5.4958710000000002</v>
      </c>
      <c r="I36" s="40">
        <f t="shared" si="5"/>
        <v>915.97850000000005</v>
      </c>
      <c r="J36" s="40">
        <f>F36/6*G36</f>
        <v>915.97850000000005</v>
      </c>
      <c r="K36" s="40">
        <f>F36/6*G36</f>
        <v>915.97850000000005</v>
      </c>
      <c r="L36" s="40">
        <f>F36/6*G36</f>
        <v>915.97850000000005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f>F36/6*G36</f>
        <v>915.97850000000005</v>
      </c>
      <c r="T36" s="40">
        <f>F36/6*G36</f>
        <v>915.97850000000005</v>
      </c>
      <c r="U36" s="40">
        <f t="shared" si="6"/>
        <v>5495.8710000000001</v>
      </c>
    </row>
    <row r="37" spans="1:21">
      <c r="A37" s="29" t="s">
        <v>61</v>
      </c>
      <c r="B37" s="11" t="s">
        <v>155</v>
      </c>
      <c r="C37" s="29" t="s">
        <v>108</v>
      </c>
      <c r="D37" s="11" t="s">
        <v>58</v>
      </c>
      <c r="E37" s="37"/>
      <c r="F37" s="54">
        <v>95</v>
      </c>
      <c r="G37" s="38">
        <v>213.2</v>
      </c>
      <c r="H37" s="39">
        <f>G37*F37/1000</f>
        <v>20.254000000000001</v>
      </c>
      <c r="I37" s="40">
        <v>0</v>
      </c>
      <c r="J37" s="40">
        <v>0</v>
      </c>
      <c r="K37" s="40">
        <f>G37*34.33</f>
        <v>7319.155999999999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f>0</f>
        <v>0</v>
      </c>
      <c r="T37" s="40">
        <v>0</v>
      </c>
      <c r="U37" s="40">
        <f t="shared" si="6"/>
        <v>7319.155999999999</v>
      </c>
    </row>
    <row r="38" spans="1:21" ht="24.75" customHeight="1">
      <c r="A38" s="29" t="s">
        <v>71</v>
      </c>
      <c r="B38" s="11" t="s">
        <v>72</v>
      </c>
      <c r="C38" s="29" t="s">
        <v>70</v>
      </c>
      <c r="D38" s="11" t="s">
        <v>73</v>
      </c>
      <c r="E38" s="38">
        <v>153</v>
      </c>
      <c r="F38" s="54">
        <f>SUM(E38*155/1000)</f>
        <v>23.715</v>
      </c>
      <c r="G38" s="38">
        <v>350.75</v>
      </c>
      <c r="H38" s="39">
        <f t="shared" si="4"/>
        <v>8.3180362499999987</v>
      </c>
      <c r="I38" s="40">
        <f t="shared" si="5"/>
        <v>1386.339375</v>
      </c>
      <c r="J38" s="40">
        <f>F38/6*G38</f>
        <v>1386.339375</v>
      </c>
      <c r="K38" s="40">
        <f>F38/6*G38</f>
        <v>1386.339375</v>
      </c>
      <c r="L38" s="40">
        <f>F38/6*G38</f>
        <v>1386.339375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f>F38/6*G38</f>
        <v>1386.339375</v>
      </c>
      <c r="T38" s="40">
        <f>F38/6*G38</f>
        <v>1386.339375</v>
      </c>
      <c r="U38" s="40">
        <f t="shared" si="6"/>
        <v>8318.0362499999992</v>
      </c>
    </row>
    <row r="39" spans="1:21" ht="51" customHeight="1">
      <c r="A39" s="29" t="s">
        <v>74</v>
      </c>
      <c r="B39" s="11" t="s">
        <v>75</v>
      </c>
      <c r="C39" s="29" t="s">
        <v>45</v>
      </c>
      <c r="D39" s="11" t="s">
        <v>165</v>
      </c>
      <c r="E39" s="38">
        <v>81.5</v>
      </c>
      <c r="F39" s="54">
        <f>SUM(E39*35/1000)</f>
        <v>2.8525</v>
      </c>
      <c r="G39" s="38">
        <v>6203.7</v>
      </c>
      <c r="H39" s="39">
        <f t="shared" si="4"/>
        <v>17.69605425</v>
      </c>
      <c r="I39" s="40">
        <f t="shared" si="5"/>
        <v>2949.3423749999997</v>
      </c>
      <c r="J39" s="40">
        <f>F39/6*G39</f>
        <v>2949.3423749999997</v>
      </c>
      <c r="K39" s="40">
        <f>F39/6*G39</f>
        <v>2949.3423749999997</v>
      </c>
      <c r="L39" s="40">
        <f>F39/6*G39</f>
        <v>2949.3423749999997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f>F39/6*G39</f>
        <v>2949.3423749999997</v>
      </c>
      <c r="T39" s="40">
        <f>F39/6*G39</f>
        <v>2949.3423749999997</v>
      </c>
      <c r="U39" s="40">
        <f t="shared" si="6"/>
        <v>17696.054249999997</v>
      </c>
    </row>
    <row r="40" spans="1:21" ht="27" customHeight="1">
      <c r="A40" s="29" t="s">
        <v>76</v>
      </c>
      <c r="B40" s="11" t="s">
        <v>77</v>
      </c>
      <c r="C40" s="29" t="s">
        <v>45</v>
      </c>
      <c r="D40" s="11" t="s">
        <v>78</v>
      </c>
      <c r="E40" s="38">
        <v>81.5</v>
      </c>
      <c r="F40" s="54">
        <f>SUM(E40*45/1000)</f>
        <v>3.6675</v>
      </c>
      <c r="G40" s="38">
        <v>458.28</v>
      </c>
      <c r="H40" s="39">
        <f t="shared" si="4"/>
        <v>1.6807418999999999</v>
      </c>
      <c r="I40" s="40">
        <f t="shared" si="5"/>
        <v>280.12364999999994</v>
      </c>
      <c r="J40" s="40">
        <f>F40/6*G40</f>
        <v>280.12364999999994</v>
      </c>
      <c r="K40" s="40">
        <f>F40/6*G40</f>
        <v>280.12364999999994</v>
      </c>
      <c r="L40" s="40">
        <f>F40/6*G40</f>
        <v>280.12364999999994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f>F40/6*G40</f>
        <v>280.12364999999994</v>
      </c>
      <c r="T40" s="40">
        <f>F40/6*G40</f>
        <v>280.12364999999994</v>
      </c>
      <c r="U40" s="40">
        <f t="shared" si="6"/>
        <v>1680.7418999999998</v>
      </c>
    </row>
    <row r="41" spans="1:21" s="1" customFormat="1">
      <c r="A41" s="55"/>
      <c r="B41" s="13" t="s">
        <v>79</v>
      </c>
      <c r="C41" s="55" t="s">
        <v>56</v>
      </c>
      <c r="D41" s="13"/>
      <c r="E41" s="51"/>
      <c r="F41" s="54">
        <v>0.9</v>
      </c>
      <c r="G41" s="54">
        <v>853.06</v>
      </c>
      <c r="H41" s="39">
        <f t="shared" si="4"/>
        <v>0.76775400000000005</v>
      </c>
      <c r="I41" s="56">
        <f t="shared" si="5"/>
        <v>127.95899999999999</v>
      </c>
      <c r="J41" s="56">
        <f>F41/6*G41</f>
        <v>127.95899999999999</v>
      </c>
      <c r="K41" s="56">
        <f>F41/6*G41</f>
        <v>127.95899999999999</v>
      </c>
      <c r="L41" s="56">
        <f>F41/6*G41</f>
        <v>127.95899999999999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f>F41/6*G41</f>
        <v>127.95899999999999</v>
      </c>
      <c r="T41" s="56">
        <f>F41/6*G41</f>
        <v>127.95899999999999</v>
      </c>
      <c r="U41" s="40">
        <f t="shared" si="6"/>
        <v>767.75399999999991</v>
      </c>
    </row>
    <row r="42" spans="1:21" s="19" customFormat="1">
      <c r="A42" s="43"/>
      <c r="B42" s="20" t="s">
        <v>37</v>
      </c>
      <c r="C42" s="44"/>
      <c r="D42" s="20"/>
      <c r="E42" s="45"/>
      <c r="F42" s="46" t="s">
        <v>66</v>
      </c>
      <c r="G42" s="46"/>
      <c r="H42" s="53">
        <f>SUM(H35:H41)</f>
        <v>67.273257399999991</v>
      </c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>
        <f>SUM(U35:U41)</f>
        <v>54338.413399999998</v>
      </c>
    </row>
    <row r="43" spans="1:21">
      <c r="A43" s="29"/>
      <c r="B43" s="14" t="s">
        <v>80</v>
      </c>
      <c r="C43" s="29"/>
      <c r="D43" s="11"/>
      <c r="E43" s="37"/>
      <c r="F43" s="38"/>
      <c r="G43" s="38"/>
      <c r="H43" s="3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1:21">
      <c r="A44" s="29" t="s">
        <v>166</v>
      </c>
      <c r="B44" s="11" t="s">
        <v>167</v>
      </c>
      <c r="C44" s="29" t="s">
        <v>45</v>
      </c>
      <c r="D44" s="11" t="s">
        <v>81</v>
      </c>
      <c r="E44" s="37">
        <v>1080</v>
      </c>
      <c r="F44" s="38">
        <f>SUM(E44*2/1000)</f>
        <v>2.16</v>
      </c>
      <c r="G44" s="57">
        <v>865.61</v>
      </c>
      <c r="H44" s="39">
        <f t="shared" ref="H44:H52" si="7">SUM(F44*G44/1000)</f>
        <v>1.8697176000000002</v>
      </c>
      <c r="I44" s="40">
        <v>0</v>
      </c>
      <c r="J44" s="40">
        <v>0</v>
      </c>
      <c r="K44" s="40">
        <v>0</v>
      </c>
      <c r="L44" s="40">
        <f>F44/2*G44</f>
        <v>934.85880000000009</v>
      </c>
      <c r="M44" s="40">
        <v>0</v>
      </c>
      <c r="N44" s="40">
        <v>0</v>
      </c>
      <c r="O44" s="40">
        <v>0</v>
      </c>
      <c r="P44" s="40">
        <v>0</v>
      </c>
      <c r="Q44" s="40">
        <f>F44/2*G44</f>
        <v>934.85880000000009</v>
      </c>
      <c r="R44" s="40">
        <v>0</v>
      </c>
      <c r="S44" s="40">
        <v>0</v>
      </c>
      <c r="T44" s="40">
        <v>0</v>
      </c>
      <c r="U44" s="40">
        <f t="shared" ref="U44:U53" si="8">SUM(I44:T44)</f>
        <v>1869.7176000000002</v>
      </c>
    </row>
    <row r="45" spans="1:21">
      <c r="A45" s="29" t="s">
        <v>82</v>
      </c>
      <c r="B45" s="11" t="s">
        <v>83</v>
      </c>
      <c r="C45" s="29" t="s">
        <v>45</v>
      </c>
      <c r="D45" s="11" t="s">
        <v>81</v>
      </c>
      <c r="E45" s="37">
        <v>39</v>
      </c>
      <c r="F45" s="38">
        <f>E45*2/1000</f>
        <v>7.8E-2</v>
      </c>
      <c r="G45" s="57">
        <v>619.46</v>
      </c>
      <c r="H45" s="39">
        <f t="shared" si="7"/>
        <v>4.8317880000000001E-2</v>
      </c>
      <c r="I45" s="40">
        <v>0</v>
      </c>
      <c r="J45" s="40">
        <v>0</v>
      </c>
      <c r="K45" s="40">
        <v>0</v>
      </c>
      <c r="L45" s="40">
        <f>F45/2*G45</f>
        <v>24.158940000000001</v>
      </c>
      <c r="M45" s="40">
        <v>0</v>
      </c>
      <c r="N45" s="40">
        <v>0</v>
      </c>
      <c r="O45" s="40">
        <v>0</v>
      </c>
      <c r="P45" s="40">
        <v>0</v>
      </c>
      <c r="Q45" s="40">
        <f>F45/2*G45</f>
        <v>24.158940000000001</v>
      </c>
      <c r="R45" s="40">
        <v>0</v>
      </c>
      <c r="S45" s="40">
        <v>0</v>
      </c>
      <c r="T45" s="40">
        <v>0</v>
      </c>
      <c r="U45" s="40">
        <f t="shared" si="8"/>
        <v>48.317880000000002</v>
      </c>
    </row>
    <row r="46" spans="1:21" ht="25.5">
      <c r="A46" s="29" t="s">
        <v>84</v>
      </c>
      <c r="B46" s="11" t="s">
        <v>85</v>
      </c>
      <c r="C46" s="29" t="s">
        <v>45</v>
      </c>
      <c r="D46" s="11" t="s">
        <v>81</v>
      </c>
      <c r="E46" s="37">
        <v>1037</v>
      </c>
      <c r="F46" s="38">
        <f>SUM(E46*2/1000)</f>
        <v>2.0739999999999998</v>
      </c>
      <c r="G46" s="57">
        <v>619.46</v>
      </c>
      <c r="H46" s="39">
        <f t="shared" si="7"/>
        <v>1.2847600399999999</v>
      </c>
      <c r="I46" s="40">
        <v>0</v>
      </c>
      <c r="J46" s="40">
        <v>0</v>
      </c>
      <c r="K46" s="40">
        <v>0</v>
      </c>
      <c r="L46" s="40">
        <f>F46/2*G46</f>
        <v>642.38001999999994</v>
      </c>
      <c r="M46" s="40">
        <v>0</v>
      </c>
      <c r="N46" s="40">
        <v>0</v>
      </c>
      <c r="O46" s="40">
        <v>0</v>
      </c>
      <c r="P46" s="40">
        <v>0</v>
      </c>
      <c r="Q46" s="40">
        <f>F46/2*G46</f>
        <v>642.38001999999994</v>
      </c>
      <c r="R46" s="40">
        <v>0</v>
      </c>
      <c r="S46" s="40">
        <v>0</v>
      </c>
      <c r="T46" s="40">
        <v>0</v>
      </c>
      <c r="U46" s="40">
        <f t="shared" si="8"/>
        <v>1284.7600399999999</v>
      </c>
    </row>
    <row r="47" spans="1:21">
      <c r="A47" s="29" t="s">
        <v>86</v>
      </c>
      <c r="B47" s="11" t="s">
        <v>87</v>
      </c>
      <c r="C47" s="29" t="s">
        <v>45</v>
      </c>
      <c r="D47" s="11" t="s">
        <v>81</v>
      </c>
      <c r="E47" s="37">
        <v>2274</v>
      </c>
      <c r="F47" s="38">
        <f>SUM(E47*2/1000)</f>
        <v>4.548</v>
      </c>
      <c r="G47" s="57">
        <v>648.64</v>
      </c>
      <c r="H47" s="39">
        <f t="shared" si="7"/>
        <v>2.95001472</v>
      </c>
      <c r="I47" s="40">
        <v>0</v>
      </c>
      <c r="J47" s="40">
        <v>0</v>
      </c>
      <c r="K47" s="40">
        <v>0</v>
      </c>
      <c r="L47" s="40">
        <f>F47/2*G47</f>
        <v>1475.0073600000001</v>
      </c>
      <c r="M47" s="40">
        <v>0</v>
      </c>
      <c r="N47" s="40">
        <v>0</v>
      </c>
      <c r="O47" s="40">
        <v>0</v>
      </c>
      <c r="P47" s="40">
        <v>0</v>
      </c>
      <c r="Q47" s="40">
        <f>F47/2*G47</f>
        <v>1475.0073600000001</v>
      </c>
      <c r="R47" s="40">
        <v>0</v>
      </c>
      <c r="S47" s="40">
        <v>0</v>
      </c>
      <c r="T47" s="40">
        <v>0</v>
      </c>
      <c r="U47" s="40">
        <f t="shared" si="8"/>
        <v>2950.0147200000001</v>
      </c>
    </row>
    <row r="48" spans="1:21">
      <c r="A48" s="29" t="s">
        <v>168</v>
      </c>
      <c r="B48" s="11" t="s">
        <v>169</v>
      </c>
      <c r="C48" s="29" t="s">
        <v>30</v>
      </c>
      <c r="D48" s="11" t="s">
        <v>81</v>
      </c>
      <c r="E48" s="37">
        <v>83.04</v>
      </c>
      <c r="F48" s="38">
        <v>1.66</v>
      </c>
      <c r="G48" s="57">
        <v>77.84</v>
      </c>
      <c r="H48" s="39">
        <f>SUM(F48*G48/1000)</f>
        <v>0.12921440000000001</v>
      </c>
      <c r="I48" s="40">
        <v>0</v>
      </c>
      <c r="J48" s="40">
        <v>0</v>
      </c>
      <c r="K48" s="40">
        <v>0</v>
      </c>
      <c r="L48" s="40">
        <f>F48/2*G48</f>
        <v>64.607200000000006</v>
      </c>
      <c r="M48" s="40">
        <v>0</v>
      </c>
      <c r="N48" s="40">
        <v>0</v>
      </c>
      <c r="O48" s="40">
        <v>0</v>
      </c>
      <c r="P48" s="40">
        <v>0</v>
      </c>
      <c r="Q48" s="40">
        <f>F48/2*G48</f>
        <v>64.607200000000006</v>
      </c>
      <c r="R48" s="40">
        <v>0</v>
      </c>
      <c r="S48" s="40">
        <v>0</v>
      </c>
      <c r="T48" s="40">
        <v>0</v>
      </c>
      <c r="U48" s="40">
        <f t="shared" si="8"/>
        <v>129.21440000000001</v>
      </c>
    </row>
    <row r="49" spans="1:21" ht="25.5">
      <c r="A49" s="29" t="s">
        <v>88</v>
      </c>
      <c r="B49" s="11" t="s">
        <v>89</v>
      </c>
      <c r="C49" s="29" t="s">
        <v>45</v>
      </c>
      <c r="D49" s="11" t="s">
        <v>90</v>
      </c>
      <c r="E49" s="37">
        <v>1728</v>
      </c>
      <c r="F49" s="38">
        <f>SUM(E49*5/1000)</f>
        <v>8.64</v>
      </c>
      <c r="G49" s="57">
        <v>1297.28</v>
      </c>
      <c r="H49" s="39">
        <f>SUM(F49*G49/1000)</f>
        <v>11.2084992</v>
      </c>
      <c r="I49" s="40">
        <f>F49/5*G49</f>
        <v>2241.6998400000002</v>
      </c>
      <c r="J49" s="40">
        <f>F49/5*G49</f>
        <v>2241.6998400000002</v>
      </c>
      <c r="K49" s="40">
        <v>0</v>
      </c>
      <c r="L49" s="40">
        <v>0</v>
      </c>
      <c r="M49" s="40">
        <f>F49/5*G49</f>
        <v>2241.6998400000002</v>
      </c>
      <c r="N49" s="40">
        <v>0</v>
      </c>
      <c r="O49" s="40">
        <v>0</v>
      </c>
      <c r="P49" s="40">
        <v>0</v>
      </c>
      <c r="Q49" s="40">
        <f>F49/5*G49</f>
        <v>2241.6998400000002</v>
      </c>
      <c r="R49" s="40">
        <v>0</v>
      </c>
      <c r="S49" s="40">
        <v>0</v>
      </c>
      <c r="T49" s="40">
        <f>F49/5*G49</f>
        <v>2241.6998400000002</v>
      </c>
      <c r="U49" s="40">
        <f t="shared" si="8"/>
        <v>11208.499200000002</v>
      </c>
    </row>
    <row r="50" spans="1:21" ht="39.6" customHeight="1">
      <c r="A50" s="29" t="s">
        <v>91</v>
      </c>
      <c r="B50" s="11" t="s">
        <v>92</v>
      </c>
      <c r="C50" s="29" t="s">
        <v>45</v>
      </c>
      <c r="D50" s="11" t="s">
        <v>81</v>
      </c>
      <c r="E50" s="37">
        <v>1728</v>
      </c>
      <c r="F50" s="38">
        <f>SUM(E50*2/1000)</f>
        <v>3.456</v>
      </c>
      <c r="G50" s="57">
        <v>1297.28</v>
      </c>
      <c r="H50" s="39">
        <f>SUM(G50*F50/1000)</f>
        <v>4.4833996799999998</v>
      </c>
      <c r="I50" s="40">
        <v>0</v>
      </c>
      <c r="J50" s="40">
        <f>F50/2*G50</f>
        <v>2241.6998399999998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f>F50/2*G50</f>
        <v>2241.6998399999998</v>
      </c>
      <c r="Q50" s="40">
        <v>0</v>
      </c>
      <c r="R50" s="40">
        <v>0</v>
      </c>
      <c r="S50" s="40">
        <v>0</v>
      </c>
      <c r="T50" s="40">
        <v>0</v>
      </c>
      <c r="U50" s="40">
        <f t="shared" si="8"/>
        <v>4483.3996799999995</v>
      </c>
    </row>
    <row r="51" spans="1:21" ht="28.9" customHeight="1">
      <c r="A51" s="29" t="s">
        <v>93</v>
      </c>
      <c r="B51" s="11" t="s">
        <v>94</v>
      </c>
      <c r="C51" s="29" t="s">
        <v>95</v>
      </c>
      <c r="D51" s="11" t="s">
        <v>81</v>
      </c>
      <c r="E51" s="37">
        <v>15</v>
      </c>
      <c r="F51" s="38">
        <f>SUM(E51*2/100)</f>
        <v>0.3</v>
      </c>
      <c r="G51" s="57">
        <v>2918.89</v>
      </c>
      <c r="H51" s="39">
        <f>SUM(F51*G51/1000)</f>
        <v>0.87566699999999986</v>
      </c>
      <c r="I51" s="40">
        <v>0</v>
      </c>
      <c r="J51" s="40">
        <f>F51/2*G51</f>
        <v>437.83349999999996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f>F51/2*G51</f>
        <v>437.83349999999996</v>
      </c>
      <c r="Q51" s="40">
        <v>0</v>
      </c>
      <c r="R51" s="40">
        <v>0</v>
      </c>
      <c r="S51" s="40">
        <v>0</v>
      </c>
      <c r="T51" s="40">
        <v>0</v>
      </c>
      <c r="U51" s="40">
        <f t="shared" si="8"/>
        <v>875.66699999999992</v>
      </c>
    </row>
    <row r="52" spans="1:21">
      <c r="A52" s="29" t="s">
        <v>96</v>
      </c>
      <c r="B52" s="11" t="s">
        <v>97</v>
      </c>
      <c r="C52" s="29" t="s">
        <v>98</v>
      </c>
      <c r="D52" s="11" t="s">
        <v>81</v>
      </c>
      <c r="E52" s="37">
        <v>1</v>
      </c>
      <c r="F52" s="38">
        <v>0.02</v>
      </c>
      <c r="G52" s="57">
        <v>6042.12</v>
      </c>
      <c r="H52" s="39">
        <f t="shared" si="7"/>
        <v>0.1208424</v>
      </c>
      <c r="I52" s="40">
        <v>0</v>
      </c>
      <c r="J52" s="40">
        <f>F52/2*G52</f>
        <v>60.421199999999999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F52/2*G52</f>
        <v>60.421199999999999</v>
      </c>
      <c r="Q52" s="40">
        <v>0</v>
      </c>
      <c r="R52" s="40">
        <v>0</v>
      </c>
      <c r="S52" s="40">
        <v>0</v>
      </c>
      <c r="T52" s="40">
        <v>0</v>
      </c>
      <c r="U52" s="40">
        <f t="shared" si="8"/>
        <v>120.8424</v>
      </c>
    </row>
    <row r="53" spans="1:21" ht="13.5" customHeight="1">
      <c r="A53" s="29" t="s">
        <v>100</v>
      </c>
      <c r="B53" s="11" t="s">
        <v>101</v>
      </c>
      <c r="C53" s="29" t="s">
        <v>99</v>
      </c>
      <c r="D53" s="11" t="s">
        <v>187</v>
      </c>
      <c r="E53" s="37">
        <v>90</v>
      </c>
      <c r="F53" s="38">
        <f>SUM(E53)*3</f>
        <v>270</v>
      </c>
      <c r="G53" s="58">
        <v>70.209999999999994</v>
      </c>
      <c r="H53" s="39">
        <f>SUM(F53*G53/1000)</f>
        <v>18.956699999999998</v>
      </c>
      <c r="I53" s="40">
        <v>0</v>
      </c>
      <c r="J53" s="40">
        <v>0</v>
      </c>
      <c r="K53" s="40">
        <v>0</v>
      </c>
      <c r="L53" s="40">
        <v>0</v>
      </c>
      <c r="M53" s="40">
        <f>E53*G53</f>
        <v>6318.9</v>
      </c>
      <c r="N53" s="40">
        <v>0</v>
      </c>
      <c r="O53" s="40">
        <v>0</v>
      </c>
      <c r="P53" s="40">
        <v>0</v>
      </c>
      <c r="Q53" s="40">
        <f>E53*G53</f>
        <v>6318.9</v>
      </c>
      <c r="R53" s="40">
        <v>0</v>
      </c>
      <c r="S53" s="40">
        <v>0</v>
      </c>
      <c r="T53" s="40">
        <f>E53*G53</f>
        <v>6318.9</v>
      </c>
      <c r="U53" s="40">
        <f t="shared" si="8"/>
        <v>18956.699999999997</v>
      </c>
    </row>
    <row r="54" spans="1:21" s="21" customFormat="1">
      <c r="A54" s="59"/>
      <c r="B54" s="20" t="s">
        <v>37</v>
      </c>
      <c r="C54" s="60"/>
      <c r="D54" s="20"/>
      <c r="E54" s="61"/>
      <c r="F54" s="62"/>
      <c r="G54" s="62"/>
      <c r="H54" s="53">
        <f>SUM(H44:H53)</f>
        <v>41.927132919999998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>
        <f>SUM(U44:U53)</f>
        <v>41927.132920000004</v>
      </c>
    </row>
    <row r="55" spans="1:21">
      <c r="A55" s="29"/>
      <c r="B55" s="12" t="s">
        <v>102</v>
      </c>
      <c r="C55" s="29"/>
      <c r="D55" s="11"/>
      <c r="E55" s="37"/>
      <c r="F55" s="38"/>
      <c r="G55" s="38"/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32.25" customHeight="1">
      <c r="A56" s="29" t="s">
        <v>104</v>
      </c>
      <c r="B56" s="11" t="s">
        <v>170</v>
      </c>
      <c r="C56" s="29" t="s">
        <v>14</v>
      </c>
      <c r="D56" s="11" t="s">
        <v>103</v>
      </c>
      <c r="E56" s="37">
        <v>111</v>
      </c>
      <c r="F56" s="38">
        <f>SUM(E56*6/100)</f>
        <v>6.66</v>
      </c>
      <c r="G56" s="57">
        <v>1654.04</v>
      </c>
      <c r="H56" s="39">
        <f>SUM(F56*G56/1000)</f>
        <v>11.0159064</v>
      </c>
      <c r="I56" s="40">
        <f>F56/6*G56</f>
        <v>1835.9844000000001</v>
      </c>
      <c r="J56" s="40">
        <f>F56/6*G56</f>
        <v>1835.9844000000001</v>
      </c>
      <c r="K56" s="40">
        <f>F56/6*G56</f>
        <v>1835.9844000000001</v>
      </c>
      <c r="L56" s="40">
        <f>F56/6*G56</f>
        <v>1835.9844000000001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f>F56/6*G56</f>
        <v>1835.9844000000001</v>
      </c>
      <c r="T56" s="40">
        <f>F56/6*G56</f>
        <v>1835.9844000000001</v>
      </c>
      <c r="U56" s="40">
        <f>SUM(I56:T56)</f>
        <v>11015.9064</v>
      </c>
    </row>
    <row r="57" spans="1:21" ht="12.75" customHeight="1">
      <c r="A57" s="64"/>
      <c r="B57" s="25" t="s">
        <v>105</v>
      </c>
      <c r="C57" s="64"/>
      <c r="D57" s="24"/>
      <c r="E57" s="65"/>
      <c r="F57" s="66"/>
      <c r="G57" s="57"/>
      <c r="H57" s="67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ht="12.75" customHeight="1">
      <c r="A58" s="64" t="s">
        <v>106</v>
      </c>
      <c r="B58" s="24" t="s">
        <v>160</v>
      </c>
      <c r="C58" s="64" t="s">
        <v>30</v>
      </c>
      <c r="D58" s="24" t="s">
        <v>49</v>
      </c>
      <c r="E58" s="65">
        <v>330</v>
      </c>
      <c r="F58" s="66">
        <f>E58/100</f>
        <v>3.3</v>
      </c>
      <c r="G58" s="57">
        <v>848.37</v>
      </c>
      <c r="H58" s="67">
        <f>F58*G58/1000</f>
        <v>2.7996209999999997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f>SUM(I58:T58)</f>
        <v>0</v>
      </c>
    </row>
    <row r="59" spans="1:21" ht="12.75" customHeight="1">
      <c r="A59" s="64"/>
      <c r="B59" s="24" t="s">
        <v>159</v>
      </c>
      <c r="C59" s="64" t="s">
        <v>107</v>
      </c>
      <c r="D59" s="24" t="s">
        <v>156</v>
      </c>
      <c r="E59" s="65">
        <v>130</v>
      </c>
      <c r="F59" s="68">
        <f>E59*12</f>
        <v>1560</v>
      </c>
      <c r="G59" s="69">
        <v>2.6</v>
      </c>
      <c r="H59" s="66">
        <f>F59*G59/1000</f>
        <v>4.056</v>
      </c>
      <c r="I59" s="40">
        <f>F59/12*G59</f>
        <v>338</v>
      </c>
      <c r="J59" s="40">
        <f>F59/12*G59</f>
        <v>338</v>
      </c>
      <c r="K59" s="40">
        <f>F59/12*G59</f>
        <v>338</v>
      </c>
      <c r="L59" s="40">
        <f>F59/12*G59</f>
        <v>338</v>
      </c>
      <c r="M59" s="40">
        <f>F59/12*G59</f>
        <v>338</v>
      </c>
      <c r="N59" s="40">
        <f>F59/12*G59</f>
        <v>338</v>
      </c>
      <c r="O59" s="40">
        <f>F59/12*G59</f>
        <v>338</v>
      </c>
      <c r="P59" s="40">
        <f>F59/12*G59</f>
        <v>338</v>
      </c>
      <c r="Q59" s="40">
        <f>F59/12*G59</f>
        <v>338</v>
      </c>
      <c r="R59" s="40">
        <f>F59/12*G59</f>
        <v>338</v>
      </c>
      <c r="S59" s="40">
        <f>F59/12*G59</f>
        <v>338</v>
      </c>
      <c r="T59" s="40">
        <f>F59/12*G59</f>
        <v>338</v>
      </c>
      <c r="U59" s="40">
        <f>SUM(I59:T59)</f>
        <v>4056</v>
      </c>
    </row>
    <row r="60" spans="1:21">
      <c r="A60" s="64"/>
      <c r="B60" s="15" t="s">
        <v>109</v>
      </c>
      <c r="C60" s="64"/>
      <c r="D60" s="24"/>
      <c r="E60" s="65"/>
      <c r="F60" s="68"/>
      <c r="G60" s="68"/>
      <c r="H60" s="66" t="s">
        <v>66</v>
      </c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1:21" ht="20.25" customHeight="1">
      <c r="A61" s="70" t="s">
        <v>110</v>
      </c>
      <c r="B61" s="16" t="s">
        <v>111</v>
      </c>
      <c r="C61" s="70" t="s">
        <v>99</v>
      </c>
      <c r="D61" s="8" t="s">
        <v>58</v>
      </c>
      <c r="E61" s="71">
        <v>10</v>
      </c>
      <c r="F61" s="38">
        <v>10</v>
      </c>
      <c r="G61" s="57">
        <v>237.74</v>
      </c>
      <c r="H61" s="72">
        <f t="shared" ref="H61:H74" si="9">SUM(F61*G61/1000)</f>
        <v>2.3774000000000002</v>
      </c>
      <c r="I61" s="40">
        <v>0</v>
      </c>
      <c r="J61" s="40">
        <v>0</v>
      </c>
      <c r="K61" s="40">
        <f>G61*3</f>
        <v>713.22</v>
      </c>
      <c r="L61" s="40">
        <v>0</v>
      </c>
      <c r="M61" s="40">
        <v>0</v>
      </c>
      <c r="N61" s="40">
        <v>0</v>
      </c>
      <c r="O61" s="40">
        <f>G61</f>
        <v>237.74</v>
      </c>
      <c r="P61" s="40">
        <v>0</v>
      </c>
      <c r="Q61" s="40">
        <v>0</v>
      </c>
      <c r="R61" s="40">
        <f>G61</f>
        <v>237.74</v>
      </c>
      <c r="S61" s="40">
        <f>G61</f>
        <v>237.74</v>
      </c>
      <c r="T61" s="40">
        <v>0</v>
      </c>
      <c r="U61" s="40">
        <f t="shared" ref="U61:U68" si="10">SUM(I61:T61)</f>
        <v>1426.44</v>
      </c>
    </row>
    <row r="62" spans="1:21" ht="12.75" customHeight="1">
      <c r="A62" s="70" t="s">
        <v>112</v>
      </c>
      <c r="B62" s="16" t="s">
        <v>113</v>
      </c>
      <c r="C62" s="70" t="s">
        <v>99</v>
      </c>
      <c r="D62" s="8" t="s">
        <v>58</v>
      </c>
      <c r="E62" s="71">
        <v>5</v>
      </c>
      <c r="F62" s="38">
        <v>5</v>
      </c>
      <c r="G62" s="57">
        <v>81.510000000000005</v>
      </c>
      <c r="H62" s="72">
        <f t="shared" si="9"/>
        <v>0.40755000000000002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f t="shared" si="10"/>
        <v>0</v>
      </c>
    </row>
    <row r="63" spans="1:21" s="1" customFormat="1">
      <c r="A63" s="73" t="s">
        <v>114</v>
      </c>
      <c r="B63" s="16" t="s">
        <v>115</v>
      </c>
      <c r="C63" s="73" t="s">
        <v>116</v>
      </c>
      <c r="D63" s="8" t="s">
        <v>49</v>
      </c>
      <c r="E63" s="37">
        <v>13287</v>
      </c>
      <c r="F63" s="58">
        <f>SUM(E63/100)</f>
        <v>132.87</v>
      </c>
      <c r="G63" s="57">
        <v>226.79</v>
      </c>
      <c r="H63" s="72">
        <f t="shared" si="9"/>
        <v>30.133587299999999</v>
      </c>
      <c r="I63" s="56">
        <v>0</v>
      </c>
      <c r="J63" s="56">
        <v>0</v>
      </c>
      <c r="K63" s="56">
        <v>0</v>
      </c>
      <c r="L63" s="56">
        <v>0</v>
      </c>
      <c r="M63" s="56">
        <f>F63*G63</f>
        <v>30133.587299999999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40">
        <f t="shared" si="10"/>
        <v>30133.587299999999</v>
      </c>
    </row>
    <row r="64" spans="1:21" ht="25.5">
      <c r="A64" s="70" t="s">
        <v>117</v>
      </c>
      <c r="B64" s="16" t="s">
        <v>118</v>
      </c>
      <c r="C64" s="70" t="s">
        <v>119</v>
      </c>
      <c r="D64" s="8"/>
      <c r="E64" s="37">
        <v>13287</v>
      </c>
      <c r="F64" s="57">
        <f>SUM(E64/1000)</f>
        <v>13.287000000000001</v>
      </c>
      <c r="G64" s="57">
        <v>176.61</v>
      </c>
      <c r="H64" s="72">
        <f t="shared" si="9"/>
        <v>2.3466170700000002</v>
      </c>
      <c r="I64" s="40">
        <v>0</v>
      </c>
      <c r="J64" s="40">
        <v>0</v>
      </c>
      <c r="K64" s="40">
        <v>0</v>
      </c>
      <c r="L64" s="40">
        <v>0</v>
      </c>
      <c r="M64" s="40">
        <f>F64*G64</f>
        <v>2346.6170700000002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f t="shared" si="10"/>
        <v>2346.6170700000002</v>
      </c>
    </row>
    <row r="65" spans="1:21">
      <c r="A65" s="70" t="s">
        <v>120</v>
      </c>
      <c r="B65" s="16" t="s">
        <v>121</v>
      </c>
      <c r="C65" s="70" t="s">
        <v>122</v>
      </c>
      <c r="D65" s="8" t="s">
        <v>49</v>
      </c>
      <c r="E65" s="37">
        <v>2110</v>
      </c>
      <c r="F65" s="57">
        <f>SUM(E65/100)</f>
        <v>21.1</v>
      </c>
      <c r="G65" s="57">
        <v>2217.7800000000002</v>
      </c>
      <c r="H65" s="72">
        <f>SUM(F65*G65/1000)</f>
        <v>46.795158000000008</v>
      </c>
      <c r="I65" s="40">
        <v>0</v>
      </c>
      <c r="J65" s="40">
        <v>0</v>
      </c>
      <c r="K65" s="40">
        <v>0</v>
      </c>
      <c r="L65" s="40">
        <v>0</v>
      </c>
      <c r="M65" s="40">
        <f>F65*G65</f>
        <v>46795.15800000001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f t="shared" si="10"/>
        <v>46795.15800000001</v>
      </c>
    </row>
    <row r="66" spans="1:21">
      <c r="A66" s="70"/>
      <c r="B66" s="17" t="s">
        <v>148</v>
      </c>
      <c r="C66" s="70" t="s">
        <v>56</v>
      </c>
      <c r="D66" s="8"/>
      <c r="E66" s="37">
        <v>8.6</v>
      </c>
      <c r="F66" s="57">
        <f>SUM(E66)</f>
        <v>8.6</v>
      </c>
      <c r="G66" s="57">
        <v>42.67</v>
      </c>
      <c r="H66" s="72">
        <f t="shared" si="9"/>
        <v>0.36696200000000001</v>
      </c>
      <c r="I66" s="40">
        <v>0</v>
      </c>
      <c r="J66" s="40">
        <v>0</v>
      </c>
      <c r="K66" s="40">
        <v>0</v>
      </c>
      <c r="L66" s="40">
        <v>0</v>
      </c>
      <c r="M66" s="40">
        <f>F66*G66</f>
        <v>366.96199999999999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f t="shared" si="10"/>
        <v>366.96199999999999</v>
      </c>
    </row>
    <row r="67" spans="1:21" ht="25.5">
      <c r="A67" s="74"/>
      <c r="B67" s="17" t="s">
        <v>149</v>
      </c>
      <c r="C67" s="70" t="s">
        <v>56</v>
      </c>
      <c r="D67" s="8"/>
      <c r="E67" s="37">
        <v>8.6</v>
      </c>
      <c r="F67" s="57">
        <f>SUM(E67)</f>
        <v>8.6</v>
      </c>
      <c r="G67" s="57">
        <v>39.81</v>
      </c>
      <c r="H67" s="72">
        <f t="shared" si="9"/>
        <v>0.342366</v>
      </c>
      <c r="I67" s="40">
        <v>0</v>
      </c>
      <c r="J67" s="40">
        <v>0</v>
      </c>
      <c r="K67" s="40">
        <v>0</v>
      </c>
      <c r="L67" s="40">
        <v>0</v>
      </c>
      <c r="M67" s="40">
        <f>F67*G67</f>
        <v>342.36599999999999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f t="shared" si="10"/>
        <v>342.36599999999999</v>
      </c>
    </row>
    <row r="68" spans="1:21">
      <c r="A68" s="70" t="s">
        <v>123</v>
      </c>
      <c r="B68" s="8" t="s">
        <v>124</v>
      </c>
      <c r="C68" s="70" t="s">
        <v>125</v>
      </c>
      <c r="D68" s="8" t="s">
        <v>49</v>
      </c>
      <c r="E68" s="71">
        <v>6</v>
      </c>
      <c r="F68" s="38">
        <v>6</v>
      </c>
      <c r="G68" s="57">
        <v>53.32</v>
      </c>
      <c r="H68" s="72">
        <f t="shared" si="9"/>
        <v>0.31992000000000004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f>F68*G68</f>
        <v>319.92</v>
      </c>
      <c r="R68" s="40">
        <v>0</v>
      </c>
      <c r="S68" s="40">
        <v>0</v>
      </c>
      <c r="T68" s="40">
        <v>0</v>
      </c>
      <c r="U68" s="40">
        <f t="shared" si="10"/>
        <v>319.92</v>
      </c>
    </row>
    <row r="69" spans="1:21">
      <c r="A69" s="74"/>
      <c r="B69" s="18" t="s">
        <v>126</v>
      </c>
      <c r="C69" s="70"/>
      <c r="D69" s="8"/>
      <c r="E69" s="71"/>
      <c r="F69" s="57"/>
      <c r="G69" s="57"/>
      <c r="H69" s="72" t="s">
        <v>66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1:21">
      <c r="A70" s="70" t="s">
        <v>127</v>
      </c>
      <c r="B70" s="8" t="s">
        <v>128</v>
      </c>
      <c r="C70" s="70" t="s">
        <v>129</v>
      </c>
      <c r="D70" s="8"/>
      <c r="E70" s="71">
        <v>2</v>
      </c>
      <c r="F70" s="57">
        <v>0.2</v>
      </c>
      <c r="G70" s="57">
        <v>536.23</v>
      </c>
      <c r="H70" s="72">
        <f t="shared" si="9"/>
        <v>0.10724600000000001</v>
      </c>
      <c r="I70" s="40">
        <v>0</v>
      </c>
      <c r="J70" s="40">
        <f>G70*0.1</f>
        <v>53.623000000000005</v>
      </c>
      <c r="K70" s="40">
        <f>G70*0.2</f>
        <v>107.24600000000001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f>SUM(I70:T70)</f>
        <v>160.86900000000003</v>
      </c>
    </row>
    <row r="71" spans="1:21">
      <c r="A71" s="70" t="s">
        <v>150</v>
      </c>
      <c r="B71" s="8" t="s">
        <v>151</v>
      </c>
      <c r="C71" s="70" t="s">
        <v>52</v>
      </c>
      <c r="D71" s="8"/>
      <c r="E71" s="71">
        <v>2</v>
      </c>
      <c r="F71" s="69">
        <v>2</v>
      </c>
      <c r="G71" s="57">
        <v>911.85</v>
      </c>
      <c r="H71" s="72">
        <f>F71*G71/1000</f>
        <v>1.8237000000000001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f>SUM(I71:T71)</f>
        <v>0</v>
      </c>
    </row>
    <row r="72" spans="1:21">
      <c r="A72" s="70" t="s">
        <v>130</v>
      </c>
      <c r="B72" s="8" t="s">
        <v>153</v>
      </c>
      <c r="C72" s="70" t="s">
        <v>52</v>
      </c>
      <c r="D72" s="8"/>
      <c r="E72" s="71">
        <v>1</v>
      </c>
      <c r="F72" s="57">
        <v>1</v>
      </c>
      <c r="G72" s="57">
        <v>383.25</v>
      </c>
      <c r="H72" s="72">
        <f>G72*F72/1000</f>
        <v>0.38324999999999998</v>
      </c>
      <c r="I72" s="40">
        <f>G72*3</f>
        <v>1149.75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f>SUM(I72:T72)</f>
        <v>1149.75</v>
      </c>
    </row>
    <row r="73" spans="1:21">
      <c r="A73" s="74"/>
      <c r="B73" s="75" t="s">
        <v>131</v>
      </c>
      <c r="C73" s="70"/>
      <c r="D73" s="8"/>
      <c r="E73" s="71"/>
      <c r="F73" s="57"/>
      <c r="G73" s="57" t="s">
        <v>66</v>
      </c>
      <c r="H73" s="72" t="s">
        <v>66</v>
      </c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1:21" s="1" customFormat="1">
      <c r="A74" s="73" t="s">
        <v>132</v>
      </c>
      <c r="B74" s="76" t="s">
        <v>133</v>
      </c>
      <c r="C74" s="73" t="s">
        <v>122</v>
      </c>
      <c r="D74" s="16"/>
      <c r="E74" s="77"/>
      <c r="F74" s="58">
        <v>0.5</v>
      </c>
      <c r="G74" s="58">
        <v>2949.85</v>
      </c>
      <c r="H74" s="72">
        <f t="shared" si="9"/>
        <v>1.474925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40">
        <f>SUM(I74:T74)</f>
        <v>0</v>
      </c>
    </row>
    <row r="75" spans="1:21" s="21" customFormat="1">
      <c r="A75" s="78"/>
      <c r="B75" s="20" t="s">
        <v>37</v>
      </c>
      <c r="C75" s="79"/>
      <c r="D75" s="80"/>
      <c r="E75" s="81"/>
      <c r="F75" s="63"/>
      <c r="G75" s="63"/>
      <c r="H75" s="82">
        <f>SUM(H56:H74)</f>
        <v>104.75020877000001</v>
      </c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>
        <f>SUM(U56:U74)</f>
        <v>98113.575769999996</v>
      </c>
    </row>
    <row r="76" spans="1:21">
      <c r="A76" s="139" t="s">
        <v>205</v>
      </c>
      <c r="B76" s="11" t="s">
        <v>206</v>
      </c>
      <c r="C76" s="84" t="s">
        <v>207</v>
      </c>
      <c r="D76" s="85"/>
      <c r="E76" s="140"/>
      <c r="F76" s="86">
        <f>127/10</f>
        <v>12.7</v>
      </c>
      <c r="G76" s="87">
        <v>9</v>
      </c>
      <c r="H76" s="72">
        <f>G76*F76/1000</f>
        <v>0.1143</v>
      </c>
      <c r="I76" s="40">
        <v>0</v>
      </c>
      <c r="J76" s="40">
        <v>0</v>
      </c>
      <c r="K76" s="40">
        <v>0</v>
      </c>
      <c r="L76" s="40">
        <v>0</v>
      </c>
      <c r="M76" s="41">
        <v>0</v>
      </c>
      <c r="N76" s="40">
        <f>F76*G76</f>
        <v>114.3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f>SUM(I76:T76)</f>
        <v>114.3</v>
      </c>
    </row>
    <row r="77" spans="1:21" ht="12.75" customHeight="1">
      <c r="A77" s="70"/>
      <c r="B77" s="83" t="s">
        <v>134</v>
      </c>
      <c r="C77" s="70" t="s">
        <v>135</v>
      </c>
      <c r="D77" s="88"/>
      <c r="E77" s="57">
        <v>2626.5</v>
      </c>
      <c r="F77" s="57">
        <f>SUM(E77*12)</f>
        <v>31518</v>
      </c>
      <c r="G77" s="89">
        <v>2.2400000000000002</v>
      </c>
      <c r="H77" s="72">
        <f>SUM(F77*G77/1000)</f>
        <v>70.600320000000011</v>
      </c>
      <c r="I77" s="40">
        <f>F77/12*G77</f>
        <v>5883.3600000000006</v>
      </c>
      <c r="J77" s="40">
        <f>F77/12*G77</f>
        <v>5883.3600000000006</v>
      </c>
      <c r="K77" s="40">
        <f>F77/12*G77</f>
        <v>5883.3600000000006</v>
      </c>
      <c r="L77" s="40">
        <f>F77/12*G77</f>
        <v>5883.3600000000006</v>
      </c>
      <c r="M77" s="40">
        <f>F77/12*G77</f>
        <v>5883.3600000000006</v>
      </c>
      <c r="N77" s="40">
        <f>F77/12*G77</f>
        <v>5883.3600000000006</v>
      </c>
      <c r="O77" s="40">
        <f>F77/12*G77</f>
        <v>5883.3600000000006</v>
      </c>
      <c r="P77" s="40">
        <f>F77/12*G77</f>
        <v>5883.3600000000006</v>
      </c>
      <c r="Q77" s="40">
        <f>F77/12*G77</f>
        <v>5883.3600000000006</v>
      </c>
      <c r="R77" s="40">
        <f>F77/12*G77</f>
        <v>5883.3600000000006</v>
      </c>
      <c r="S77" s="40">
        <f>F77/12*G77</f>
        <v>5883.3600000000006</v>
      </c>
      <c r="T77" s="40">
        <f>F77/12*G77</f>
        <v>5883.3600000000006</v>
      </c>
      <c r="U77" s="40">
        <f>SUM(I77:T77)</f>
        <v>70600.320000000007</v>
      </c>
    </row>
    <row r="78" spans="1:21" s="19" customFormat="1">
      <c r="A78" s="90"/>
      <c r="B78" s="20" t="s">
        <v>37</v>
      </c>
      <c r="C78" s="91"/>
      <c r="D78" s="92"/>
      <c r="E78" s="93"/>
      <c r="F78" s="48"/>
      <c r="G78" s="94"/>
      <c r="H78" s="49">
        <f>SUM(H76:H77)</f>
        <v>70.714620000000011</v>
      </c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>
        <f>SUM(U76:U77)</f>
        <v>70714.62000000001</v>
      </c>
    </row>
    <row r="79" spans="1:21" ht="29.25" customHeight="1">
      <c r="A79" s="74"/>
      <c r="B79" s="8" t="s">
        <v>136</v>
      </c>
      <c r="C79" s="70"/>
      <c r="D79" s="95"/>
      <c r="E79" s="37">
        <f>E77</f>
        <v>2626.5</v>
      </c>
      <c r="F79" s="57">
        <f>E79*12</f>
        <v>31518</v>
      </c>
      <c r="G79" s="57">
        <v>1.74</v>
      </c>
      <c r="H79" s="72">
        <f>F79*G79/1000</f>
        <v>54.841320000000003</v>
      </c>
      <c r="I79" s="40">
        <f>F79/12*G79</f>
        <v>4570.1099999999997</v>
      </c>
      <c r="J79" s="40">
        <f>F79/12*G79</f>
        <v>4570.1099999999997</v>
      </c>
      <c r="K79" s="40">
        <f>F79/12*G79</f>
        <v>4570.1099999999997</v>
      </c>
      <c r="L79" s="40">
        <f>F79/12*G79</f>
        <v>4570.1099999999997</v>
      </c>
      <c r="M79" s="40">
        <f>F79/12*G79</f>
        <v>4570.1099999999997</v>
      </c>
      <c r="N79" s="40">
        <f>F79/12*G79</f>
        <v>4570.1099999999997</v>
      </c>
      <c r="O79" s="40">
        <f>F79/12*G79</f>
        <v>4570.1099999999997</v>
      </c>
      <c r="P79" s="40">
        <f>F79/12*G79</f>
        <v>4570.1099999999997</v>
      </c>
      <c r="Q79" s="40">
        <f>F79/12*G79</f>
        <v>4570.1099999999997</v>
      </c>
      <c r="R79" s="40">
        <f>F79/12*G79</f>
        <v>4570.1099999999997</v>
      </c>
      <c r="S79" s="40">
        <f>F79/12*G79</f>
        <v>4570.1099999999997</v>
      </c>
      <c r="T79" s="40">
        <f>F79/12*G79</f>
        <v>4570.1099999999997</v>
      </c>
      <c r="U79" s="40">
        <f>SUM(I79:T79)</f>
        <v>54841.32</v>
      </c>
    </row>
    <row r="80" spans="1:21" s="19" customFormat="1">
      <c r="A80" s="90"/>
      <c r="B80" s="96" t="s">
        <v>137</v>
      </c>
      <c r="C80" s="97"/>
      <c r="D80" s="96"/>
      <c r="E80" s="48"/>
      <c r="F80" s="48"/>
      <c r="G80" s="48"/>
      <c r="H80" s="82">
        <f>H79</f>
        <v>54.841320000000003</v>
      </c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135">
        <f>U79</f>
        <v>54841.32</v>
      </c>
    </row>
    <row r="81" spans="1:21" s="19" customFormat="1">
      <c r="A81" s="90"/>
      <c r="B81" s="96" t="s">
        <v>138</v>
      </c>
      <c r="C81" s="98"/>
      <c r="D81" s="99"/>
      <c r="E81" s="100"/>
      <c r="F81" s="100"/>
      <c r="G81" s="100"/>
      <c r="H81" s="82">
        <f>SUM(H80+H78+H75+H54+H42+H33+H22)</f>
        <v>602.77350360600008</v>
      </c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35">
        <f>SUM(U80+U78+U75+U54+U42+U33+U22)</f>
        <v>580159.00660600001</v>
      </c>
    </row>
    <row r="82" spans="1:21">
      <c r="A82" s="74"/>
      <c r="B82" s="95" t="s">
        <v>139</v>
      </c>
      <c r="C82" s="70"/>
      <c r="D82" s="95"/>
      <c r="E82" s="57"/>
      <c r="F82" s="57"/>
      <c r="G82" s="57" t="s">
        <v>140</v>
      </c>
      <c r="H82" s="101">
        <f>E79</f>
        <v>2626.5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1:21" s="19" customFormat="1">
      <c r="A83" s="90"/>
      <c r="B83" s="99" t="s">
        <v>141</v>
      </c>
      <c r="C83" s="98"/>
      <c r="D83" s="99"/>
      <c r="E83" s="100"/>
      <c r="F83" s="100"/>
      <c r="G83" s="100"/>
      <c r="H83" s="102">
        <f>SUM(H81/H82/12*1000)</f>
        <v>19.124738359223304</v>
      </c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36"/>
    </row>
    <row r="84" spans="1:21">
      <c r="A84" s="103"/>
      <c r="B84" s="95"/>
      <c r="C84" s="70"/>
      <c r="D84" s="95"/>
      <c r="E84" s="57"/>
      <c r="F84" s="57"/>
      <c r="G84" s="57"/>
      <c r="H84" s="104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137"/>
    </row>
    <row r="85" spans="1:21">
      <c r="A85" s="74"/>
      <c r="B85" s="75" t="s">
        <v>142</v>
      </c>
      <c r="C85" s="70"/>
      <c r="D85" s="95"/>
      <c r="E85" s="57"/>
      <c r="F85" s="57"/>
      <c r="G85" s="57"/>
      <c r="H85" s="57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1:21">
      <c r="A86" s="70" t="s">
        <v>171</v>
      </c>
      <c r="B86" s="8" t="s">
        <v>172</v>
      </c>
      <c r="C86" s="70" t="s">
        <v>173</v>
      </c>
      <c r="D86" s="8"/>
      <c r="E86" s="71"/>
      <c r="F86" s="57">
        <v>3.85</v>
      </c>
      <c r="G86" s="57">
        <v>1372</v>
      </c>
      <c r="H86" s="72">
        <f t="shared" ref="H86" si="11">G86*F86/1000</f>
        <v>5.2821999999999996</v>
      </c>
      <c r="I86" s="40">
        <f>G86*0.85</f>
        <v>1166.2</v>
      </c>
      <c r="J86" s="40">
        <v>0</v>
      </c>
      <c r="K86" s="40">
        <v>0</v>
      </c>
      <c r="L86" s="40">
        <f>G86</f>
        <v>1372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f>G86*2</f>
        <v>2744</v>
      </c>
      <c r="T86" s="40">
        <v>0</v>
      </c>
      <c r="U86" s="40">
        <f t="shared" ref="U86:U91" si="12">SUM(I86:T86)</f>
        <v>5282.2</v>
      </c>
    </row>
    <row r="87" spans="1:21" ht="30.75" customHeight="1">
      <c r="A87" s="128" t="s">
        <v>93</v>
      </c>
      <c r="B87" s="129" t="s">
        <v>188</v>
      </c>
      <c r="C87" s="128" t="s">
        <v>95</v>
      </c>
      <c r="D87" s="8"/>
      <c r="E87" s="71"/>
      <c r="F87" s="57">
        <v>0.03</v>
      </c>
      <c r="G87" s="57">
        <v>3105.72</v>
      </c>
      <c r="H87" s="72">
        <f t="shared" ref="H87:H107" si="13">G87*F87/1000</f>
        <v>9.3171599999999979E-2</v>
      </c>
      <c r="I87" s="40">
        <f>G87*0.02</f>
        <v>62.114399999999996</v>
      </c>
      <c r="J87" s="40">
        <v>0</v>
      </c>
      <c r="K87" s="40">
        <v>0</v>
      </c>
      <c r="L87" s="40">
        <f>G87*0.01</f>
        <v>31.057199999999998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f t="shared" si="12"/>
        <v>93.171599999999998</v>
      </c>
    </row>
    <row r="88" spans="1:21" ht="25.5">
      <c r="A88" s="128" t="s">
        <v>190</v>
      </c>
      <c r="B88" s="129" t="s">
        <v>189</v>
      </c>
      <c r="C88" s="128" t="s">
        <v>99</v>
      </c>
      <c r="D88" s="8"/>
      <c r="E88" s="71"/>
      <c r="F88" s="57">
        <v>460</v>
      </c>
      <c r="G88" s="57">
        <v>46.33</v>
      </c>
      <c r="H88" s="72">
        <f t="shared" si="13"/>
        <v>21.311799999999998</v>
      </c>
      <c r="I88" s="40">
        <f>G88*46</f>
        <v>2131.1799999999998</v>
      </c>
      <c r="J88" s="40">
        <v>0</v>
      </c>
      <c r="K88" s="40">
        <f>G88*46</f>
        <v>2131.1799999999998</v>
      </c>
      <c r="L88" s="40">
        <f>G88*46</f>
        <v>2131.1799999999998</v>
      </c>
      <c r="M88" s="40">
        <v>0</v>
      </c>
      <c r="N88" s="40">
        <f>G88*46</f>
        <v>2131.1799999999998</v>
      </c>
      <c r="O88" s="40">
        <f>G88*46</f>
        <v>2131.1799999999998</v>
      </c>
      <c r="P88" s="40">
        <f>G88*46</f>
        <v>2131.1799999999998</v>
      </c>
      <c r="Q88" s="40">
        <f>G88*46</f>
        <v>2131.1799999999998</v>
      </c>
      <c r="R88" s="40">
        <f>G88*46</f>
        <v>2131.1799999999998</v>
      </c>
      <c r="S88" s="40">
        <f>G88*46</f>
        <v>2131.1799999999998</v>
      </c>
      <c r="T88" s="40">
        <f>G88*46</f>
        <v>2131.1799999999998</v>
      </c>
      <c r="U88" s="40">
        <f t="shared" si="12"/>
        <v>21311.8</v>
      </c>
    </row>
    <row r="89" spans="1:21" ht="25.5">
      <c r="A89" s="130" t="s">
        <v>191</v>
      </c>
      <c r="B89" s="131" t="s">
        <v>192</v>
      </c>
      <c r="C89" s="132" t="s">
        <v>23</v>
      </c>
      <c r="D89" s="8"/>
      <c r="E89" s="71"/>
      <c r="F89" s="57">
        <v>0.1</v>
      </c>
      <c r="G89" s="57">
        <v>1753.78</v>
      </c>
      <c r="H89" s="72">
        <f t="shared" si="13"/>
        <v>0.17537800000000001</v>
      </c>
      <c r="I89" s="40">
        <f>G89*0.1</f>
        <v>175.37800000000001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>
        <f t="shared" si="12"/>
        <v>175.37800000000001</v>
      </c>
    </row>
    <row r="90" spans="1:21" ht="38.25" customHeight="1">
      <c r="A90" s="27" t="s">
        <v>194</v>
      </c>
      <c r="B90" s="26" t="s">
        <v>195</v>
      </c>
      <c r="C90" s="27" t="s">
        <v>193</v>
      </c>
      <c r="D90" s="8"/>
      <c r="E90" s="71"/>
      <c r="F90" s="57">
        <v>1</v>
      </c>
      <c r="G90" s="57">
        <v>46.98</v>
      </c>
      <c r="H90" s="72">
        <f t="shared" si="13"/>
        <v>4.6979999999999994E-2</v>
      </c>
      <c r="I90" s="40">
        <f>G90</f>
        <v>46.98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f t="shared" si="12"/>
        <v>46.98</v>
      </c>
    </row>
    <row r="91" spans="1:21">
      <c r="A91" s="133" t="s">
        <v>197</v>
      </c>
      <c r="B91" s="129" t="s">
        <v>196</v>
      </c>
      <c r="C91" s="128" t="s">
        <v>99</v>
      </c>
      <c r="D91" s="8"/>
      <c r="E91" s="71"/>
      <c r="F91" s="57">
        <v>2</v>
      </c>
      <c r="G91" s="57">
        <v>162.52000000000001</v>
      </c>
      <c r="H91" s="72">
        <f t="shared" si="13"/>
        <v>0.32504</v>
      </c>
      <c r="I91" s="40">
        <v>0</v>
      </c>
      <c r="J91" s="40">
        <f>G91</f>
        <v>162.52000000000001</v>
      </c>
      <c r="K91" s="40">
        <f>G91</f>
        <v>162.52000000000001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>
        <f t="shared" si="12"/>
        <v>325.04000000000002</v>
      </c>
    </row>
    <row r="92" spans="1:21">
      <c r="A92" s="133" t="s">
        <v>198</v>
      </c>
      <c r="B92" s="129" t="s">
        <v>199</v>
      </c>
      <c r="C92" s="128" t="s">
        <v>200</v>
      </c>
      <c r="D92" s="8"/>
      <c r="E92" s="71"/>
      <c r="F92" s="57">
        <v>1</v>
      </c>
      <c r="G92" s="57">
        <v>5159</v>
      </c>
      <c r="H92" s="72">
        <f t="shared" si="13"/>
        <v>5.1589999999999998</v>
      </c>
      <c r="I92" s="40">
        <v>0</v>
      </c>
      <c r="J92" s="40">
        <f>G92</f>
        <v>5159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f t="shared" ref="U92:U101" si="14">SUM(I92:T92)</f>
        <v>5159</v>
      </c>
    </row>
    <row r="93" spans="1:21" ht="25.5">
      <c r="A93" s="133" t="s">
        <v>198</v>
      </c>
      <c r="B93" s="129" t="s">
        <v>201</v>
      </c>
      <c r="C93" s="128" t="s">
        <v>200</v>
      </c>
      <c r="D93" s="8"/>
      <c r="E93" s="71"/>
      <c r="F93" s="57">
        <v>1</v>
      </c>
      <c r="G93" s="57">
        <v>54803</v>
      </c>
      <c r="H93" s="72">
        <f t="shared" si="13"/>
        <v>54.802999999999997</v>
      </c>
      <c r="I93" s="40">
        <v>0</v>
      </c>
      <c r="J93" s="40">
        <f>G93</f>
        <v>54803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f t="shared" si="14"/>
        <v>54803</v>
      </c>
    </row>
    <row r="94" spans="1:21" ht="25.5">
      <c r="A94" s="27" t="s">
        <v>209</v>
      </c>
      <c r="B94" s="26" t="s">
        <v>208</v>
      </c>
      <c r="C94" s="27" t="s">
        <v>99</v>
      </c>
      <c r="D94" s="8"/>
      <c r="E94" s="71"/>
      <c r="F94" s="57">
        <v>10</v>
      </c>
      <c r="G94" s="57">
        <v>164.67</v>
      </c>
      <c r="H94" s="72">
        <f t="shared" si="13"/>
        <v>1.6466999999999998</v>
      </c>
      <c r="I94" s="40">
        <v>0</v>
      </c>
      <c r="J94" s="40">
        <v>0</v>
      </c>
      <c r="K94" s="40">
        <f>G94*8</f>
        <v>1317.36</v>
      </c>
      <c r="L94" s="40">
        <v>0</v>
      </c>
      <c r="M94" s="40">
        <v>0</v>
      </c>
      <c r="N94" s="40">
        <f>G94</f>
        <v>164.67</v>
      </c>
      <c r="O94" s="40">
        <v>0</v>
      </c>
      <c r="P94" s="40">
        <v>0</v>
      </c>
      <c r="Q94" s="40">
        <v>0</v>
      </c>
      <c r="R94" s="40">
        <f>G94</f>
        <v>164.67</v>
      </c>
      <c r="S94" s="40">
        <v>0</v>
      </c>
      <c r="T94" s="40">
        <v>0</v>
      </c>
      <c r="U94" s="40">
        <f t="shared" si="14"/>
        <v>1646.7</v>
      </c>
    </row>
    <row r="95" spans="1:21" ht="25.5">
      <c r="A95" s="142" t="s">
        <v>211</v>
      </c>
      <c r="B95" s="26" t="s">
        <v>210</v>
      </c>
      <c r="C95" s="27" t="s">
        <v>99</v>
      </c>
      <c r="D95" s="8"/>
      <c r="E95" s="71"/>
      <c r="F95" s="57">
        <v>1</v>
      </c>
      <c r="G95" s="57">
        <v>1992.08</v>
      </c>
      <c r="H95" s="72">
        <f t="shared" si="13"/>
        <v>1.9920799999999999</v>
      </c>
      <c r="I95" s="40">
        <v>0</v>
      </c>
      <c r="J95" s="40">
        <v>0</v>
      </c>
      <c r="K95" s="40">
        <f>G95*1</f>
        <v>1992.08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f t="shared" si="14"/>
        <v>1992.08</v>
      </c>
    </row>
    <row r="96" spans="1:21" ht="25.5">
      <c r="A96" s="142" t="s">
        <v>213</v>
      </c>
      <c r="B96" s="26" t="s">
        <v>212</v>
      </c>
      <c r="C96" s="27" t="s">
        <v>99</v>
      </c>
      <c r="D96" s="8"/>
      <c r="E96" s="71"/>
      <c r="F96" s="57">
        <v>5</v>
      </c>
      <c r="G96" s="57">
        <v>72.290000000000006</v>
      </c>
      <c r="H96" s="72">
        <f t="shared" si="13"/>
        <v>0.36145000000000005</v>
      </c>
      <c r="I96" s="40">
        <v>0</v>
      </c>
      <c r="J96" s="40">
        <v>0</v>
      </c>
      <c r="K96" s="40">
        <f>G96</f>
        <v>72.290000000000006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f>G96</f>
        <v>72.290000000000006</v>
      </c>
      <c r="R96" s="40">
        <v>0</v>
      </c>
      <c r="S96" s="40">
        <v>0</v>
      </c>
      <c r="T96" s="40">
        <f>G96*3</f>
        <v>216.87</v>
      </c>
      <c r="U96" s="40">
        <f t="shared" si="14"/>
        <v>361.45000000000005</v>
      </c>
    </row>
    <row r="97" spans="1:21" ht="25.5">
      <c r="A97" s="142" t="s">
        <v>216</v>
      </c>
      <c r="B97" s="26" t="s">
        <v>214</v>
      </c>
      <c r="C97" s="27" t="s">
        <v>215</v>
      </c>
      <c r="D97" s="8"/>
      <c r="E97" s="71"/>
      <c r="F97" s="57">
        <v>0.3</v>
      </c>
      <c r="G97" s="57">
        <v>164.93</v>
      </c>
      <c r="H97" s="72">
        <f t="shared" si="13"/>
        <v>4.9479000000000002E-2</v>
      </c>
      <c r="I97" s="40">
        <v>0</v>
      </c>
      <c r="J97" s="40">
        <v>0</v>
      </c>
      <c r="K97" s="40">
        <f>G97*0.3</f>
        <v>49.478999999999999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40">
        <f t="shared" si="14"/>
        <v>49.478999999999999</v>
      </c>
    </row>
    <row r="98" spans="1:21">
      <c r="A98" s="27" t="s">
        <v>218</v>
      </c>
      <c r="B98" s="26" t="s">
        <v>217</v>
      </c>
      <c r="C98" s="27" t="s">
        <v>99</v>
      </c>
      <c r="D98" s="8"/>
      <c r="E98" s="71"/>
      <c r="F98" s="57">
        <v>1</v>
      </c>
      <c r="G98" s="57">
        <v>1260.5999999999999</v>
      </c>
      <c r="H98" s="72">
        <f t="shared" si="13"/>
        <v>1.2605999999999999</v>
      </c>
      <c r="I98" s="40">
        <v>0</v>
      </c>
      <c r="J98" s="40">
        <v>0</v>
      </c>
      <c r="K98" s="40">
        <f>G98</f>
        <v>1260.5999999999999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f t="shared" si="14"/>
        <v>1260.5999999999999</v>
      </c>
    </row>
    <row r="99" spans="1:21" ht="25.5">
      <c r="A99" s="27" t="s">
        <v>220</v>
      </c>
      <c r="B99" s="26" t="s">
        <v>222</v>
      </c>
      <c r="C99" s="27" t="s">
        <v>219</v>
      </c>
      <c r="D99" s="8"/>
      <c r="E99" s="71"/>
      <c r="F99" s="57">
        <v>40</v>
      </c>
      <c r="G99" s="57">
        <v>908.62</v>
      </c>
      <c r="H99" s="72">
        <f t="shared" si="13"/>
        <v>36.344800000000006</v>
      </c>
      <c r="I99" s="40">
        <v>0</v>
      </c>
      <c r="J99" s="40">
        <v>0</v>
      </c>
      <c r="K99" s="40">
        <f>G99*40</f>
        <v>36344.800000000003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  <c r="U99" s="40">
        <f t="shared" si="14"/>
        <v>36344.800000000003</v>
      </c>
    </row>
    <row r="100" spans="1:21" ht="25.5">
      <c r="A100" s="27" t="s">
        <v>221</v>
      </c>
      <c r="B100" s="26" t="s">
        <v>223</v>
      </c>
      <c r="C100" s="27" t="s">
        <v>219</v>
      </c>
      <c r="D100" s="8"/>
      <c r="E100" s="71"/>
      <c r="F100" s="57">
        <v>6</v>
      </c>
      <c r="G100" s="57">
        <v>1155.7</v>
      </c>
      <c r="H100" s="72">
        <f t="shared" si="13"/>
        <v>6.9342000000000006</v>
      </c>
      <c r="I100" s="40">
        <v>0</v>
      </c>
      <c r="J100" s="40">
        <v>0</v>
      </c>
      <c r="K100" s="40">
        <f>G100*6</f>
        <v>6934.2000000000007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f t="shared" si="14"/>
        <v>6934.2000000000007</v>
      </c>
    </row>
    <row r="101" spans="1:21" ht="25.5">
      <c r="A101" s="142" t="s">
        <v>225</v>
      </c>
      <c r="B101" s="26" t="s">
        <v>224</v>
      </c>
      <c r="C101" s="27" t="s">
        <v>238</v>
      </c>
      <c r="D101" s="8"/>
      <c r="E101" s="71"/>
      <c r="F101" s="57">
        <v>24</v>
      </c>
      <c r="G101" s="57">
        <v>561.67999999999995</v>
      </c>
      <c r="H101" s="72">
        <f t="shared" si="13"/>
        <v>13.480319999999999</v>
      </c>
      <c r="I101" s="40">
        <v>0</v>
      </c>
      <c r="J101" s="40">
        <v>0</v>
      </c>
      <c r="K101" s="40">
        <f>G101*24</f>
        <v>13480.32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f t="shared" si="14"/>
        <v>13480.32</v>
      </c>
    </row>
    <row r="102" spans="1:21">
      <c r="A102" s="142" t="s">
        <v>227</v>
      </c>
      <c r="B102" s="26" t="s">
        <v>226</v>
      </c>
      <c r="C102" s="27" t="s">
        <v>207</v>
      </c>
      <c r="D102" s="8"/>
      <c r="E102" s="71"/>
      <c r="F102" s="57">
        <v>0.3</v>
      </c>
      <c r="G102" s="57">
        <v>272.25</v>
      </c>
      <c r="H102" s="72">
        <f t="shared" si="13"/>
        <v>8.1674999999999998E-2</v>
      </c>
      <c r="I102" s="40">
        <v>0</v>
      </c>
      <c r="J102" s="40">
        <v>0</v>
      </c>
      <c r="K102" s="40">
        <v>0</v>
      </c>
      <c r="L102" s="40">
        <f>G102*0.3</f>
        <v>81.674999999999997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40">
        <f t="shared" ref="U102:U108" si="15">SUM(I102:T102)</f>
        <v>81.674999999999997</v>
      </c>
    </row>
    <row r="103" spans="1:21" ht="25.5">
      <c r="A103" s="142" t="s">
        <v>229</v>
      </c>
      <c r="B103" s="26" t="s">
        <v>228</v>
      </c>
      <c r="C103" s="27" t="s">
        <v>239</v>
      </c>
      <c r="D103" s="8"/>
      <c r="E103" s="71"/>
      <c r="F103" s="57">
        <v>0.3</v>
      </c>
      <c r="G103" s="57">
        <v>105.62</v>
      </c>
      <c r="H103" s="72">
        <f t="shared" si="13"/>
        <v>3.1685999999999999E-2</v>
      </c>
      <c r="I103" s="40">
        <v>0</v>
      </c>
      <c r="J103" s="40">
        <v>0</v>
      </c>
      <c r="K103" s="40">
        <v>0</v>
      </c>
      <c r="L103" s="40">
        <f>G103*0.3</f>
        <v>31.686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f t="shared" si="15"/>
        <v>31.686</v>
      </c>
    </row>
    <row r="104" spans="1:21" ht="25.5">
      <c r="A104" s="142" t="s">
        <v>231</v>
      </c>
      <c r="B104" s="26" t="s">
        <v>230</v>
      </c>
      <c r="C104" s="27" t="s">
        <v>239</v>
      </c>
      <c r="D104" s="8"/>
      <c r="E104" s="71"/>
      <c r="F104" s="57">
        <v>0.3</v>
      </c>
      <c r="G104" s="57">
        <v>178.49</v>
      </c>
      <c r="H104" s="72">
        <f t="shared" si="13"/>
        <v>5.3547000000000004E-2</v>
      </c>
      <c r="I104" s="40">
        <v>0</v>
      </c>
      <c r="J104" s="40">
        <v>0</v>
      </c>
      <c r="K104" s="40">
        <v>0</v>
      </c>
      <c r="L104" s="40">
        <f>G104*0.3</f>
        <v>53.547000000000004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f t="shared" si="15"/>
        <v>53.547000000000004</v>
      </c>
    </row>
    <row r="105" spans="1:21" ht="25.5">
      <c r="A105" s="143" t="s">
        <v>171</v>
      </c>
      <c r="B105" s="144" t="s">
        <v>232</v>
      </c>
      <c r="C105" s="145" t="s">
        <v>233</v>
      </c>
      <c r="D105" s="8"/>
      <c r="E105" s="71"/>
      <c r="F105" s="57">
        <v>1</v>
      </c>
      <c r="G105" s="57">
        <v>1678.06</v>
      </c>
      <c r="H105" s="72">
        <f t="shared" si="13"/>
        <v>1.6780599999999999</v>
      </c>
      <c r="I105" s="40">
        <v>0</v>
      </c>
      <c r="J105" s="40">
        <v>0</v>
      </c>
      <c r="K105" s="40">
        <v>0</v>
      </c>
      <c r="L105" s="40">
        <f>G105</f>
        <v>1678.06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f t="shared" si="15"/>
        <v>1678.06</v>
      </c>
    </row>
    <row r="106" spans="1:21" ht="25.5">
      <c r="A106" s="27" t="s">
        <v>236</v>
      </c>
      <c r="B106" s="26" t="s">
        <v>234</v>
      </c>
      <c r="C106" s="27" t="s">
        <v>235</v>
      </c>
      <c r="D106" s="8"/>
      <c r="E106" s="71"/>
      <c r="F106" s="57">
        <v>10</v>
      </c>
      <c r="G106" s="57">
        <v>179.12</v>
      </c>
      <c r="H106" s="72">
        <f t="shared" si="13"/>
        <v>1.7912000000000001</v>
      </c>
      <c r="I106" s="40">
        <v>0</v>
      </c>
      <c r="J106" s="40">
        <v>0</v>
      </c>
      <c r="K106" s="40">
        <v>0</v>
      </c>
      <c r="L106" s="40">
        <f>G106*10</f>
        <v>1791.2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f t="shared" si="15"/>
        <v>1791.2</v>
      </c>
    </row>
    <row r="107" spans="1:21" ht="25.5">
      <c r="A107" s="142" t="s">
        <v>225</v>
      </c>
      <c r="B107" s="26" t="s">
        <v>224</v>
      </c>
      <c r="C107" s="27" t="s">
        <v>238</v>
      </c>
      <c r="D107" s="8"/>
      <c r="E107" s="71"/>
      <c r="F107" s="57">
        <v>10</v>
      </c>
      <c r="G107" s="57">
        <v>561.67999999999995</v>
      </c>
      <c r="H107" s="72">
        <f t="shared" si="13"/>
        <v>5.6167999999999996</v>
      </c>
      <c r="I107" s="40">
        <v>0</v>
      </c>
      <c r="J107" s="40">
        <v>0</v>
      </c>
      <c r="K107" s="40">
        <v>0</v>
      </c>
      <c r="L107" s="40">
        <f>G107*10</f>
        <v>5616.7999999999993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f t="shared" si="15"/>
        <v>5616.7999999999993</v>
      </c>
    </row>
    <row r="108" spans="1:21" ht="25.5">
      <c r="A108" s="27" t="s">
        <v>237</v>
      </c>
      <c r="B108" s="26" t="s">
        <v>240</v>
      </c>
      <c r="C108" s="27" t="s">
        <v>238</v>
      </c>
      <c r="D108" s="8"/>
      <c r="E108" s="71"/>
      <c r="F108" s="57">
        <v>5</v>
      </c>
      <c r="G108" s="57">
        <v>295.12</v>
      </c>
      <c r="H108" s="72">
        <f>G108*F108/1000</f>
        <v>1.4755999999999998</v>
      </c>
      <c r="I108" s="40">
        <v>0</v>
      </c>
      <c r="J108" s="40">
        <v>0</v>
      </c>
      <c r="K108" s="40">
        <v>0</v>
      </c>
      <c r="L108" s="40">
        <f>G108*5</f>
        <v>1475.6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40">
        <v>0</v>
      </c>
      <c r="U108" s="40">
        <f t="shared" si="15"/>
        <v>1475.6</v>
      </c>
    </row>
    <row r="109" spans="1:21" ht="25.5">
      <c r="A109" s="143" t="s">
        <v>171</v>
      </c>
      <c r="B109" s="144" t="s">
        <v>247</v>
      </c>
      <c r="C109" s="145" t="s">
        <v>233</v>
      </c>
      <c r="D109" s="8"/>
      <c r="E109" s="71"/>
      <c r="F109" s="57">
        <v>1</v>
      </c>
      <c r="G109" s="57">
        <v>350.1</v>
      </c>
      <c r="H109" s="72">
        <f>G109*F109/1000</f>
        <v>0.35010000000000002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f>G109</f>
        <v>350.1</v>
      </c>
      <c r="T109" s="40">
        <v>0</v>
      </c>
      <c r="U109" s="40">
        <f>SUM(I109:T109)</f>
        <v>350.1</v>
      </c>
    </row>
    <row r="110" spans="1:21" ht="25.5">
      <c r="A110" s="27" t="s">
        <v>249</v>
      </c>
      <c r="B110" s="26" t="s">
        <v>250</v>
      </c>
      <c r="C110" s="27" t="s">
        <v>248</v>
      </c>
      <c r="D110" s="8"/>
      <c r="E110" s="71"/>
      <c r="F110" s="57">
        <v>3</v>
      </c>
      <c r="G110" s="57">
        <v>169.85</v>
      </c>
      <c r="H110" s="72">
        <f>G110*F110/1000</f>
        <v>0.50954999999999995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f>G110</f>
        <v>169.85</v>
      </c>
      <c r="S110" s="40">
        <f>G110*2</f>
        <v>339.7</v>
      </c>
      <c r="T110" s="40">
        <v>0</v>
      </c>
      <c r="U110" s="40">
        <f>SUM(I110:T110)</f>
        <v>509.54999999999995</v>
      </c>
    </row>
    <row r="111" spans="1:21">
      <c r="A111" s="128" t="s">
        <v>251</v>
      </c>
      <c r="B111" s="129" t="s">
        <v>252</v>
      </c>
      <c r="C111" s="133" t="s">
        <v>219</v>
      </c>
      <c r="D111" s="8"/>
      <c r="E111" s="71"/>
      <c r="F111" s="57">
        <v>1</v>
      </c>
      <c r="G111" s="57">
        <v>16.45</v>
      </c>
      <c r="H111" s="72">
        <f>G111*F111/1000</f>
        <v>1.6449999999999999E-2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f>G111</f>
        <v>16.45</v>
      </c>
      <c r="U111" s="40">
        <f>SUM(I111:T111)</f>
        <v>16.45</v>
      </c>
    </row>
    <row r="112" spans="1:21" ht="25.5">
      <c r="A112" s="128" t="s">
        <v>198</v>
      </c>
      <c r="B112" s="129" t="s">
        <v>253</v>
      </c>
      <c r="C112" s="133" t="s">
        <v>219</v>
      </c>
      <c r="D112" s="8"/>
      <c r="E112" s="71"/>
      <c r="F112" s="57">
        <v>55</v>
      </c>
      <c r="G112" s="57">
        <v>2057</v>
      </c>
      <c r="H112" s="72">
        <f>G112*F112/1000</f>
        <v>113.13500000000001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f>G112*50</f>
        <v>102850</v>
      </c>
      <c r="O112" s="40">
        <f>G112*3</f>
        <v>6171</v>
      </c>
      <c r="P112" s="40">
        <v>0</v>
      </c>
      <c r="Q112" s="40">
        <v>0</v>
      </c>
      <c r="R112" s="40">
        <v>0</v>
      </c>
      <c r="S112" s="40">
        <f>G112*2</f>
        <v>4114</v>
      </c>
      <c r="T112" s="40">
        <v>0</v>
      </c>
      <c r="U112" s="40">
        <f>SUM(I112:T112)</f>
        <v>113135</v>
      </c>
    </row>
    <row r="113" spans="1:21" ht="25.5">
      <c r="A113" s="128" t="s">
        <v>198</v>
      </c>
      <c r="B113" s="129" t="s">
        <v>254</v>
      </c>
      <c r="C113" s="133" t="s">
        <v>135</v>
      </c>
      <c r="D113" s="8"/>
      <c r="E113" s="71"/>
      <c r="F113" s="57">
        <v>0.12</v>
      </c>
      <c r="G113" s="57">
        <v>3402</v>
      </c>
      <c r="H113" s="72">
        <f>G113*F113/1000</f>
        <v>0.40823999999999999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40">
        <f>G113*0.12</f>
        <v>408.24</v>
      </c>
      <c r="U113" s="40">
        <f>SUM(I113:T113)</f>
        <v>408.24</v>
      </c>
    </row>
    <row r="114" spans="1:21" ht="38.25">
      <c r="A114" s="130" t="s">
        <v>257</v>
      </c>
      <c r="B114" s="26" t="s">
        <v>255</v>
      </c>
      <c r="C114" s="27" t="s">
        <v>256</v>
      </c>
      <c r="D114" s="8"/>
      <c r="E114" s="71"/>
      <c r="F114" s="57">
        <v>0.1</v>
      </c>
      <c r="G114" s="57">
        <v>8527.7199999999993</v>
      </c>
      <c r="H114" s="72">
        <f>G114*F114/1000</f>
        <v>0.85277199999999997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40">
        <f>G114*0.1</f>
        <v>852.77199999999993</v>
      </c>
      <c r="U114" s="40">
        <f>SUM(I114:T114)</f>
        <v>852.77199999999993</v>
      </c>
    </row>
    <row r="115" spans="1:21" ht="25.5">
      <c r="A115" s="142" t="s">
        <v>258</v>
      </c>
      <c r="B115" s="26" t="s">
        <v>259</v>
      </c>
      <c r="C115" s="27" t="s">
        <v>260</v>
      </c>
      <c r="D115" s="8"/>
      <c r="E115" s="71"/>
      <c r="F115" s="57">
        <v>2</v>
      </c>
      <c r="G115" s="57">
        <v>2700.74</v>
      </c>
      <c r="H115" s="72">
        <f>G115*F115/1000</f>
        <v>5.4014799999999994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f>G115*2</f>
        <v>5401.48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f>SUM(I115:T115)</f>
        <v>5401.48</v>
      </c>
    </row>
    <row r="116" spans="1:21" s="19" customFormat="1">
      <c r="A116" s="105"/>
      <c r="B116" s="106" t="s">
        <v>143</v>
      </c>
      <c r="C116" s="105"/>
      <c r="D116" s="105"/>
      <c r="E116" s="100"/>
      <c r="F116" s="100"/>
      <c r="G116" s="100"/>
      <c r="H116" s="49">
        <f>SUM(H86:H115)</f>
        <v>280.66835859999998</v>
      </c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48">
        <f>SUM(U86:U115)</f>
        <v>280668.35859999998</v>
      </c>
    </row>
    <row r="117" spans="1:21">
      <c r="A117" s="103"/>
      <c r="B117" s="107"/>
      <c r="C117" s="108"/>
      <c r="D117" s="108"/>
      <c r="E117" s="57"/>
      <c r="F117" s="57"/>
      <c r="G117" s="57"/>
      <c r="H117" s="109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138"/>
    </row>
    <row r="118" spans="1:21" ht="12" customHeight="1">
      <c r="A118" s="74"/>
      <c r="B118" s="18" t="s">
        <v>144</v>
      </c>
      <c r="C118" s="70"/>
      <c r="D118" s="95"/>
      <c r="E118" s="57"/>
      <c r="F118" s="57"/>
      <c r="G118" s="57"/>
      <c r="H118" s="110">
        <f>H116/E119/12*1000</f>
        <v>8.9050180404848014</v>
      </c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138"/>
    </row>
    <row r="119" spans="1:21" s="19" customFormat="1">
      <c r="A119" s="90"/>
      <c r="B119" s="111" t="s">
        <v>145</v>
      </c>
      <c r="C119" s="112"/>
      <c r="D119" s="111"/>
      <c r="E119" s="113">
        <v>2626.5</v>
      </c>
      <c r="F119" s="114">
        <f>SUM(E119*12)</f>
        <v>31518</v>
      </c>
      <c r="G119" s="115">
        <f>H83+H118</f>
        <v>28.029756399708106</v>
      </c>
      <c r="H119" s="116">
        <f>SUM(F119*G119/1000)</f>
        <v>883.441862206</v>
      </c>
      <c r="I119" s="100">
        <f t="shared" ref="I119:R119" si="16">SUM(I11:I118)</f>
        <v>47415.333439333335</v>
      </c>
      <c r="J119" s="100">
        <f t="shared" si="16"/>
        <v>105595.59076933333</v>
      </c>
      <c r="K119" s="100">
        <f t="shared" si="16"/>
        <v>112326.48219933335</v>
      </c>
      <c r="L119" s="100">
        <f t="shared" si="16"/>
        <v>57839.610909333329</v>
      </c>
      <c r="M119" s="100">
        <f t="shared" si="16"/>
        <v>124651.98413266668</v>
      </c>
      <c r="N119" s="100">
        <f t="shared" si="16"/>
        <v>139795.53107666667</v>
      </c>
      <c r="O119" s="100">
        <f t="shared" si="16"/>
        <v>47564.818792666672</v>
      </c>
      <c r="P119" s="100">
        <f t="shared" si="16"/>
        <v>38488.315522666671</v>
      </c>
      <c r="Q119" s="100">
        <f t="shared" si="16"/>
        <v>47848.420952666675</v>
      </c>
      <c r="R119" s="100">
        <f t="shared" si="16"/>
        <v>36320.620982666667</v>
      </c>
      <c r="S119" s="100">
        <f>SUM(S11:S118)</f>
        <v>50358.751199333332</v>
      </c>
      <c r="T119" s="100">
        <f>SUM(T11:T118)</f>
        <v>52621.90522933333</v>
      </c>
      <c r="U119" s="48">
        <f>U81+U116</f>
        <v>860827.36520599993</v>
      </c>
    </row>
    <row r="120" spans="1:21">
      <c r="A120" s="74"/>
      <c r="B120" s="74"/>
      <c r="C120" s="74"/>
      <c r="D120" s="74"/>
      <c r="E120" s="117"/>
      <c r="F120" s="117"/>
      <c r="G120" s="117"/>
      <c r="H120" s="117"/>
      <c r="I120" s="117"/>
      <c r="J120" s="117"/>
      <c r="K120" s="117"/>
      <c r="L120" s="117"/>
      <c r="M120" s="74"/>
      <c r="N120" s="117"/>
      <c r="O120" s="74"/>
      <c r="P120" s="74"/>
      <c r="Q120" s="74"/>
      <c r="R120" s="74"/>
      <c r="S120" s="74"/>
      <c r="T120" s="74"/>
      <c r="U120" s="74"/>
    </row>
    <row r="121" spans="1:21">
      <c r="A121" s="74"/>
      <c r="B121" s="74"/>
      <c r="C121" s="74"/>
      <c r="D121" s="74"/>
      <c r="E121" s="117"/>
      <c r="F121" s="117"/>
      <c r="G121" s="117"/>
      <c r="H121" s="117"/>
      <c r="I121" s="117"/>
      <c r="J121" s="118"/>
      <c r="K121" s="119"/>
      <c r="L121" s="118"/>
      <c r="M121" s="117"/>
      <c r="N121" s="74"/>
      <c r="O121" s="74"/>
      <c r="P121" s="74"/>
      <c r="Q121" s="74"/>
      <c r="R121" s="74"/>
      <c r="S121" s="74"/>
      <c r="T121" s="74"/>
      <c r="U121" s="74"/>
    </row>
    <row r="122" spans="1:21" ht="45">
      <c r="A122" s="74"/>
      <c r="B122" s="120" t="s">
        <v>186</v>
      </c>
      <c r="C122" s="152">
        <v>236810.95</v>
      </c>
      <c r="D122" s="147"/>
      <c r="E122" s="147"/>
      <c r="F122" s="148"/>
      <c r="G122" s="117"/>
      <c r="H122" s="117"/>
      <c r="I122" s="117"/>
      <c r="J122" s="118"/>
      <c r="K122" s="119"/>
      <c r="L122" s="118"/>
      <c r="M122" s="117"/>
      <c r="N122" s="74"/>
      <c r="O122" s="74"/>
      <c r="P122" s="74"/>
      <c r="Q122" s="74"/>
      <c r="R122" s="74"/>
      <c r="S122" s="74"/>
      <c r="T122" s="74"/>
      <c r="U122" s="74"/>
    </row>
    <row r="123" spans="1:21" ht="30">
      <c r="A123" s="74"/>
      <c r="B123" s="22" t="s">
        <v>241</v>
      </c>
      <c r="C123" s="149">
        <v>699935.6</v>
      </c>
      <c r="D123" s="150"/>
      <c r="E123" s="150"/>
      <c r="F123" s="151"/>
      <c r="G123" s="117"/>
      <c r="H123" s="117"/>
      <c r="I123" s="117"/>
      <c r="J123" s="118"/>
      <c r="K123" s="119"/>
      <c r="L123" s="118"/>
      <c r="M123" s="117"/>
      <c r="N123" s="74"/>
      <c r="O123" s="74"/>
      <c r="P123" s="74"/>
      <c r="Q123" s="74"/>
      <c r="R123" s="74"/>
      <c r="S123" s="74"/>
      <c r="T123" s="74"/>
      <c r="U123" s="74"/>
    </row>
    <row r="124" spans="1:21" ht="30">
      <c r="A124" s="74"/>
      <c r="B124" s="22" t="s">
        <v>242</v>
      </c>
      <c r="C124" s="149">
        <f>SUM(U119-U116)</f>
        <v>580159.00660600001</v>
      </c>
      <c r="D124" s="150"/>
      <c r="E124" s="150"/>
      <c r="F124" s="151"/>
      <c r="G124" s="117"/>
      <c r="H124" s="117"/>
      <c r="I124" s="117"/>
      <c r="J124" s="118"/>
      <c r="K124" s="119"/>
      <c r="L124" s="118"/>
      <c r="M124" s="117"/>
      <c r="N124" s="74"/>
      <c r="O124" s="74"/>
      <c r="P124" s="74"/>
      <c r="Q124" s="74"/>
      <c r="R124" s="74"/>
      <c r="S124" s="74"/>
      <c r="T124" s="74"/>
      <c r="U124" s="74"/>
    </row>
    <row r="125" spans="1:21" ht="30">
      <c r="A125" s="74"/>
      <c r="B125" s="22" t="s">
        <v>243</v>
      </c>
      <c r="C125" s="149">
        <f>SUM(U116)</f>
        <v>280668.35859999998</v>
      </c>
      <c r="D125" s="150"/>
      <c r="E125" s="150"/>
      <c r="F125" s="151"/>
      <c r="G125" s="117"/>
      <c r="H125" s="117"/>
      <c r="I125" s="117"/>
      <c r="J125" s="118"/>
      <c r="K125" s="119"/>
      <c r="L125" s="118"/>
      <c r="M125" s="117"/>
      <c r="N125" s="74"/>
      <c r="O125" s="74"/>
      <c r="P125" s="74"/>
      <c r="Q125" s="74"/>
      <c r="R125" s="74"/>
      <c r="S125" s="74"/>
      <c r="T125" s="74"/>
      <c r="U125" s="74"/>
    </row>
    <row r="126" spans="1:21" ht="18">
      <c r="A126" s="74"/>
      <c r="B126" s="134" t="s">
        <v>244</v>
      </c>
      <c r="C126" s="152">
        <v>714226.45</v>
      </c>
      <c r="D126" s="147"/>
      <c r="E126" s="147"/>
      <c r="F126" s="148"/>
      <c r="G126" s="74"/>
      <c r="H126" s="121" t="s">
        <v>152</v>
      </c>
      <c r="I126" s="122"/>
      <c r="J126" s="122"/>
      <c r="K126" s="123"/>
      <c r="L126" s="124"/>
      <c r="M126" s="121"/>
      <c r="N126" s="121"/>
      <c r="O126" s="74"/>
      <c r="P126" s="74"/>
      <c r="Q126" s="74"/>
      <c r="R126" s="74"/>
      <c r="S126" s="74"/>
      <c r="T126" s="74"/>
      <c r="U126" s="74"/>
    </row>
    <row r="127" spans="1:21" ht="78.75">
      <c r="A127" s="74"/>
      <c r="B127" s="23" t="s">
        <v>245</v>
      </c>
      <c r="C127" s="153">
        <v>124892.14</v>
      </c>
      <c r="D127" s="154"/>
      <c r="E127" s="154"/>
      <c r="F127" s="155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</row>
    <row r="128" spans="1:21" ht="45">
      <c r="A128" s="74"/>
      <c r="B128" s="125" t="s">
        <v>246</v>
      </c>
      <c r="C128" s="146">
        <f>SUM(U119-C123)+C122</f>
        <v>397702.71520599996</v>
      </c>
      <c r="D128" s="147"/>
      <c r="E128" s="147"/>
      <c r="F128" s="148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</row>
    <row r="130" spans="7:13">
      <c r="J130" s="3"/>
      <c r="K130" s="4"/>
      <c r="L130" s="4"/>
      <c r="M130" s="2"/>
    </row>
    <row r="131" spans="7:13">
      <c r="G131" s="5"/>
      <c r="H131" s="5"/>
    </row>
    <row r="132" spans="7:13">
      <c r="G132" s="6"/>
    </row>
  </sheetData>
  <mergeCells count="11">
    <mergeCell ref="B3:L3"/>
    <mergeCell ref="B4:L4"/>
    <mergeCell ref="B5:L5"/>
    <mergeCell ref="B6:L6"/>
    <mergeCell ref="C122:F122"/>
    <mergeCell ref="C128:F128"/>
    <mergeCell ref="C123:F123"/>
    <mergeCell ref="C124:F124"/>
    <mergeCell ref="C125:F125"/>
    <mergeCell ref="C126:F126"/>
    <mergeCell ref="C127:F127"/>
  </mergeCells>
  <pageMargins left="0.31496062992125984" right="0.31496062992125984" top="0.15748031496062992" bottom="0.19685039370078741" header="0.15748031496062992" footer="0.15748031496062992"/>
  <pageSetup paperSize="9" scale="3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 7</vt:lpstr>
      <vt:lpstr>'Стр.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2016-03-16T13:52:05Z</dcterms:modified>
</cp:coreProperties>
</file>