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60" windowWidth="15480" windowHeight="813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  <sheet name="Лист1" sheetId="16" r:id="rId13"/>
  </sheets>
  <definedNames>
    <definedName name="_xlnm._FilterDatabase" localSheetId="0" hidden="1">'01.16'!$I$14:$I$64</definedName>
    <definedName name="_xlnm._FilterDatabase" localSheetId="1" hidden="1">'02.16'!$I$14:$I$64</definedName>
    <definedName name="_xlnm._FilterDatabase" localSheetId="2" hidden="1">'03.16'!$I$14:$I$64</definedName>
    <definedName name="_xlnm._FilterDatabase" localSheetId="3" hidden="1">'04.16'!$I$14:$I$64</definedName>
    <definedName name="_xlnm._FilterDatabase" localSheetId="4" hidden="1">'05.16'!$I$14:$I$64</definedName>
    <definedName name="_xlnm._FilterDatabase" localSheetId="5" hidden="1">'06.16'!$I$14:$I$64</definedName>
    <definedName name="_xlnm._FilterDatabase" localSheetId="6" hidden="1">'07.16'!$I$14:$I$64</definedName>
    <definedName name="_xlnm._FilterDatabase" localSheetId="7" hidden="1">'08.16'!$I$14:$I$64</definedName>
    <definedName name="_xlnm._FilterDatabase" localSheetId="8" hidden="1">'09.16'!$I$14:$I$64</definedName>
    <definedName name="_xlnm._FilterDatabase" localSheetId="9" hidden="1">'10.16'!$I$14:$I$64</definedName>
    <definedName name="_xlnm._FilterDatabase" localSheetId="10" hidden="1">'11.16'!$G$14:$G$63</definedName>
    <definedName name="_xlnm._FilterDatabase" localSheetId="11" hidden="1">'12.16'!$G$14:$G$70</definedName>
    <definedName name="_xlnm.Print_Titles" localSheetId="10">'11.16'!$14:$15</definedName>
    <definedName name="_xlnm.Print_Area" localSheetId="0">'01.16'!$A$1:$I$130</definedName>
    <definedName name="_xlnm.Print_Area" localSheetId="1">'02.16'!$A$1:$I$108</definedName>
    <definedName name="_xlnm.Print_Area" localSheetId="2">'03.16'!$A$1:$I$106</definedName>
    <definedName name="_xlnm.Print_Area" localSheetId="3">'04.16'!$A$1:$I$111</definedName>
    <definedName name="_xlnm.Print_Area" localSheetId="4">'05.16'!$A$1:$I$108</definedName>
    <definedName name="_xlnm.Print_Area" localSheetId="5">'06.16'!$A$1:$I$107</definedName>
    <definedName name="_xlnm.Print_Area" localSheetId="6">'07.16'!$A$1:$I$105</definedName>
    <definedName name="_xlnm.Print_Area" localSheetId="7">'08.16'!$A$1:$I$107</definedName>
    <definedName name="_xlnm.Print_Area" localSheetId="8">'09.16'!$A$1:$I$107</definedName>
    <definedName name="_xlnm.Print_Area" localSheetId="9">'10.16'!$A$1:$I$111</definedName>
    <definedName name="_xlnm.Print_Area" localSheetId="10">'11.16'!$A$1:$G$86</definedName>
    <definedName name="_xlnm.Print_Area" localSheetId="11">'12.16'!$A$1:$G$110</definedName>
  </definedNames>
  <calcPr calcId="124519"/>
</workbook>
</file>

<file path=xl/calcChain.xml><?xml version="1.0" encoding="utf-8"?>
<calcChain xmlns="http://schemas.openxmlformats.org/spreadsheetml/2006/main">
  <c r="G62" i="14"/>
  <c r="I87" i="26"/>
  <c r="I86"/>
  <c r="I85"/>
  <c r="I84"/>
  <c r="I83"/>
  <c r="I82"/>
  <c r="I76"/>
  <c r="I61"/>
  <c r="H87"/>
  <c r="H86"/>
  <c r="H85"/>
  <c r="H84"/>
  <c r="F83"/>
  <c r="F82"/>
  <c r="H82" s="1"/>
  <c r="E79"/>
  <c r="F79" s="1"/>
  <c r="H79" s="1"/>
  <c r="H80" s="1"/>
  <c r="H81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25"/>
  <c r="I82"/>
  <c r="I68"/>
  <c r="I53"/>
  <c r="H83"/>
  <c r="F82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24"/>
  <c r="I82"/>
  <c r="I84" s="1"/>
  <c r="F83"/>
  <c r="H82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I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2" i="23"/>
  <c r="E79"/>
  <c r="F79" s="1"/>
  <c r="H79" s="1"/>
  <c r="H80" s="1"/>
  <c r="H81" s="1"/>
  <c r="F78"/>
  <c r="H78" s="1"/>
  <c r="H76"/>
  <c r="H74"/>
  <c r="H72"/>
  <c r="H71"/>
  <c r="H70"/>
  <c r="H68"/>
  <c r="H67"/>
  <c r="F67"/>
  <c r="H66"/>
  <c r="F66"/>
  <c r="H65"/>
  <c r="F65"/>
  <c r="H64"/>
  <c r="F64"/>
  <c r="H63"/>
  <c r="F63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22"/>
  <c r="I82"/>
  <c r="F83"/>
  <c r="H83" s="1"/>
  <c r="H82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4" i="21"/>
  <c r="I83"/>
  <c r="I82"/>
  <c r="F84"/>
  <c r="H84" s="1"/>
  <c r="H83"/>
  <c r="H82"/>
  <c r="I85"/>
  <c r="E79"/>
  <c r="F79" s="1"/>
  <c r="H79" s="1"/>
  <c r="H80" s="1"/>
  <c r="H81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I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0" i="20"/>
  <c r="I39"/>
  <c r="I88"/>
  <c r="I87"/>
  <c r="I86"/>
  <c r="I85"/>
  <c r="I84"/>
  <c r="I83"/>
  <c r="I82"/>
  <c r="I88" i="26" l="1"/>
  <c r="H17"/>
  <c r="H27"/>
  <c r="H38"/>
  <c r="H57"/>
  <c r="H75" s="1"/>
  <c r="H40"/>
  <c r="H42"/>
  <c r="H30"/>
  <c r="I18"/>
  <c r="H18"/>
  <c r="I16"/>
  <c r="I26"/>
  <c r="I29"/>
  <c r="I31"/>
  <c r="I37"/>
  <c r="I41"/>
  <c r="I50"/>
  <c r="I78"/>
  <c r="I79"/>
  <c r="I84" i="25"/>
  <c r="I48"/>
  <c r="I46"/>
  <c r="I51"/>
  <c r="I52"/>
  <c r="I49"/>
  <c r="I47"/>
  <c r="I45"/>
  <c r="I18"/>
  <c r="H18"/>
  <c r="H79"/>
  <c r="H80" s="1"/>
  <c r="H81" s="1"/>
  <c r="I79"/>
  <c r="I16"/>
  <c r="H17"/>
  <c r="I26"/>
  <c r="H27"/>
  <c r="I29"/>
  <c r="H30"/>
  <c r="I31"/>
  <c r="I37"/>
  <c r="H38"/>
  <c r="H40"/>
  <c r="I41"/>
  <c r="H42"/>
  <c r="I50"/>
  <c r="H57"/>
  <c r="H75" s="1"/>
  <c r="I78"/>
  <c r="H37" i="24"/>
  <c r="I18"/>
  <c r="H18"/>
  <c r="H79"/>
  <c r="H80" s="1"/>
  <c r="H81" s="1"/>
  <c r="I79"/>
  <c r="I16"/>
  <c r="H17"/>
  <c r="I26"/>
  <c r="H27"/>
  <c r="I29"/>
  <c r="H30"/>
  <c r="I31"/>
  <c r="H38"/>
  <c r="H40"/>
  <c r="I41"/>
  <c r="H42"/>
  <c r="I50"/>
  <c r="H57"/>
  <c r="H75" s="1"/>
  <c r="I78"/>
  <c r="H17" i="23"/>
  <c r="H38"/>
  <c r="H57"/>
  <c r="H75" s="1"/>
  <c r="H42"/>
  <c r="H40"/>
  <c r="H30"/>
  <c r="H27"/>
  <c r="I18"/>
  <c r="H18"/>
  <c r="I16"/>
  <c r="I26"/>
  <c r="I29"/>
  <c r="I31"/>
  <c r="I37"/>
  <c r="I41"/>
  <c r="I50"/>
  <c r="I78"/>
  <c r="I79"/>
  <c r="I84" i="22"/>
  <c r="I18"/>
  <c r="H18"/>
  <c r="H79"/>
  <c r="H80" s="1"/>
  <c r="H81" s="1"/>
  <c r="I79"/>
  <c r="I16"/>
  <c r="H17"/>
  <c r="I26"/>
  <c r="H27"/>
  <c r="I29"/>
  <c r="H30"/>
  <c r="I31"/>
  <c r="I37"/>
  <c r="H38"/>
  <c r="H40"/>
  <c r="I41"/>
  <c r="H42"/>
  <c r="I50"/>
  <c r="H57"/>
  <c r="H75" s="1"/>
  <c r="I78"/>
  <c r="H17" i="21"/>
  <c r="I20"/>
  <c r="I24"/>
  <c r="I22"/>
  <c r="I49"/>
  <c r="I47"/>
  <c r="I45"/>
  <c r="I67"/>
  <c r="I65"/>
  <c r="I19"/>
  <c r="I25"/>
  <c r="I23"/>
  <c r="I21"/>
  <c r="I48"/>
  <c r="I46"/>
  <c r="I63"/>
  <c r="I66"/>
  <c r="I64"/>
  <c r="H57"/>
  <c r="H75" s="1"/>
  <c r="H37"/>
  <c r="I18"/>
  <c r="H18"/>
  <c r="I16"/>
  <c r="I26"/>
  <c r="H27"/>
  <c r="I29"/>
  <c r="H30"/>
  <c r="I31"/>
  <c r="H38"/>
  <c r="H40"/>
  <c r="I41"/>
  <c r="H42"/>
  <c r="I50"/>
  <c r="I78"/>
  <c r="I79"/>
  <c r="G87" i="20"/>
  <c r="H87" s="1"/>
  <c r="H86"/>
  <c r="H85"/>
  <c r="H84"/>
  <c r="H83"/>
  <c r="H82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90" s="1"/>
  <c r="F37"/>
  <c r="H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2" i="19"/>
  <c r="I80" i="26" l="1"/>
  <c r="I90" s="1"/>
  <c r="I80" i="25"/>
  <c r="I86" s="1"/>
  <c r="I80" i="24"/>
  <c r="I86" s="1"/>
  <c r="I80" i="23"/>
  <c r="I84" s="1"/>
  <c r="I80" i="22"/>
  <c r="I86" s="1"/>
  <c r="I80" i="21"/>
  <c r="I87" s="1"/>
  <c r="I18" i="20"/>
  <c r="H18"/>
  <c r="H79"/>
  <c r="H80" s="1"/>
  <c r="H81" s="1"/>
  <c r="I79"/>
  <c r="I16"/>
  <c r="H17"/>
  <c r="I26"/>
  <c r="H27"/>
  <c r="I29"/>
  <c r="H30"/>
  <c r="I31"/>
  <c r="I37"/>
  <c r="H38"/>
  <c r="H40"/>
  <c r="I41"/>
  <c r="H42"/>
  <c r="I50"/>
  <c r="H57"/>
  <c r="H75" s="1"/>
  <c r="I78"/>
  <c r="I53" i="19"/>
  <c r="H82"/>
  <c r="I83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I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18"/>
  <c r="I83"/>
  <c r="I84"/>
  <c r="I82"/>
  <c r="I85" s="1"/>
  <c r="I62"/>
  <c r="I61"/>
  <c r="H84"/>
  <c r="H83"/>
  <c r="H82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37" i="19" l="1"/>
  <c r="I51"/>
  <c r="I52"/>
  <c r="I18"/>
  <c r="H18"/>
  <c r="H79"/>
  <c r="H80" s="1"/>
  <c r="H81" s="1"/>
  <c r="I79"/>
  <c r="I16"/>
  <c r="H17"/>
  <c r="I26"/>
  <c r="H27"/>
  <c r="I29"/>
  <c r="H30"/>
  <c r="I31"/>
  <c r="H38"/>
  <c r="H40"/>
  <c r="I41"/>
  <c r="H42"/>
  <c r="I50"/>
  <c r="H57"/>
  <c r="H75" s="1"/>
  <c r="I78"/>
  <c r="I18" i="18"/>
  <c r="H18"/>
  <c r="H79"/>
  <c r="H80" s="1"/>
  <c r="H81" s="1"/>
  <c r="I79"/>
  <c r="I16"/>
  <c r="H17"/>
  <c r="I26"/>
  <c r="H27"/>
  <c r="I29"/>
  <c r="H30"/>
  <c r="I31"/>
  <c r="I37"/>
  <c r="H38"/>
  <c r="H40"/>
  <c r="I41"/>
  <c r="H42"/>
  <c r="I50"/>
  <c r="H57"/>
  <c r="H75" s="1"/>
  <c r="I78"/>
  <c r="H106" i="17"/>
  <c r="H105"/>
  <c r="H104"/>
  <c r="H103"/>
  <c r="H102"/>
  <c r="H101"/>
  <c r="H100"/>
  <c r="H99"/>
  <c r="H98"/>
  <c r="H97"/>
  <c r="F96"/>
  <c r="H95"/>
  <c r="F94"/>
  <c r="H94" s="1"/>
  <c r="H93"/>
  <c r="F92"/>
  <c r="H92" s="1"/>
  <c r="H91"/>
  <c r="G90"/>
  <c r="H90" s="1"/>
  <c r="H89"/>
  <c r="H88"/>
  <c r="H87"/>
  <c r="H86"/>
  <c r="H85"/>
  <c r="I84"/>
  <c r="H84"/>
  <c r="I83"/>
  <c r="H83"/>
  <c r="I82"/>
  <c r="I107" s="1"/>
  <c r="H82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F37"/>
  <c r="H37" s="1"/>
  <c r="I36"/>
  <c r="H36"/>
  <c r="F27"/>
  <c r="H27" s="1"/>
  <c r="H34"/>
  <c r="H33"/>
  <c r="F26"/>
  <c r="I26" s="1"/>
  <c r="H32"/>
  <c r="F32"/>
  <c r="I32" s="1"/>
  <c r="F31"/>
  <c r="F30"/>
  <c r="F29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0" i="19" l="1"/>
  <c r="I85" s="1"/>
  <c r="I80" i="18"/>
  <c r="H30" i="17"/>
  <c r="I30"/>
  <c r="H29"/>
  <c r="I29"/>
  <c r="H31"/>
  <c r="I31"/>
  <c r="H17"/>
  <c r="I18"/>
  <c r="H18"/>
  <c r="I79"/>
  <c r="H79"/>
  <c r="H80" s="1"/>
  <c r="H81" s="1"/>
  <c r="I16"/>
  <c r="H26"/>
  <c r="I27"/>
  <c r="I37"/>
  <c r="H38"/>
  <c r="H40"/>
  <c r="I41"/>
  <c r="H42"/>
  <c r="H50"/>
  <c r="H57"/>
  <c r="H75" s="1"/>
  <c r="I78"/>
  <c r="I80" l="1"/>
  <c r="I109" s="1"/>
  <c r="G87" i="8" l="1"/>
  <c r="G83" l="1"/>
  <c r="G89" l="1"/>
  <c r="G59"/>
  <c r="E31"/>
  <c r="G53" i="14" l="1"/>
  <c r="G64" l="1"/>
  <c r="E20" l="1"/>
  <c r="G48" l="1"/>
  <c r="G42"/>
  <c r="G41"/>
  <c r="G39"/>
  <c r="G38"/>
  <c r="E38"/>
  <c r="E39"/>
  <c r="E40"/>
  <c r="G37"/>
  <c r="G36"/>
  <c r="G35"/>
  <c r="E24" l="1"/>
  <c r="E27"/>
  <c r="E33"/>
  <c r="E34"/>
  <c r="E35"/>
  <c r="E36"/>
  <c r="E37"/>
  <c r="E45"/>
  <c r="E47"/>
  <c r="E49"/>
  <c r="E51"/>
  <c r="G33" l="1"/>
  <c r="G34"/>
  <c r="E32" l="1"/>
  <c r="J51"/>
  <c r="E25" l="1"/>
  <c r="G32" l="1"/>
  <c r="G40"/>
  <c r="G49"/>
  <c r="E29"/>
  <c r="E28" l="1"/>
  <c r="E30"/>
  <c r="H51" l="1"/>
  <c r="H52" s="1"/>
</calcChain>
</file>

<file path=xl/sharedStrings.xml><?xml version="1.0" encoding="utf-8"?>
<sst xmlns="http://schemas.openxmlformats.org/spreadsheetml/2006/main" count="2487" uniqueCount="295">
  <si>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</si>
  <si>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</si>
  <si>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</si>
  <si>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</si>
  <si>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</si>
  <si>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</si>
  <si>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</si>
  <si>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</si>
  <si>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</si>
  <si>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</si>
  <si>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</si>
  <si>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</si>
  <si>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</si>
  <si>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</si>
  <si>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</si>
  <si>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</si>
  <si>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</si>
  <si>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</si>
  <si>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</si>
  <si>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</si>
  <si>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</si>
  <si>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</si>
  <si>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</si>
  <si>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</si>
  <si>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</si>
  <si>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</si>
  <si>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</si>
  <si>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</si>
  <si>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</si>
  <si>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</si>
  <si>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</si>
  <si>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</si>
  <si>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</si>
  <si>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</si>
  <si>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</si>
  <si>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</si>
  <si>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</si>
  <si>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</si>
  <si>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</si>
  <si>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</si>
  <si>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</si>
  <si>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</si>
  <si>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</si>
  <si>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</si>
  <si>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</si>
  <si>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</si>
  <si>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</si>
  <si>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</si>
  <si>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</si>
  <si>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</si>
  <si>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</si>
  <si>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</si>
  <si>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</si>
  <si>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</si>
  <si>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</si>
  <si>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</si>
  <si>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</si>
  <si>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</si>
  <si>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</si>
  <si>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</si>
  <si>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</si>
  <si>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</si>
  <si>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</si>
  <si>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</si>
  <si>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</si>
  <si>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</si>
  <si>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Техническое обслуживание  наружных газопроводов</t>
  </si>
  <si>
    <t>10 м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</si>
  <si>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</si>
  <si>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</si>
  <si>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</si>
  <si>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</si>
  <si>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</si>
  <si>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</si>
  <si>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</si>
  <si>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</si>
  <si>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</si>
  <si>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</si>
  <si>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</si>
  <si>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</si>
  <si>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</si>
  <si>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Проведение технических осмотров и мелкий ремонт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</si>
  <si>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</si>
  <si>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</si>
  <si>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</si>
  <si>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</si>
  <si>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</si>
  <si>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</si>
  <si>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</si>
  <si>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</si>
  <si>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</si>
  <si>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</si>
  <si>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</si>
  <si>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</si>
  <si>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</si>
  <si>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</si>
  <si>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</si>
  <si>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</si>
  <si>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</si>
  <si>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</si>
  <si>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</si>
  <si>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</si>
  <si>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</si>
  <si>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</si>
  <si>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</si>
  <si>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</si>
  <si>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</si>
  <si>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</si>
  <si>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</si>
  <si>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</si>
  <si>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</si>
  <si>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</si>
  <si>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</si>
  <si>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</si>
  <si>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</si>
  <si>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Пристрожка полотна по кромкам</t>
  </si>
  <si>
    <t>Смена дверных приборов (замки навесные)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</si>
  <si>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</si>
  <si>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</si>
  <si>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</si>
  <si>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</si>
  <si>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</si>
  <si>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</si>
  <si>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</si>
  <si>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</si>
  <si>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</si>
  <si>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</si>
  <si>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</si>
  <si>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</si>
  <si>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</si>
  <si>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</si>
  <si>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генеральный директор Куканов Ю.Л.</t>
  </si>
  <si>
    <t>Сдвигание снега в дни снегопада (проезд)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</si>
  <si>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</si>
  <si>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</si>
  <si>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</si>
  <si>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 xml:space="preserve">приемки оказанных услуг и выполненных работ по содержанию и текущему ремонту
общего имущества в многоквартирном доме № 5 по  ул. Космонавтов  пгт. Ярега
</t>
  </si>
  <si>
    <t>Аварийно - диспетчерское обслуживание</t>
  </si>
  <si>
    <t>Смена дощатых полов с добавлением новых досок до 25%</t>
  </si>
  <si>
    <t>4 раза в месяц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</si>
  <si>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5   </t>
    </r>
    <r>
      <rPr>
        <sz val="12"/>
        <rFont val="Times New Roman"/>
        <family val="1"/>
        <charset val="204"/>
      </rPr>
      <t>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5</t>
    </r>
  </si>
  <si>
    <t>Мытье лестничных  площадок и маршей 1 - 5 этаж.</t>
  </si>
  <si>
    <t>Влажное подметание лестничных клеток 2 - 5 этажа.</t>
  </si>
  <si>
    <t>Стоимость песка - 100 м2 - 0,002 м3</t>
  </si>
  <si>
    <t>АКТ №12</t>
  </si>
  <si>
    <t>за период с 01.12.2016 г. по 31.12.2016 г.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</si>
  <si>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</si>
  <si>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</si>
  <si>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</si>
  <si>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</si>
  <si>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</si>
  <si>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</si>
  <si>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</si>
  <si>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</si>
  <si>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</si>
  <si>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Уборка газонов</t>
  </si>
  <si>
    <t>1000м2</t>
  </si>
  <si>
    <t>Подметание территории с усовершенствованным покрытием асф.: крыльца, контейнерн. пл., проезд, тротуар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</si>
  <si>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</si>
  <si>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</si>
  <si>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</si>
  <si>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</si>
  <si>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</si>
  <si>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</si>
  <si>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</si>
  <si>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</si>
  <si>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</si>
  <si>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</si>
  <si>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</si>
  <si>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</si>
  <si>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</si>
  <si>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</si>
  <si>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Стоимость светодиодного светильника</t>
  </si>
  <si>
    <t>Прочистка каналов</t>
  </si>
  <si>
    <t>3м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</si>
  <si>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</si>
  <si>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</si>
  <si>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ул.Космонавтов пгт.Ярега
</t>
  </si>
  <si>
    <t>Влажное подметание лестничных клеток 2-5 этажа</t>
  </si>
  <si>
    <t>Мытье лестничных  площадок и маршей 1-5 этаж.</t>
  </si>
  <si>
    <t>156 раз в год</t>
  </si>
  <si>
    <t>104 раза в год</t>
  </si>
  <si>
    <t xml:space="preserve">24 раза в год </t>
  </si>
  <si>
    <t>Влажная протирка отопительных приборов</t>
  </si>
  <si>
    <t>52 раза в сезон</t>
  </si>
  <si>
    <t>78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</si>
  <si>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</si>
  <si>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</si>
  <si>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</si>
  <si>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35 раз за сезон</t>
  </si>
  <si>
    <t>20 раз за сезон</t>
  </si>
  <si>
    <t>5 раз в году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</si>
  <si>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</si>
  <si>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</si>
  <si>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</si>
  <si>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</si>
  <si>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ТО внутренних сетей водопровода и канализации</t>
  </si>
  <si>
    <t>руб/м2 в мес</t>
  </si>
  <si>
    <t>Смена светодиодных светильников в.о.</t>
  </si>
  <si>
    <t>1 шт.</t>
  </si>
  <si>
    <t>руб.</t>
  </si>
  <si>
    <t>Смена светодиодных светильников н.о.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</si>
  <si>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д.5</t>
    </r>
  </si>
  <si>
    <t>Прочистка засоров ГВС, XВC</t>
  </si>
  <si>
    <t>Смена трубопроводов на полипропиленовые трубы PN25 диаметром 20мм</t>
  </si>
  <si>
    <t>Вентиль ПП Ду-20</t>
  </si>
  <si>
    <t xml:space="preserve">Смена сгонов у трубопроводов диаметром до 20 мм </t>
  </si>
  <si>
    <t>1 сгон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</si>
  <si>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</si>
  <si>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</si>
  <si>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01.12.2016 по 31.12.2016 выполнено работ (оказано услуг) на общую сумму: 64931,10 руб.</t>
  </si>
  <si>
    <t>(шестьдесят четыре тысячи девятьсот тридцать один рубль 10 копеек)</t>
  </si>
  <si>
    <t>АКТ №11</t>
  </si>
  <si>
    <t>АКТ №1</t>
  </si>
  <si>
    <t>3 раза в неделю 156 раз в год</t>
  </si>
  <si>
    <t>2 раза в неделю 104 раза в год</t>
  </si>
  <si>
    <t xml:space="preserve"> - Уборка газонов</t>
  </si>
  <si>
    <t>2 раза в неделю 52 раза в сезон</t>
  </si>
  <si>
    <t xml:space="preserve"> - Подметание территории с усовершенствованным покрытием асф.: крыльца, контейнерн пл., проезд, тротуар</t>
  </si>
  <si>
    <t>3 раза в неделю 78 раз за сезон</t>
  </si>
  <si>
    <t xml:space="preserve"> - Уборка контейнерной площадки (16 кв.м.)</t>
  </si>
  <si>
    <t>ежедневно 365 раз</t>
  </si>
  <si>
    <t>Вывоз смета,травы,ветвей и т.п.- м/ч</t>
  </si>
  <si>
    <t xml:space="preserve"> </t>
  </si>
  <si>
    <t>12 раз за сезон</t>
  </si>
  <si>
    <t>24 раза за сезон</t>
  </si>
  <si>
    <t>Очистка  от мусора</t>
  </si>
  <si>
    <t>Замена ламп ДРЛ</t>
  </si>
  <si>
    <t>Ремонт и регулировка доводчика (без стоимости доводчика)</t>
  </si>
  <si>
    <t>1шт.</t>
  </si>
  <si>
    <t>1 полотно</t>
  </si>
  <si>
    <t>Ремонт и регулировка доводчика (со стоимостью доводчика)</t>
  </si>
  <si>
    <t>Устройство хомута</t>
  </si>
  <si>
    <t>Смена полиэтиленовых канализационных труб 110×1000 мм + фитинги (I под.)</t>
  </si>
  <si>
    <t>Смена полиэтиленовых канализационных труб 110×2000 мм (I под.)</t>
  </si>
  <si>
    <t xml:space="preserve">Герметизация стыков трубопроводов    </t>
  </si>
  <si>
    <t>1 место</t>
  </si>
  <si>
    <t>Замена кран-буксы</t>
  </si>
  <si>
    <t>1 шт</t>
  </si>
  <si>
    <t>Ремонт поверхности кирпичных стен при глубине заделки в 1 кирпич площадью в одном месте до 1 м2</t>
  </si>
  <si>
    <t>Внеплановый осмотр вводных электрических щитков</t>
  </si>
  <si>
    <t>100шт</t>
  </si>
  <si>
    <t>Утепление трубопроводов минеральной ватой</t>
  </si>
  <si>
    <t>1 мЗ</t>
  </si>
  <si>
    <t xml:space="preserve">Заделка стыков соединений </t>
  </si>
  <si>
    <t>1 соедин.</t>
  </si>
  <si>
    <t>Смена арматуры - вентилей и клапанов обратных муфтовых диаметром до 20 мм</t>
  </si>
  <si>
    <t xml:space="preserve">Вывертывание и ввертывание радиаторной пробки.   </t>
  </si>
  <si>
    <t>1 пробка</t>
  </si>
  <si>
    <t>Смена тройника 100×50×100</t>
  </si>
  <si>
    <t xml:space="preserve">2 раза в месяц 24 раза в год </t>
  </si>
  <si>
    <t>II. Зимняя уборка</t>
  </si>
  <si>
    <t>II. Летняя уборка</t>
  </si>
  <si>
    <t>1 раз в месяц (5 раз в год)</t>
  </si>
  <si>
    <t>IV. Содержание общего имущества</t>
  </si>
  <si>
    <t>III. Плановые осмотры</t>
  </si>
  <si>
    <t>V. Прочие услуги</t>
  </si>
  <si>
    <t>2. Всего за период с 01.01.2016 по 31.01.2016 выполнено работ (оказано услуг) на общую сумму: 53906,74 руб.</t>
  </si>
  <si>
    <t>(пятьдесят три тысячи девятьсот шесть рублей 74 копейки)</t>
  </si>
  <si>
    <t>АКТ №2</t>
  </si>
  <si>
    <t>2. Всего за период с 01.02.2016 по 29.02.2016 выполнено работ (оказано услуг) на общую сумму: 47069,31 руб.</t>
  </si>
  <si>
    <t>(сорок семь тысяч шестьдесят девять рублей 31 копейка)</t>
  </si>
  <si>
    <t>АКТ №3</t>
  </si>
  <si>
    <t>2. Всего за период с 01.03.2016 по 31.03.2016 выполнено работ (оказано услуг) на общую сумму: 46593,10 руб.</t>
  </si>
  <si>
    <t>(сорок шесть тысяч пятьсот девяносто три рубля 10 копеек)</t>
  </si>
  <si>
    <t>АКТ №4</t>
  </si>
  <si>
    <t>2. Всего за период с 01.04.2016 по 30.04.2016 выполнено работ (оказано услуг) на общую сумму: 62256,25 руб.</t>
  </si>
  <si>
    <t>(шестьдесят две тысячи двести пятьдесят шесть рублей 25 копеек)</t>
  </si>
  <si>
    <t>АКТ №5</t>
  </si>
  <si>
    <t>2. Всего за период с 01.05.2016 по 31.05.2016 выполнено работ (оказано услуг) на общую сумму: 129087,99 руб.</t>
  </si>
  <si>
    <t>(сто двадцать девять тысяч восемьдесят семь рублей 99 копеек)</t>
  </si>
  <si>
    <t>АКТ №6</t>
  </si>
  <si>
    <t>III. Прочие услуги</t>
  </si>
  <si>
    <t>2. Всего за период с 01.06.2016 по 30.06.2016 выполнено работ (оказано услуг) на общую сумму: 36363,91 руб.</t>
  </si>
  <si>
    <t>(тридцать шесть тысяч триста шестьдесят три рубля 91 копейка)</t>
  </si>
  <si>
    <t>АКТ №7</t>
  </si>
  <si>
    <t>2. Всего за период с 01.07.2016 по 31.07.2016 выполнено работ (оказано услуг) на общую сумму: 35901,68 руб.</t>
  </si>
  <si>
    <t>(тридцать пять тысяч девятьсот один рубль 68 копеек)</t>
  </si>
  <si>
    <t>АКТ №8</t>
  </si>
  <si>
    <t>IV. Прочие услуги</t>
  </si>
  <si>
    <t>2. Всего за период с 01.08.2016 по 31.08.2016 выполнено работ (оказано услуг) на общую сумму: 45422,30 руб.</t>
  </si>
  <si>
    <t>(сорок пять тысяч четыреста двадцать два рубля 30 копеек)</t>
  </si>
  <si>
    <t>АКТ №9</t>
  </si>
  <si>
    <t>1 м3</t>
  </si>
  <si>
    <t>2. Всего за период с 01.09.2016 по 30.09.2016 выполнено работ (оказано услуг) на общую сумму: 43132,15 руб.</t>
  </si>
  <si>
    <t>(сорок три тысячи сто тридцать два рубля 15 копеек)</t>
  </si>
  <si>
    <t>АКТ №10</t>
  </si>
  <si>
    <t>за период с 01.10.2016 г. по 31.10.2016 г.</t>
  </si>
  <si>
    <t>2. Всего за период с 01.10.2016 по 31.10.2016 выполнено работ (оказано услуг) на общую сумму: 62513,98 руб.</t>
  </si>
  <si>
    <t>(шестьдесят две тысячи пятьсот тринадцать рублей 98 копеек)</t>
  </si>
  <si>
    <t>2. Всего за период с  01.11.2016 г. по 30.11.2016 г. выполнено работ (оказано услуг) на общую сумму: 53853,71 руб.</t>
  </si>
  <si>
    <t>(пятьдесят три тысячи восемьсот пятьдесят три рубля 71 копейка)</t>
  </si>
  <si>
    <r>
      <t xml:space="preserve">    Собственники   помещений   в многоквартирном доме, расположенном по адресу: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_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27.08.2012г.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</si>
  <si>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27.08.2012г.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</si>
  <si>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_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10.11.2016г.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</si>
</sst>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"/>
    <numFmt numFmtId="166" formatCode="0.00000"/>
    <numFmt numFmtId="167" formatCode="0.0000000"/>
  </numFmts>
  <fonts count="3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9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4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wrapText="1"/>
    </xf>
    <xf numFmtId="0" fontId="14" fillId="0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" fontId="12" fillId="3" borderId="9" xfId="0" applyNumberFormat="1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2" fillId="2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12" fillId="0" borderId="0" xfId="0" applyFont="1" applyBorder="1" applyAlignment="1">
      <alignment wrapText="1"/>
    </xf>
    <xf numFmtId="0" fontId="0" fillId="0" borderId="0" xfId="0" applyFont="1"/>
    <xf numFmtId="0" fontId="12" fillId="0" borderId="0" xfId="0" applyFont="1"/>
    <xf numFmtId="0" fontId="2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8" fillId="0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/>
    </xf>
    <xf numFmtId="4" fontId="23" fillId="0" borderId="3" xfId="0" applyNumberFormat="1" applyFont="1" applyFill="1" applyBorder="1" applyAlignment="1">
      <alignment horizontal="center" wrapText="1"/>
    </xf>
    <xf numFmtId="4" fontId="23" fillId="0" borderId="3" xfId="0" applyNumberFormat="1" applyFont="1" applyFill="1" applyBorder="1" applyAlignment="1">
      <alignment horizontal="center"/>
    </xf>
    <xf numFmtId="4" fontId="23" fillId="0" borderId="3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4" fontId="23" fillId="0" borderId="3" xfId="0" applyNumberFormat="1" applyFont="1" applyFill="1" applyBorder="1" applyAlignment="1">
      <alignment horizontal="center" vertical="center"/>
    </xf>
    <xf numFmtId="4" fontId="23" fillId="2" borderId="9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2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wrapText="1"/>
    </xf>
    <xf numFmtId="0" fontId="21" fillId="0" borderId="3" xfId="0" applyFont="1" applyFill="1" applyBorder="1" applyAlignment="1">
      <alignment horizont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Fill="1" applyBorder="1"/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23" fillId="2" borderId="3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wrapText="1"/>
    </xf>
    <xf numFmtId="0" fontId="23" fillId="0" borderId="3" xfId="0" applyNumberFormat="1" applyFont="1" applyFill="1" applyBorder="1" applyAlignment="1" applyProtection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left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/>
    <xf numFmtId="0" fontId="21" fillId="0" borderId="3" xfId="0" applyFont="1" applyFill="1" applyBorder="1" applyAlignment="1">
      <alignment horizontal="left"/>
    </xf>
    <xf numFmtId="0" fontId="24" fillId="0" borderId="3" xfId="0" applyFont="1" applyBorder="1"/>
    <xf numFmtId="4" fontId="21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3" fillId="0" borderId="0" xfId="0" applyFont="1" applyBorder="1" applyAlignment="1">
      <alignment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15" fillId="0" borderId="0" xfId="0" applyFont="1" applyAlignment="1">
      <alignment horizontal="right" vertical="top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4" fillId="0" borderId="0" xfId="0" applyFont="1" applyAlignment="1"/>
    <xf numFmtId="0" fontId="24" fillId="0" borderId="0" xfId="0" applyFont="1"/>
    <xf numFmtId="0" fontId="23" fillId="0" borderId="0" xfId="0" applyFont="1" applyAlignment="1"/>
    <xf numFmtId="0" fontId="26" fillId="0" borderId="0" xfId="0" applyFont="1"/>
    <xf numFmtId="14" fontId="21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23" fillId="0" borderId="0" xfId="0" applyFont="1" applyAlignment="1">
      <alignment horizontal="justify"/>
    </xf>
    <xf numFmtId="0" fontId="2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4" fontId="28" fillId="2" borderId="3" xfId="0" applyNumberFormat="1" applyFont="1" applyFill="1" applyBorder="1" applyAlignment="1">
      <alignment horizontal="center" vertical="center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center" vertical="center" wrapText="1"/>
    </xf>
    <xf numFmtId="0" fontId="23" fillId="5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8" xfId="0" applyFont="1" applyFill="1" applyBorder="1"/>
    <xf numFmtId="0" fontId="12" fillId="0" borderId="21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16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4" fontId="20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3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5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0"/>
  <sheetViews>
    <sheetView tabSelected="1"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213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101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42400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hidden="1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hidden="1" customHeight="1">
      <c r="A29" s="212"/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hidden="1" customHeight="1">
      <c r="A30" s="212"/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hidden="1" customHeight="1">
      <c r="A32" s="212"/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hidden="1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256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16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17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I16+I17+I18+I26+I27+I36+I37+I38+I40+I41+I42+I43+I50+I54+I57+I78+I79</f>
        <v>52669.657974083326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31.5" customHeight="1">
      <c r="A82" s="217">
        <v>18</v>
      </c>
      <c r="B82" s="218" t="s">
        <v>228</v>
      </c>
      <c r="C82" s="49" t="s">
        <v>229</v>
      </c>
      <c r="D82" s="83"/>
      <c r="E82" s="19"/>
      <c r="F82" s="19">
        <v>3</v>
      </c>
      <c r="G82" s="19">
        <v>383.01</v>
      </c>
      <c r="H82" s="220">
        <f>G82*F82/1000</f>
        <v>1.14903</v>
      </c>
      <c r="I82" s="19">
        <f>G82*2</f>
        <v>766.02</v>
      </c>
    </row>
    <row r="83" spans="1:9" ht="15.75" customHeight="1">
      <c r="A83" s="194">
        <v>19</v>
      </c>
      <c r="B83" s="186" t="s">
        <v>108</v>
      </c>
      <c r="C83" s="194" t="s">
        <v>165</v>
      </c>
      <c r="D83" s="83"/>
      <c r="E83" s="19"/>
      <c r="F83" s="19">
        <v>1</v>
      </c>
      <c r="G83" s="19">
        <v>180.15</v>
      </c>
      <c r="H83" s="220">
        <f t="shared" ref="H83" si="7">G83*F83/1000</f>
        <v>0.18015</v>
      </c>
      <c r="I83" s="19">
        <f>G83</f>
        <v>180.15</v>
      </c>
    </row>
    <row r="84" spans="1:9" ht="15.75" customHeight="1">
      <c r="A84" s="194">
        <v>20</v>
      </c>
      <c r="B84" s="186" t="s">
        <v>115</v>
      </c>
      <c r="C84" s="194" t="s">
        <v>230</v>
      </c>
      <c r="D84" s="83"/>
      <c r="E84" s="19"/>
      <c r="F84" s="19">
        <v>1</v>
      </c>
      <c r="G84" s="19">
        <v>290.91000000000003</v>
      </c>
      <c r="H84" s="220">
        <f>G84*F84/1000</f>
        <v>0.29091</v>
      </c>
      <c r="I84" s="19">
        <f>G84</f>
        <v>290.91000000000003</v>
      </c>
    </row>
    <row r="85" spans="1:9" ht="15.75" hidden="1" customHeight="1">
      <c r="A85" s="217"/>
      <c r="B85" s="218" t="s">
        <v>231</v>
      </c>
      <c r="C85" s="49" t="s">
        <v>229</v>
      </c>
      <c r="D85" s="83"/>
      <c r="E85" s="19"/>
      <c r="F85" s="19">
        <v>3</v>
      </c>
      <c r="G85" s="19">
        <v>1835.8</v>
      </c>
      <c r="H85" s="220">
        <f t="shared" ref="H85:H94" si="8">G85*F85/1000</f>
        <v>5.5073999999999996</v>
      </c>
      <c r="I85" s="19">
        <v>0</v>
      </c>
    </row>
    <row r="86" spans="1:9" ht="15.75" hidden="1" customHeight="1">
      <c r="A86" s="194"/>
      <c r="B86" s="186" t="s">
        <v>232</v>
      </c>
      <c r="C86" s="194" t="s">
        <v>114</v>
      </c>
      <c r="D86" s="83"/>
      <c r="E86" s="19"/>
      <c r="F86" s="19">
        <v>2</v>
      </c>
      <c r="G86" s="19">
        <v>185.81</v>
      </c>
      <c r="H86" s="220">
        <f t="shared" si="8"/>
        <v>0.37162000000000001</v>
      </c>
      <c r="I86" s="19">
        <v>0</v>
      </c>
    </row>
    <row r="87" spans="1:9" ht="15.75" hidden="1" customHeight="1">
      <c r="A87" s="194"/>
      <c r="B87" s="186" t="s">
        <v>108</v>
      </c>
      <c r="C87" s="194" t="s">
        <v>165</v>
      </c>
      <c r="D87" s="83"/>
      <c r="E87" s="19"/>
      <c r="F87" s="19">
        <v>4</v>
      </c>
      <c r="G87" s="19">
        <v>180.15</v>
      </c>
      <c r="H87" s="220">
        <f t="shared" si="8"/>
        <v>0.72060000000000002</v>
      </c>
      <c r="I87" s="19">
        <v>0</v>
      </c>
    </row>
    <row r="88" spans="1:9" ht="15.75" hidden="1" customHeight="1">
      <c r="A88" s="194"/>
      <c r="B88" s="186" t="s">
        <v>233</v>
      </c>
      <c r="C88" s="194" t="s">
        <v>105</v>
      </c>
      <c r="D88" s="83"/>
      <c r="E88" s="19"/>
      <c r="F88" s="19">
        <v>1</v>
      </c>
      <c r="G88" s="19">
        <v>771.29</v>
      </c>
      <c r="H88" s="220">
        <f t="shared" si="8"/>
        <v>0.77128999999999992</v>
      </c>
      <c r="I88" s="19">
        <v>0</v>
      </c>
    </row>
    <row r="89" spans="1:9" ht="15.75" hidden="1" customHeight="1">
      <c r="A89" s="194"/>
      <c r="B89" s="186" t="s">
        <v>234</v>
      </c>
      <c r="C89" s="194" t="s">
        <v>105</v>
      </c>
      <c r="D89" s="83"/>
      <c r="E89" s="19"/>
      <c r="F89" s="19">
        <v>1</v>
      </c>
      <c r="G89" s="19">
        <v>960.74</v>
      </c>
      <c r="H89" s="220">
        <f t="shared" si="8"/>
        <v>0.96074000000000004</v>
      </c>
      <c r="I89" s="19">
        <v>0</v>
      </c>
    </row>
    <row r="90" spans="1:9" ht="15.75" hidden="1" customHeight="1">
      <c r="A90" s="194"/>
      <c r="B90" s="186" t="s">
        <v>235</v>
      </c>
      <c r="C90" s="219" t="s">
        <v>236</v>
      </c>
      <c r="D90" s="83"/>
      <c r="E90" s="19"/>
      <c r="F90" s="19">
        <v>1</v>
      </c>
      <c r="G90" s="19">
        <f>228.27</f>
        <v>228.27</v>
      </c>
      <c r="H90" s="220">
        <f t="shared" si="8"/>
        <v>0.22827</v>
      </c>
      <c r="I90" s="19">
        <v>0</v>
      </c>
    </row>
    <row r="91" spans="1:9" ht="15.75" hidden="1" customHeight="1">
      <c r="A91" s="194"/>
      <c r="B91" s="186" t="s">
        <v>237</v>
      </c>
      <c r="C91" s="194" t="s">
        <v>238</v>
      </c>
      <c r="D91" s="83"/>
      <c r="E91" s="19"/>
      <c r="F91" s="19">
        <v>1</v>
      </c>
      <c r="G91" s="19">
        <v>238.63</v>
      </c>
      <c r="H91" s="220">
        <f t="shared" si="8"/>
        <v>0.23863000000000001</v>
      </c>
      <c r="I91" s="19">
        <v>0</v>
      </c>
    </row>
    <row r="92" spans="1:9" ht="15.75" hidden="1" customHeight="1">
      <c r="A92" s="217"/>
      <c r="B92" s="218" t="s">
        <v>239</v>
      </c>
      <c r="C92" s="49" t="s">
        <v>148</v>
      </c>
      <c r="D92" s="83"/>
      <c r="E92" s="19"/>
      <c r="F92" s="19">
        <f>2/10</f>
        <v>0.2</v>
      </c>
      <c r="G92" s="19">
        <v>39222.99</v>
      </c>
      <c r="H92" s="220">
        <f t="shared" si="8"/>
        <v>7.8445979999999995</v>
      </c>
      <c r="I92" s="19">
        <v>0</v>
      </c>
    </row>
    <row r="93" spans="1:9" ht="15.75" hidden="1" customHeight="1">
      <c r="A93" s="194"/>
      <c r="B93" s="186" t="s">
        <v>206</v>
      </c>
      <c r="C93" s="194" t="s">
        <v>207</v>
      </c>
      <c r="D93" s="21"/>
      <c r="E93" s="26"/>
      <c r="F93" s="19">
        <v>5</v>
      </c>
      <c r="G93" s="19">
        <v>195.95</v>
      </c>
      <c r="H93" s="220">
        <f>G93*F93/1000</f>
        <v>0.97975000000000001</v>
      </c>
      <c r="I93" s="19">
        <v>0</v>
      </c>
    </row>
    <row r="94" spans="1:9" ht="15.75" hidden="1" customHeight="1">
      <c r="A94" s="194"/>
      <c r="B94" s="186" t="s">
        <v>240</v>
      </c>
      <c r="C94" s="194" t="s">
        <v>241</v>
      </c>
      <c r="D94" s="83"/>
      <c r="E94" s="19"/>
      <c r="F94" s="19">
        <f>2/100</f>
        <v>0.02</v>
      </c>
      <c r="G94" s="19">
        <v>7033.13</v>
      </c>
      <c r="H94" s="220">
        <f t="shared" si="8"/>
        <v>0.1406626</v>
      </c>
      <c r="I94" s="19">
        <v>0</v>
      </c>
    </row>
    <row r="95" spans="1:9" ht="15.75" hidden="1" customHeight="1">
      <c r="A95" s="194"/>
      <c r="B95" s="186" t="s">
        <v>208</v>
      </c>
      <c r="C95" s="194" t="s">
        <v>209</v>
      </c>
      <c r="D95" s="83"/>
      <c r="E95" s="19"/>
      <c r="F95" s="19">
        <v>1</v>
      </c>
      <c r="G95" s="19">
        <v>51.39</v>
      </c>
      <c r="H95" s="220">
        <f>G95*F95/1000</f>
        <v>5.1389999999999998E-2</v>
      </c>
      <c r="I95" s="19">
        <v>0</v>
      </c>
    </row>
    <row r="96" spans="1:9" ht="15.75" hidden="1" customHeight="1">
      <c r="A96" s="194"/>
      <c r="B96" s="186" t="s">
        <v>203</v>
      </c>
      <c r="C96" s="194" t="s">
        <v>174</v>
      </c>
      <c r="D96" s="83"/>
      <c r="E96" s="19"/>
      <c r="F96" s="19">
        <f>12/3</f>
        <v>4</v>
      </c>
      <c r="G96" s="19">
        <v>1063.47</v>
      </c>
      <c r="H96" s="220">
        <v>3.54</v>
      </c>
      <c r="I96" s="19">
        <v>0</v>
      </c>
    </row>
    <row r="97" spans="1:9" ht="15.75" hidden="1" customHeight="1">
      <c r="A97" s="219"/>
      <c r="B97" s="186" t="s">
        <v>242</v>
      </c>
      <c r="C97" s="194" t="s">
        <v>243</v>
      </c>
      <c r="D97" s="83"/>
      <c r="E97" s="19"/>
      <c r="F97" s="19">
        <v>3.1</v>
      </c>
      <c r="G97" s="19">
        <v>3210.77</v>
      </c>
      <c r="H97" s="220">
        <f t="shared" ref="H97:H99" si="9">G97*F97/1000</f>
        <v>9.9533870000000011</v>
      </c>
      <c r="I97" s="19">
        <v>0</v>
      </c>
    </row>
    <row r="98" spans="1:9" ht="15.75" hidden="1" customHeight="1">
      <c r="A98" s="194"/>
      <c r="B98" s="186" t="s">
        <v>249</v>
      </c>
      <c r="C98" s="194" t="s">
        <v>238</v>
      </c>
      <c r="D98" s="83"/>
      <c r="E98" s="19"/>
      <c r="F98" s="19">
        <v>1</v>
      </c>
      <c r="G98" s="19">
        <v>835</v>
      </c>
      <c r="H98" s="220">
        <f t="shared" si="9"/>
        <v>0.83499999999999996</v>
      </c>
      <c r="I98" s="19">
        <v>0</v>
      </c>
    </row>
    <row r="99" spans="1:9" ht="15.75" hidden="1" customHeight="1">
      <c r="A99" s="194"/>
      <c r="B99" s="186" t="s">
        <v>244</v>
      </c>
      <c r="C99" s="194" t="s">
        <v>245</v>
      </c>
      <c r="D99" s="83"/>
      <c r="E99" s="19"/>
      <c r="F99" s="19">
        <v>1</v>
      </c>
      <c r="G99" s="19">
        <v>286.55</v>
      </c>
      <c r="H99" s="220">
        <f t="shared" si="9"/>
        <v>0.28655000000000003</v>
      </c>
      <c r="I99" s="19">
        <v>0</v>
      </c>
    </row>
    <row r="100" spans="1:9" ht="15.75" hidden="1" customHeight="1">
      <c r="A100" s="194"/>
      <c r="B100" s="186" t="s">
        <v>112</v>
      </c>
      <c r="C100" s="194" t="s">
        <v>45</v>
      </c>
      <c r="D100" s="83"/>
      <c r="E100" s="19"/>
      <c r="F100" s="19">
        <v>0.01</v>
      </c>
      <c r="G100" s="19">
        <v>3397.65</v>
      </c>
      <c r="H100" s="220">
        <f>G100*F100/1000</f>
        <v>3.39765E-2</v>
      </c>
      <c r="I100" s="19">
        <v>0</v>
      </c>
    </row>
    <row r="101" spans="1:9" ht="15.75" hidden="1" customHeight="1">
      <c r="A101" s="194"/>
      <c r="B101" s="186" t="s">
        <v>204</v>
      </c>
      <c r="C101" s="194" t="s">
        <v>105</v>
      </c>
      <c r="D101" s="21"/>
      <c r="E101" s="26"/>
      <c r="F101" s="19">
        <v>5</v>
      </c>
      <c r="G101" s="19">
        <v>1187</v>
      </c>
      <c r="H101" s="220">
        <f t="shared" ref="H101:H104" si="10">G101*F101/1000</f>
        <v>5.9349999999999996</v>
      </c>
      <c r="I101" s="19">
        <v>0</v>
      </c>
    </row>
    <row r="102" spans="1:9" ht="15.75" hidden="1" customHeight="1">
      <c r="A102" s="194"/>
      <c r="B102" s="186" t="s">
        <v>205</v>
      </c>
      <c r="C102" s="194" t="s">
        <v>165</v>
      </c>
      <c r="D102" s="21"/>
      <c r="E102" s="26"/>
      <c r="F102" s="19">
        <v>1</v>
      </c>
      <c r="G102" s="19">
        <v>310</v>
      </c>
      <c r="H102" s="220">
        <f t="shared" si="10"/>
        <v>0.31</v>
      </c>
      <c r="I102" s="19">
        <v>0</v>
      </c>
    </row>
    <row r="103" spans="1:9" ht="15.75" hidden="1" customHeight="1">
      <c r="A103" s="219"/>
      <c r="B103" s="186" t="s">
        <v>246</v>
      </c>
      <c r="C103" s="194" t="s">
        <v>238</v>
      </c>
      <c r="D103" s="21"/>
      <c r="E103" s="26"/>
      <c r="F103" s="19">
        <v>1</v>
      </c>
      <c r="G103" s="19">
        <v>559.62</v>
      </c>
      <c r="H103" s="220">
        <f t="shared" si="10"/>
        <v>0.55962000000000001</v>
      </c>
      <c r="I103" s="19">
        <v>0</v>
      </c>
    </row>
    <row r="104" spans="1:9" ht="15.75" hidden="1" customHeight="1">
      <c r="A104" s="194"/>
      <c r="B104" s="186" t="s">
        <v>247</v>
      </c>
      <c r="C104" s="219" t="s">
        <v>248</v>
      </c>
      <c r="D104" s="21"/>
      <c r="E104" s="26"/>
      <c r="F104" s="19">
        <v>1</v>
      </c>
      <c r="G104" s="19">
        <v>133.16999999999999</v>
      </c>
      <c r="H104" s="220">
        <f t="shared" si="10"/>
        <v>0.13316999999999998</v>
      </c>
      <c r="I104" s="19">
        <v>0</v>
      </c>
    </row>
    <row r="105" spans="1:9" ht="15.75" hidden="1" customHeight="1">
      <c r="A105" s="217"/>
      <c r="B105" s="221" t="s">
        <v>116</v>
      </c>
      <c r="C105" s="194" t="s">
        <v>165</v>
      </c>
      <c r="D105" s="83"/>
      <c r="E105" s="19"/>
      <c r="F105" s="19">
        <v>2</v>
      </c>
      <c r="G105" s="19">
        <v>179.96</v>
      </c>
      <c r="H105" s="220">
        <f>G105*F105/1000</f>
        <v>0.35992000000000002</v>
      </c>
      <c r="I105" s="19">
        <v>0</v>
      </c>
    </row>
    <row r="106" spans="1:9" ht="15.75" hidden="1" customHeight="1">
      <c r="A106" s="217"/>
      <c r="B106" s="186" t="s">
        <v>138</v>
      </c>
      <c r="C106" s="194" t="s">
        <v>68</v>
      </c>
      <c r="D106" s="83"/>
      <c r="E106" s="19"/>
      <c r="F106" s="19">
        <v>4.2</v>
      </c>
      <c r="G106" s="19">
        <v>666.39</v>
      </c>
      <c r="H106" s="220">
        <f>G106*F106/1000</f>
        <v>2.7988380000000004</v>
      </c>
      <c r="I106" s="19">
        <v>0</v>
      </c>
    </row>
    <row r="107" spans="1:9" ht="15.75" customHeight="1">
      <c r="A107" s="49"/>
      <c r="B107" s="77" t="s">
        <v>62</v>
      </c>
      <c r="C107" s="73"/>
      <c r="D107" s="93"/>
      <c r="E107" s="73">
        <v>1</v>
      </c>
      <c r="F107" s="73"/>
      <c r="G107" s="73"/>
      <c r="H107" s="73"/>
      <c r="I107" s="55">
        <f>SUM(I82:I106)</f>
        <v>1237.08</v>
      </c>
    </row>
    <row r="108" spans="1:9" ht="15.75" customHeight="1">
      <c r="A108" s="49"/>
      <c r="B108" s="83" t="s">
        <v>100</v>
      </c>
      <c r="C108" s="22"/>
      <c r="D108" s="22"/>
      <c r="E108" s="74"/>
      <c r="F108" s="74"/>
      <c r="G108" s="75"/>
      <c r="H108" s="75"/>
      <c r="I108" s="25">
        <v>0</v>
      </c>
    </row>
    <row r="109" spans="1:9" ht="15.75" customHeight="1">
      <c r="A109" s="94"/>
      <c r="B109" s="78" t="s">
        <v>63</v>
      </c>
      <c r="C109" s="61"/>
      <c r="D109" s="61"/>
      <c r="E109" s="61"/>
      <c r="F109" s="61"/>
      <c r="G109" s="61"/>
      <c r="H109" s="61"/>
      <c r="I109" s="76">
        <f>I80+I107</f>
        <v>53906.737974083328</v>
      </c>
    </row>
    <row r="110" spans="1:9" ht="15.75" customHeight="1">
      <c r="A110" s="269" t="s">
        <v>257</v>
      </c>
      <c r="B110" s="269"/>
      <c r="C110" s="269"/>
      <c r="D110" s="269"/>
      <c r="E110" s="269"/>
      <c r="F110" s="269"/>
      <c r="G110" s="269"/>
      <c r="H110" s="269"/>
      <c r="I110" s="269"/>
    </row>
    <row r="111" spans="1:9" ht="15.75" customHeight="1">
      <c r="A111" s="201"/>
      <c r="B111" s="262" t="s">
        <v>258</v>
      </c>
      <c r="C111" s="262"/>
      <c r="D111" s="262"/>
      <c r="E111" s="262"/>
      <c r="F111" s="262"/>
      <c r="G111" s="262"/>
      <c r="H111" s="211"/>
      <c r="I111" s="4"/>
    </row>
    <row r="112" spans="1:9" ht="15.75" customHeight="1">
      <c r="A112" s="195"/>
      <c r="B112" s="258" t="s">
        <v>6</v>
      </c>
      <c r="C112" s="258"/>
      <c r="D112" s="258"/>
      <c r="E112" s="258"/>
      <c r="F112" s="258"/>
      <c r="G112" s="258"/>
      <c r="H112" s="40"/>
      <c r="I112" s="6"/>
    </row>
    <row r="113" spans="1:9" ht="15.75" customHeight="1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ht="15.75" customHeight="1">
      <c r="A114" s="263" t="s">
        <v>7</v>
      </c>
      <c r="B114" s="263"/>
      <c r="C114" s="263"/>
      <c r="D114" s="263"/>
      <c r="E114" s="263"/>
      <c r="F114" s="263"/>
      <c r="G114" s="263"/>
      <c r="H114" s="263"/>
      <c r="I114" s="263"/>
    </row>
    <row r="115" spans="1:9" ht="15.75" customHeight="1">
      <c r="A115" s="263" t="s">
        <v>8</v>
      </c>
      <c r="B115" s="263"/>
      <c r="C115" s="263"/>
      <c r="D115" s="263"/>
      <c r="E115" s="263"/>
      <c r="F115" s="263"/>
      <c r="G115" s="263"/>
      <c r="H115" s="263"/>
      <c r="I115" s="263"/>
    </row>
    <row r="116" spans="1:9" ht="15.75" customHeight="1">
      <c r="A116" s="264" t="s">
        <v>79</v>
      </c>
      <c r="B116" s="264"/>
      <c r="C116" s="264"/>
      <c r="D116" s="264"/>
      <c r="E116" s="264"/>
      <c r="F116" s="264"/>
      <c r="G116" s="264"/>
      <c r="H116" s="264"/>
      <c r="I116" s="264"/>
    </row>
    <row r="117" spans="1:9" ht="15.75" customHeight="1">
      <c r="A117" s="13"/>
    </row>
    <row r="118" spans="1:9" ht="15.75" customHeight="1">
      <c r="A118" s="265" t="s">
        <v>10</v>
      </c>
      <c r="B118" s="265"/>
      <c r="C118" s="265"/>
      <c r="D118" s="265"/>
      <c r="E118" s="265"/>
      <c r="F118" s="265"/>
      <c r="G118" s="265"/>
      <c r="H118" s="265"/>
      <c r="I118" s="265"/>
    </row>
    <row r="119" spans="1:9" ht="15.75" customHeight="1">
      <c r="A119" s="5"/>
    </row>
    <row r="120" spans="1:9" ht="15.75" customHeight="1">
      <c r="B120" s="200" t="s">
        <v>11</v>
      </c>
      <c r="C120" s="257" t="s">
        <v>176</v>
      </c>
      <c r="D120" s="257"/>
      <c r="E120" s="257"/>
      <c r="F120" s="209"/>
      <c r="I120" s="197"/>
    </row>
    <row r="121" spans="1:9" ht="15.75" customHeight="1">
      <c r="A121" s="195"/>
      <c r="C121" s="258" t="s">
        <v>12</v>
      </c>
      <c r="D121" s="258"/>
      <c r="E121" s="258"/>
      <c r="F121" s="40"/>
      <c r="I121" s="196" t="s">
        <v>13</v>
      </c>
    </row>
    <row r="122" spans="1:9" ht="15.75" customHeight="1">
      <c r="A122" s="41"/>
      <c r="C122" s="14"/>
      <c r="D122" s="14"/>
      <c r="G122" s="14"/>
      <c r="H122" s="14"/>
    </row>
    <row r="123" spans="1:9" ht="15.75" customHeight="1">
      <c r="B123" s="200" t="s">
        <v>14</v>
      </c>
      <c r="C123" s="259"/>
      <c r="D123" s="259"/>
      <c r="E123" s="259"/>
      <c r="F123" s="210"/>
      <c r="I123" s="197"/>
    </row>
    <row r="124" spans="1:9" ht="15.75" customHeight="1">
      <c r="A124" s="195"/>
      <c r="C124" s="260" t="s">
        <v>12</v>
      </c>
      <c r="D124" s="260"/>
      <c r="E124" s="260"/>
      <c r="F124" s="195"/>
      <c r="I124" s="196" t="s">
        <v>13</v>
      </c>
    </row>
    <row r="125" spans="1:9" ht="15.75" customHeight="1">
      <c r="A125" s="5" t="s">
        <v>15</v>
      </c>
    </row>
    <row r="126" spans="1:9" ht="15.75" customHeight="1">
      <c r="A126" s="261" t="s">
        <v>16</v>
      </c>
      <c r="B126" s="261"/>
      <c r="C126" s="261"/>
      <c r="D126" s="261"/>
      <c r="E126" s="261"/>
      <c r="F126" s="261"/>
      <c r="G126" s="261"/>
      <c r="H126" s="261"/>
      <c r="I126" s="261"/>
    </row>
    <row r="127" spans="1:9" ht="47.25" customHeight="1">
      <c r="A127" s="251" t="s">
        <v>17</v>
      </c>
      <c r="B127" s="251"/>
      <c r="C127" s="251"/>
      <c r="D127" s="251"/>
      <c r="E127" s="251"/>
      <c r="F127" s="251"/>
      <c r="G127" s="251"/>
      <c r="H127" s="251"/>
      <c r="I127" s="251"/>
    </row>
    <row r="128" spans="1:9" ht="31.5" customHeight="1">
      <c r="A128" s="251" t="s">
        <v>18</v>
      </c>
      <c r="B128" s="251"/>
      <c r="C128" s="251"/>
      <c r="D128" s="251"/>
      <c r="E128" s="251"/>
      <c r="F128" s="251"/>
      <c r="G128" s="251"/>
      <c r="H128" s="251"/>
      <c r="I128" s="251"/>
    </row>
    <row r="129" spans="1:9" ht="31.5" customHeight="1">
      <c r="A129" s="251" t="s">
        <v>23</v>
      </c>
      <c r="B129" s="251"/>
      <c r="C129" s="251"/>
      <c r="D129" s="251"/>
      <c r="E129" s="251"/>
      <c r="F129" s="251"/>
      <c r="G129" s="251"/>
      <c r="H129" s="251"/>
      <c r="I129" s="251"/>
    </row>
    <row r="130" spans="1:9" ht="15.75" customHeight="1">
      <c r="A130" s="251" t="s">
        <v>22</v>
      </c>
      <c r="B130" s="251"/>
      <c r="C130" s="251"/>
      <c r="D130" s="251"/>
      <c r="E130" s="251"/>
      <c r="F130" s="251"/>
      <c r="G130" s="251"/>
      <c r="H130" s="251"/>
      <c r="I130" s="251"/>
    </row>
  </sheetData>
  <autoFilter ref="I14:I64"/>
  <mergeCells count="29">
    <mergeCell ref="R69:U69"/>
    <mergeCell ref="A110:I110"/>
    <mergeCell ref="A3:I3"/>
    <mergeCell ref="A4:I4"/>
    <mergeCell ref="A5:I5"/>
    <mergeCell ref="A8:I8"/>
    <mergeCell ref="A10:I10"/>
    <mergeCell ref="A14:I14"/>
    <mergeCell ref="A115:I115"/>
    <mergeCell ref="A116:I116"/>
    <mergeCell ref="A118:I118"/>
    <mergeCell ref="A15:I15"/>
    <mergeCell ref="A44:I44"/>
    <mergeCell ref="A128:I128"/>
    <mergeCell ref="A129:I129"/>
    <mergeCell ref="A130:I130"/>
    <mergeCell ref="A28:I28"/>
    <mergeCell ref="A35:I35"/>
    <mergeCell ref="A55:I55"/>
    <mergeCell ref="A77:I77"/>
    <mergeCell ref="C120:E120"/>
    <mergeCell ref="C121:E121"/>
    <mergeCell ref="C123:E123"/>
    <mergeCell ref="C124:E124"/>
    <mergeCell ref="A126:I126"/>
    <mergeCell ref="A127:I127"/>
    <mergeCell ref="B111:G111"/>
    <mergeCell ref="B112:G112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286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287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206"/>
      <c r="C6" s="206"/>
      <c r="D6" s="206"/>
      <c r="E6" s="206"/>
      <c r="F6" s="206"/>
      <c r="G6" s="206"/>
      <c r="H6" s="206"/>
      <c r="I6" s="53">
        <v>42674</v>
      </c>
    </row>
    <row r="7" spans="1:13" ht="15.75">
      <c r="B7" s="205"/>
      <c r="C7" s="205"/>
      <c r="D7" s="205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customHeight="1">
      <c r="A29" s="212">
        <v>6</v>
      </c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customHeight="1">
      <c r="A30" s="212">
        <v>7</v>
      </c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customHeight="1">
      <c r="A32" s="212">
        <v>8</v>
      </c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hidden="1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hidden="1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hidden="1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hidden="1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hidden="1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hidden="1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hidden="1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hidden="1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hidden="1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hidden="1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127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hidden="1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hidden="1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customHeight="1">
      <c r="A61" s="23">
        <v>9</v>
      </c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f>G61*3</f>
        <v>667.2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207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customHeight="1">
      <c r="A75" s="214"/>
      <c r="B75" s="207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customHeight="1">
      <c r="A76" s="215">
        <v>10</v>
      </c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f>G76</f>
        <v>12960</v>
      </c>
    </row>
    <row r="77" spans="1:22" ht="15.75" customHeight="1">
      <c r="A77" s="252" t="s">
        <v>279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11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12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I16+I17+I18+I26+I27+I29+I30+I32+I61+I76+I78+I79</f>
        <v>49528.876919388873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15.75" customHeight="1">
      <c r="A82" s="194">
        <v>13</v>
      </c>
      <c r="B82" s="186" t="s">
        <v>240</v>
      </c>
      <c r="C82" s="194" t="s">
        <v>241</v>
      </c>
      <c r="D82" s="83"/>
      <c r="E82" s="19"/>
      <c r="F82" s="19">
        <f>2/100</f>
        <v>0.02</v>
      </c>
      <c r="G82" s="19">
        <v>7033.13</v>
      </c>
      <c r="H82" s="220">
        <f t="shared" ref="H82" si="7">G82*F82/1000</f>
        <v>0.1406626</v>
      </c>
      <c r="I82" s="19">
        <f>G82*0.01</f>
        <v>70.331299999999999</v>
      </c>
    </row>
    <row r="83" spans="1:9" ht="15.75" customHeight="1">
      <c r="A83" s="194">
        <v>14</v>
      </c>
      <c r="B83" s="186" t="s">
        <v>203</v>
      </c>
      <c r="C83" s="194" t="s">
        <v>174</v>
      </c>
      <c r="D83" s="83"/>
      <c r="E83" s="19"/>
      <c r="F83" s="19">
        <f>12/3</f>
        <v>4</v>
      </c>
      <c r="G83" s="19">
        <v>1063.47</v>
      </c>
      <c r="H83" s="220">
        <v>3.54</v>
      </c>
      <c r="I83" s="19">
        <f>G83*2</f>
        <v>2126.94</v>
      </c>
    </row>
    <row r="84" spans="1:9" ht="15.75" customHeight="1">
      <c r="A84" s="219">
        <v>15</v>
      </c>
      <c r="B84" s="186" t="s">
        <v>242</v>
      </c>
      <c r="C84" s="194" t="s">
        <v>243</v>
      </c>
      <c r="D84" s="83"/>
      <c r="E84" s="19"/>
      <c r="F84" s="19">
        <v>3.1</v>
      </c>
      <c r="G84" s="19">
        <v>3210.77</v>
      </c>
      <c r="H84" s="220">
        <f t="shared" ref="H84:H86" si="8">G84*F84/1000</f>
        <v>9.9533870000000011</v>
      </c>
      <c r="I84" s="19">
        <f>G84*3</f>
        <v>9632.31</v>
      </c>
    </row>
    <row r="85" spans="1:9" ht="15.75" customHeight="1">
      <c r="A85" s="194">
        <v>16</v>
      </c>
      <c r="B85" s="186" t="s">
        <v>249</v>
      </c>
      <c r="C85" s="194" t="s">
        <v>238</v>
      </c>
      <c r="D85" s="83"/>
      <c r="E85" s="19"/>
      <c r="F85" s="19">
        <v>1</v>
      </c>
      <c r="G85" s="19">
        <v>835</v>
      </c>
      <c r="H85" s="220">
        <f t="shared" si="8"/>
        <v>0.83499999999999996</v>
      </c>
      <c r="I85" s="19">
        <f>G85</f>
        <v>835</v>
      </c>
    </row>
    <row r="86" spans="1:9" ht="15.75" customHeight="1">
      <c r="A86" s="194">
        <v>17</v>
      </c>
      <c r="B86" s="186" t="s">
        <v>244</v>
      </c>
      <c r="C86" s="194" t="s">
        <v>245</v>
      </c>
      <c r="D86" s="83"/>
      <c r="E86" s="19"/>
      <c r="F86" s="19">
        <v>1</v>
      </c>
      <c r="G86" s="19">
        <v>286.55</v>
      </c>
      <c r="H86" s="220">
        <f t="shared" si="8"/>
        <v>0.28655000000000003</v>
      </c>
      <c r="I86" s="19">
        <f t="shared" ref="I86" si="9">G86</f>
        <v>286.55</v>
      </c>
    </row>
    <row r="87" spans="1:9" ht="31.5" customHeight="1">
      <c r="A87" s="194">
        <v>18</v>
      </c>
      <c r="B87" s="186" t="s">
        <v>112</v>
      </c>
      <c r="C87" s="194" t="s">
        <v>45</v>
      </c>
      <c r="D87" s="83"/>
      <c r="E87" s="19"/>
      <c r="F87" s="19">
        <v>0.01</v>
      </c>
      <c r="G87" s="19">
        <v>3397.65</v>
      </c>
      <c r="H87" s="220">
        <f>G87*F87/1000</f>
        <v>3.39765E-2</v>
      </c>
      <c r="I87" s="19">
        <f>G87*0.01</f>
        <v>33.976500000000001</v>
      </c>
    </row>
    <row r="88" spans="1:9" ht="15.75" customHeight="1">
      <c r="A88" s="49"/>
      <c r="B88" s="77" t="s">
        <v>62</v>
      </c>
      <c r="C88" s="73"/>
      <c r="D88" s="93"/>
      <c r="E88" s="73">
        <v>1</v>
      </c>
      <c r="F88" s="73"/>
      <c r="G88" s="73"/>
      <c r="H88" s="73"/>
      <c r="I88" s="55">
        <f>SUM(I82:I87)</f>
        <v>12985.1078</v>
      </c>
    </row>
    <row r="89" spans="1:9" ht="15.75" customHeight="1">
      <c r="A89" s="49"/>
      <c r="B89" s="83" t="s">
        <v>100</v>
      </c>
      <c r="C89" s="22"/>
      <c r="D89" s="22"/>
      <c r="E89" s="74"/>
      <c r="F89" s="74"/>
      <c r="G89" s="75"/>
      <c r="H89" s="75"/>
      <c r="I89" s="25">
        <v>0</v>
      </c>
    </row>
    <row r="90" spans="1:9" ht="15.75" customHeight="1">
      <c r="A90" s="94"/>
      <c r="B90" s="78" t="s">
        <v>63</v>
      </c>
      <c r="C90" s="61"/>
      <c r="D90" s="61"/>
      <c r="E90" s="61"/>
      <c r="F90" s="61"/>
      <c r="G90" s="61"/>
      <c r="H90" s="61"/>
      <c r="I90" s="76">
        <f>I80+I88</f>
        <v>62513.984719388871</v>
      </c>
    </row>
    <row r="91" spans="1:9" ht="15.75" customHeight="1">
      <c r="A91" s="269" t="s">
        <v>288</v>
      </c>
      <c r="B91" s="269"/>
      <c r="C91" s="269"/>
      <c r="D91" s="269"/>
      <c r="E91" s="269"/>
      <c r="F91" s="269"/>
      <c r="G91" s="269"/>
      <c r="H91" s="269"/>
      <c r="I91" s="269"/>
    </row>
    <row r="92" spans="1:9" ht="15.75" customHeight="1">
      <c r="A92" s="201"/>
      <c r="B92" s="262" t="s">
        <v>289</v>
      </c>
      <c r="C92" s="262"/>
      <c r="D92" s="262"/>
      <c r="E92" s="262"/>
      <c r="F92" s="262"/>
      <c r="G92" s="262"/>
      <c r="H92" s="211"/>
      <c r="I92" s="4"/>
    </row>
    <row r="93" spans="1:9" ht="15.75" customHeight="1">
      <c r="A93" s="204"/>
      <c r="B93" s="258" t="s">
        <v>6</v>
      </c>
      <c r="C93" s="258"/>
      <c r="D93" s="258"/>
      <c r="E93" s="258"/>
      <c r="F93" s="258"/>
      <c r="G93" s="258"/>
      <c r="H93" s="40"/>
      <c r="I93" s="6"/>
    </row>
    <row r="94" spans="1:9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 customHeight="1">
      <c r="A95" s="263" t="s">
        <v>7</v>
      </c>
      <c r="B95" s="263"/>
      <c r="C95" s="263"/>
      <c r="D95" s="263"/>
      <c r="E95" s="263"/>
      <c r="F95" s="263"/>
      <c r="G95" s="263"/>
      <c r="H95" s="263"/>
      <c r="I95" s="263"/>
    </row>
    <row r="96" spans="1:9" ht="15.75" customHeight="1">
      <c r="A96" s="263" t="s">
        <v>8</v>
      </c>
      <c r="B96" s="263"/>
      <c r="C96" s="263"/>
      <c r="D96" s="263"/>
      <c r="E96" s="263"/>
      <c r="F96" s="263"/>
      <c r="G96" s="263"/>
      <c r="H96" s="263"/>
      <c r="I96" s="263"/>
    </row>
    <row r="97" spans="1:9" ht="15.75" customHeight="1">
      <c r="A97" s="264" t="s">
        <v>79</v>
      </c>
      <c r="B97" s="264"/>
      <c r="C97" s="264"/>
      <c r="D97" s="264"/>
      <c r="E97" s="264"/>
      <c r="F97" s="264"/>
      <c r="G97" s="264"/>
      <c r="H97" s="264"/>
      <c r="I97" s="264"/>
    </row>
    <row r="98" spans="1:9" ht="15.75" customHeight="1">
      <c r="A98" s="13"/>
    </row>
    <row r="99" spans="1:9" ht="15.75" customHeight="1">
      <c r="A99" s="265" t="s">
        <v>10</v>
      </c>
      <c r="B99" s="265"/>
      <c r="C99" s="265"/>
      <c r="D99" s="265"/>
      <c r="E99" s="265"/>
      <c r="F99" s="265"/>
      <c r="G99" s="265"/>
      <c r="H99" s="265"/>
      <c r="I99" s="265"/>
    </row>
    <row r="100" spans="1:9" ht="15.75" customHeight="1">
      <c r="A100" s="5"/>
    </row>
    <row r="101" spans="1:9" ht="15.75" customHeight="1">
      <c r="B101" s="205" t="s">
        <v>11</v>
      </c>
      <c r="C101" s="257" t="s">
        <v>176</v>
      </c>
      <c r="D101" s="257"/>
      <c r="E101" s="257"/>
      <c r="F101" s="209"/>
      <c r="I101" s="203"/>
    </row>
    <row r="102" spans="1:9" ht="15.75" customHeight="1">
      <c r="A102" s="204"/>
      <c r="C102" s="258" t="s">
        <v>12</v>
      </c>
      <c r="D102" s="258"/>
      <c r="E102" s="258"/>
      <c r="F102" s="40"/>
      <c r="I102" s="202" t="s">
        <v>13</v>
      </c>
    </row>
    <row r="103" spans="1:9" ht="15.75" customHeight="1">
      <c r="A103" s="41"/>
      <c r="C103" s="14"/>
      <c r="D103" s="14"/>
      <c r="G103" s="14"/>
      <c r="H103" s="14"/>
    </row>
    <row r="104" spans="1:9" ht="15.75" customHeight="1">
      <c r="B104" s="205" t="s">
        <v>14</v>
      </c>
      <c r="C104" s="259"/>
      <c r="D104" s="259"/>
      <c r="E104" s="259"/>
      <c r="F104" s="210"/>
      <c r="I104" s="203"/>
    </row>
    <row r="105" spans="1:9" ht="15.75" customHeight="1">
      <c r="A105" s="204"/>
      <c r="C105" s="260" t="s">
        <v>12</v>
      </c>
      <c r="D105" s="260"/>
      <c r="E105" s="260"/>
      <c r="F105" s="204"/>
      <c r="I105" s="202" t="s">
        <v>13</v>
      </c>
    </row>
    <row r="106" spans="1:9" ht="15.75" customHeight="1">
      <c r="A106" s="5" t="s">
        <v>15</v>
      </c>
    </row>
    <row r="107" spans="1:9" ht="15.75" customHeight="1">
      <c r="A107" s="261" t="s">
        <v>16</v>
      </c>
      <c r="B107" s="261"/>
      <c r="C107" s="261"/>
      <c r="D107" s="261"/>
      <c r="E107" s="261"/>
      <c r="F107" s="261"/>
      <c r="G107" s="261"/>
      <c r="H107" s="261"/>
      <c r="I107" s="261"/>
    </row>
    <row r="108" spans="1:9" ht="47.25" customHeight="1">
      <c r="A108" s="251" t="s">
        <v>17</v>
      </c>
      <c r="B108" s="251"/>
      <c r="C108" s="251"/>
      <c r="D108" s="251"/>
      <c r="E108" s="251"/>
      <c r="F108" s="251"/>
      <c r="G108" s="251"/>
      <c r="H108" s="251"/>
      <c r="I108" s="251"/>
    </row>
    <row r="109" spans="1:9" ht="31.5" customHeight="1">
      <c r="A109" s="251" t="s">
        <v>18</v>
      </c>
      <c r="B109" s="251"/>
      <c r="C109" s="251"/>
      <c r="D109" s="251"/>
      <c r="E109" s="251"/>
      <c r="F109" s="251"/>
      <c r="G109" s="251"/>
      <c r="H109" s="251"/>
      <c r="I109" s="251"/>
    </row>
    <row r="110" spans="1:9" ht="31.5" customHeight="1">
      <c r="A110" s="251" t="s">
        <v>23</v>
      </c>
      <c r="B110" s="251"/>
      <c r="C110" s="251"/>
      <c r="D110" s="251"/>
      <c r="E110" s="251"/>
      <c r="F110" s="251"/>
      <c r="G110" s="251"/>
      <c r="H110" s="251"/>
      <c r="I110" s="251"/>
    </row>
    <row r="111" spans="1:9" ht="15.75" customHeight="1">
      <c r="A111" s="251" t="s">
        <v>22</v>
      </c>
      <c r="B111" s="251"/>
      <c r="C111" s="251"/>
      <c r="D111" s="251"/>
      <c r="E111" s="251"/>
      <c r="F111" s="251"/>
      <c r="G111" s="251"/>
      <c r="H111" s="251"/>
      <c r="I111" s="251"/>
    </row>
  </sheetData>
  <autoFilter ref="I14:I64"/>
  <mergeCells count="29">
    <mergeCell ref="A107:I107"/>
    <mergeCell ref="A108:I108"/>
    <mergeCell ref="A109:I109"/>
    <mergeCell ref="A110:I110"/>
    <mergeCell ref="A111:I111"/>
    <mergeCell ref="C105:E105"/>
    <mergeCell ref="A77:I77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88"/>
  <sheetViews>
    <sheetView view="pageLayout" zoomScale="77" zoomScaleNormal="77" zoomScalePageLayoutView="77" workbookViewId="0">
      <selection activeCell="A10" sqref="A10"/>
    </sheetView>
  </sheetViews>
  <sheetFormatPr defaultRowHeight="15"/>
  <cols>
    <col min="1" max="1" width="6" customWidth="1"/>
    <col min="2" max="2" width="47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16.5" customHeight="1">
      <c r="A1" s="96"/>
      <c r="B1" s="159" t="s">
        <v>121</v>
      </c>
      <c r="C1" s="96"/>
      <c r="D1" s="96"/>
      <c r="E1" s="96"/>
      <c r="F1" s="96"/>
      <c r="G1" s="155"/>
      <c r="H1" s="2"/>
      <c r="I1" s="2"/>
      <c r="J1" s="2"/>
      <c r="K1" s="2"/>
    </row>
    <row r="2" spans="1:11" ht="18.75">
      <c r="A2" s="96"/>
      <c r="B2" s="160" t="s">
        <v>82</v>
      </c>
      <c r="C2" s="96"/>
      <c r="D2" s="96"/>
      <c r="E2" s="96"/>
      <c r="F2" s="96"/>
      <c r="G2" s="96"/>
      <c r="H2" s="3"/>
      <c r="I2" s="3"/>
      <c r="J2" s="3"/>
      <c r="K2" s="3"/>
    </row>
    <row r="3" spans="1:11" ht="15.75" customHeight="1">
      <c r="A3" s="275" t="s">
        <v>212</v>
      </c>
      <c r="B3" s="275"/>
      <c r="C3" s="275"/>
      <c r="D3" s="275"/>
      <c r="E3" s="275"/>
      <c r="F3" s="275"/>
      <c r="G3" s="275"/>
      <c r="H3" s="4"/>
      <c r="I3" s="4"/>
      <c r="J3" s="4"/>
    </row>
    <row r="4" spans="1:11" ht="40.5" customHeight="1">
      <c r="A4" s="276" t="s">
        <v>136</v>
      </c>
      <c r="B4" s="276"/>
      <c r="C4" s="276"/>
      <c r="D4" s="276"/>
      <c r="E4" s="276"/>
      <c r="F4" s="276"/>
      <c r="G4" s="276"/>
    </row>
    <row r="5" spans="1:11" ht="21" customHeight="1">
      <c r="A5" s="161"/>
      <c r="B5" s="275" t="s">
        <v>122</v>
      </c>
      <c r="C5" s="275"/>
      <c r="D5" s="275"/>
      <c r="E5" s="275"/>
      <c r="F5" s="275"/>
      <c r="G5" s="162"/>
      <c r="H5" s="3"/>
      <c r="I5" s="3"/>
      <c r="J5" s="3"/>
      <c r="K5" s="3"/>
    </row>
    <row r="6" spans="1:11" ht="18.75" customHeight="1">
      <c r="A6" s="161"/>
      <c r="B6" s="101"/>
      <c r="C6" s="101"/>
      <c r="D6" s="101"/>
      <c r="E6" s="101"/>
      <c r="F6" s="101"/>
      <c r="G6" s="162"/>
      <c r="H6" s="3"/>
      <c r="I6" s="3"/>
      <c r="J6" s="3"/>
      <c r="K6" s="3"/>
    </row>
    <row r="7" spans="1:11" ht="18.75">
      <c r="A7" s="161"/>
      <c r="B7" s="101"/>
      <c r="C7" s="101"/>
      <c r="D7" s="101"/>
      <c r="E7" s="101"/>
      <c r="F7" s="101"/>
      <c r="G7" s="163">
        <v>42704</v>
      </c>
      <c r="H7" s="3"/>
      <c r="I7" s="3"/>
      <c r="J7" s="3"/>
      <c r="K7" s="3"/>
    </row>
    <row r="8" spans="1:11" ht="15.75" customHeight="1">
      <c r="A8" s="96"/>
      <c r="B8" s="99"/>
      <c r="C8" s="99"/>
      <c r="D8" s="99"/>
      <c r="E8" s="95"/>
      <c r="F8" s="95"/>
      <c r="G8" s="96"/>
      <c r="H8" s="4"/>
      <c r="I8" s="4"/>
      <c r="J8" s="4"/>
      <c r="K8" s="4"/>
    </row>
    <row r="9" spans="1:11" ht="87.75" customHeight="1">
      <c r="A9" s="273" t="s">
        <v>293</v>
      </c>
      <c r="B9" s="273"/>
      <c r="C9" s="273"/>
      <c r="D9" s="273"/>
      <c r="E9" s="273"/>
      <c r="F9" s="273"/>
      <c r="G9" s="273"/>
      <c r="H9" s="6"/>
      <c r="I9" s="6"/>
      <c r="J9" s="6"/>
      <c r="K9" s="6"/>
    </row>
    <row r="10" spans="1:11" ht="18.75" customHeight="1">
      <c r="A10" s="97"/>
      <c r="B10" s="96"/>
      <c r="C10" s="96"/>
      <c r="D10" s="96"/>
      <c r="E10" s="96"/>
      <c r="F10" s="96"/>
      <c r="G10" s="96"/>
      <c r="H10" s="3"/>
      <c r="I10" s="3"/>
      <c r="J10" s="3"/>
      <c r="K10" s="3"/>
    </row>
    <row r="11" spans="1:11" ht="47.25" customHeight="1">
      <c r="A11" s="274" t="s">
        <v>140</v>
      </c>
      <c r="B11" s="274"/>
      <c r="C11" s="274"/>
      <c r="D11" s="274"/>
      <c r="E11" s="274"/>
      <c r="F11" s="274"/>
      <c r="G11" s="274"/>
      <c r="H11" s="3"/>
      <c r="I11" s="3"/>
      <c r="J11" s="3"/>
      <c r="K11" s="3"/>
    </row>
    <row r="12" spans="1:11" ht="18" customHeight="1">
      <c r="A12" s="4"/>
      <c r="B12" s="4"/>
      <c r="C12" s="40"/>
      <c r="D12" s="40"/>
      <c r="E12" s="40"/>
      <c r="F12" s="40"/>
      <c r="G12" s="40"/>
      <c r="H12" s="4"/>
    </row>
    <row r="13" spans="1:11" ht="17.25" hidden="1" customHeight="1">
      <c r="A13" s="5"/>
    </row>
    <row r="14" spans="1:11" ht="46.5" customHeight="1">
      <c r="A14" s="7" t="s">
        <v>0</v>
      </c>
      <c r="B14" s="7" t="s">
        <v>1</v>
      </c>
      <c r="C14" s="7" t="s">
        <v>2</v>
      </c>
      <c r="D14" s="7" t="s">
        <v>19</v>
      </c>
      <c r="E14" s="7" t="s">
        <v>20</v>
      </c>
      <c r="F14" s="7" t="s">
        <v>24</v>
      </c>
      <c r="G14" s="7" t="s">
        <v>3</v>
      </c>
    </row>
    <row r="15" spans="1:11">
      <c r="A15" s="8">
        <v>1</v>
      </c>
      <c r="B15" s="8">
        <v>2</v>
      </c>
      <c r="C15" s="8">
        <v>3</v>
      </c>
      <c r="D15" s="9">
        <v>4</v>
      </c>
      <c r="E15" s="8">
        <v>5</v>
      </c>
      <c r="F15" s="8">
        <v>6</v>
      </c>
      <c r="G15" s="8">
        <v>7</v>
      </c>
      <c r="H15" s="10"/>
      <c r="I15" s="10"/>
      <c r="J15" s="10"/>
      <c r="K15" s="10"/>
    </row>
    <row r="16" spans="1:11" ht="20.25" customHeight="1">
      <c r="A16" s="283" t="s">
        <v>4</v>
      </c>
      <c r="B16" s="284"/>
      <c r="C16" s="284"/>
      <c r="D16" s="284"/>
      <c r="E16" s="284"/>
      <c r="F16" s="284"/>
      <c r="G16" s="285"/>
      <c r="H16" s="10"/>
      <c r="I16" s="10"/>
      <c r="J16" s="10"/>
      <c r="K16" s="10"/>
    </row>
    <row r="17" spans="1:11" ht="36.75" customHeight="1">
      <c r="A17" s="102">
        <v>1</v>
      </c>
      <c r="B17" s="103" t="s">
        <v>123</v>
      </c>
      <c r="C17" s="102" t="s">
        <v>64</v>
      </c>
      <c r="D17" s="85" t="s">
        <v>124</v>
      </c>
      <c r="E17" s="102"/>
      <c r="F17" s="102">
        <v>175.38</v>
      </c>
      <c r="G17" s="104">
        <v>1231.17</v>
      </c>
      <c r="H17" s="10"/>
      <c r="I17" s="10"/>
      <c r="J17" s="10"/>
      <c r="K17" s="10"/>
    </row>
    <row r="18" spans="1:11" ht="36.75" customHeight="1">
      <c r="A18" s="102">
        <v>2</v>
      </c>
      <c r="B18" s="103" t="s">
        <v>142</v>
      </c>
      <c r="C18" s="102" t="s">
        <v>64</v>
      </c>
      <c r="D18" s="85" t="s">
        <v>125</v>
      </c>
      <c r="E18" s="102"/>
      <c r="F18" s="102">
        <v>175.38</v>
      </c>
      <c r="G18" s="104">
        <v>3283.08</v>
      </c>
      <c r="H18" s="10"/>
      <c r="I18" s="10"/>
      <c r="J18" s="10"/>
      <c r="K18" s="10"/>
    </row>
    <row r="19" spans="1:11" ht="37.5" customHeight="1">
      <c r="A19" s="102">
        <v>3</v>
      </c>
      <c r="B19" s="103" t="s">
        <v>141</v>
      </c>
      <c r="C19" s="102" t="s">
        <v>64</v>
      </c>
      <c r="D19" s="85" t="s">
        <v>102</v>
      </c>
      <c r="E19" s="102"/>
      <c r="F19" s="104">
        <v>504.5</v>
      </c>
      <c r="G19" s="102">
        <v>2724.33</v>
      </c>
      <c r="H19" s="10"/>
      <c r="I19" s="10"/>
      <c r="J19" s="10"/>
      <c r="K19" s="10"/>
    </row>
    <row r="20" spans="1:11" ht="16.5" customHeight="1">
      <c r="A20" s="102">
        <v>4</v>
      </c>
      <c r="B20" s="105" t="s">
        <v>25</v>
      </c>
      <c r="C20" s="106" t="s">
        <v>26</v>
      </c>
      <c r="D20" s="85" t="s">
        <v>27</v>
      </c>
      <c r="E20" s="107" t="e">
        <f>#REF!+#REF!+#REF!+#REF!+#REF!+#REF!+'12.16'!E13+#REF!+#REF!+#REF!+#REF!+#REF!</f>
        <v>#REF!</v>
      </c>
      <c r="F20" s="108">
        <v>4.53</v>
      </c>
      <c r="G20" s="109">
        <v>14569.39</v>
      </c>
      <c r="H20" s="10"/>
      <c r="I20" s="10"/>
      <c r="J20" s="10"/>
      <c r="K20" s="10"/>
    </row>
    <row r="21" spans="1:11" ht="18.75" customHeight="1">
      <c r="A21" s="102">
        <v>5</v>
      </c>
      <c r="B21" s="103" t="s">
        <v>84</v>
      </c>
      <c r="C21" s="110" t="s">
        <v>36</v>
      </c>
      <c r="D21" s="88" t="s">
        <v>118</v>
      </c>
      <c r="E21" s="111">
        <v>0</v>
      </c>
      <c r="F21" s="112">
        <v>147.03</v>
      </c>
      <c r="G21" s="111">
        <v>447.25</v>
      </c>
      <c r="H21" s="10"/>
      <c r="I21" s="10"/>
      <c r="J21" s="10"/>
      <c r="K21" s="10"/>
    </row>
    <row r="22" spans="1:11" ht="18.75" customHeight="1">
      <c r="A22" s="283" t="s">
        <v>119</v>
      </c>
      <c r="B22" s="284"/>
      <c r="C22" s="284"/>
      <c r="D22" s="284"/>
      <c r="E22" s="284"/>
      <c r="F22" s="284"/>
      <c r="G22" s="285"/>
      <c r="H22" s="50"/>
      <c r="I22" s="10"/>
      <c r="J22" s="10"/>
      <c r="K22" s="10"/>
    </row>
    <row r="23" spans="1:11" ht="22.5" customHeight="1">
      <c r="A23" s="113"/>
      <c r="B23" s="114" t="s">
        <v>5</v>
      </c>
      <c r="C23" s="113"/>
      <c r="D23" s="113"/>
      <c r="E23" s="107"/>
      <c r="F23" s="108"/>
      <c r="G23" s="115"/>
      <c r="H23" s="36"/>
      <c r="I23" s="10"/>
      <c r="J23" s="10"/>
      <c r="K23" s="10"/>
    </row>
    <row r="24" spans="1:11" ht="40.5" customHeight="1">
      <c r="A24" s="116">
        <v>6</v>
      </c>
      <c r="B24" s="117" t="s">
        <v>29</v>
      </c>
      <c r="C24" s="118" t="s">
        <v>35</v>
      </c>
      <c r="D24" s="85" t="s">
        <v>28</v>
      </c>
      <c r="E24" s="107" t="e">
        <f>#REF!+#REF!+#REF!+#REF!+#REF!+#REF!+'12.16'!E29+#REF!+#REF!+#REF!+#REF!+#REF!</f>
        <v>#REF!</v>
      </c>
      <c r="F24" s="119">
        <v>1527.22</v>
      </c>
      <c r="G24" s="109">
        <v>2036.33</v>
      </c>
      <c r="H24" s="36"/>
      <c r="I24" s="10"/>
      <c r="J24" s="10"/>
      <c r="K24" s="10"/>
    </row>
    <row r="25" spans="1:11" ht="21" customHeight="1">
      <c r="A25" s="116">
        <v>7</v>
      </c>
      <c r="B25" s="117" t="s">
        <v>132</v>
      </c>
      <c r="C25" s="118" t="s">
        <v>32</v>
      </c>
      <c r="D25" s="85" t="s">
        <v>102</v>
      </c>
      <c r="E25" s="107" t="e">
        <f>#REF!+#REF!+#REF!+#REF!+#REF!+#REF!+'12.16'!E30+#REF!+#REF!+#REF!+#REF!+#REF!</f>
        <v>#REF!</v>
      </c>
      <c r="F25" s="119">
        <v>2102.71</v>
      </c>
      <c r="G25" s="109">
        <v>1755</v>
      </c>
      <c r="H25" s="36"/>
      <c r="I25" s="47"/>
      <c r="J25" s="10"/>
      <c r="K25" s="10"/>
    </row>
    <row r="26" spans="1:11" ht="41.25" customHeight="1">
      <c r="A26" s="116">
        <v>8</v>
      </c>
      <c r="B26" s="117" t="s">
        <v>133</v>
      </c>
      <c r="C26" s="118" t="s">
        <v>32</v>
      </c>
      <c r="D26" s="85" t="s">
        <v>134</v>
      </c>
      <c r="E26" s="107"/>
      <c r="F26" s="119">
        <v>2102.71</v>
      </c>
      <c r="G26" s="109">
        <v>711.17</v>
      </c>
      <c r="H26" s="36"/>
      <c r="I26" s="47"/>
      <c r="J26" s="10"/>
      <c r="K26" s="10"/>
    </row>
    <row r="27" spans="1:11" ht="75" customHeight="1">
      <c r="A27" s="116">
        <v>9</v>
      </c>
      <c r="B27" s="103" t="s">
        <v>113</v>
      </c>
      <c r="C27" s="118" t="s">
        <v>32</v>
      </c>
      <c r="D27" s="85" t="s">
        <v>139</v>
      </c>
      <c r="E27" s="107" t="e">
        <f>#REF!+#REF!+#REF!+#REF!+#REF!+#REF!+'12.16'!E31+#REF!+#REF!+#REF!+#REF!+#REF!</f>
        <v>#REF!</v>
      </c>
      <c r="F27" s="119">
        <v>5803.28</v>
      </c>
      <c r="G27" s="109">
        <v>1570.33</v>
      </c>
      <c r="H27" s="36"/>
      <c r="I27" s="10"/>
      <c r="J27" s="10"/>
      <c r="K27" s="10"/>
    </row>
    <row r="28" spans="1:11" ht="37.5">
      <c r="A28" s="116">
        <v>10</v>
      </c>
      <c r="B28" s="117" t="s">
        <v>135</v>
      </c>
      <c r="C28" s="118" t="s">
        <v>32</v>
      </c>
      <c r="D28" s="85" t="s">
        <v>120</v>
      </c>
      <c r="E28" s="107" t="e">
        <f>#REF!+#REF!+#REF!+#REF!+#REF!+#REF!+'12.16'!E32+#REF!+#REF!+#REF!+#REF!+#REF!</f>
        <v>#REF!</v>
      </c>
      <c r="F28" s="119">
        <v>350.75</v>
      </c>
      <c r="G28" s="109">
        <v>613</v>
      </c>
      <c r="H28" s="36"/>
      <c r="I28" s="48"/>
      <c r="J28" s="10"/>
      <c r="K28" s="10"/>
    </row>
    <row r="29" spans="1:11" ht="42" customHeight="1">
      <c r="A29" s="116">
        <v>11</v>
      </c>
      <c r="B29" s="117" t="s">
        <v>129</v>
      </c>
      <c r="C29" s="118" t="s">
        <v>32</v>
      </c>
      <c r="D29" s="85" t="s">
        <v>117</v>
      </c>
      <c r="E29" s="109" t="e">
        <f>#REF!+#REF!+#REF!+#REF!+#REF!+#REF!+'12.16'!E33+#REF!+#REF!+#REF!+#REF!+#REF!</f>
        <v>#REF!</v>
      </c>
      <c r="F29" s="119">
        <v>428.7</v>
      </c>
      <c r="G29" s="109">
        <v>217.5</v>
      </c>
      <c r="H29" s="36"/>
      <c r="I29" s="10"/>
      <c r="J29" s="10"/>
      <c r="K29" s="10"/>
    </row>
    <row r="30" spans="1:11" ht="23.25" customHeight="1">
      <c r="A30" s="116">
        <v>12</v>
      </c>
      <c r="B30" s="117" t="s">
        <v>143</v>
      </c>
      <c r="C30" s="106" t="s">
        <v>36</v>
      </c>
      <c r="D30" s="120"/>
      <c r="E30" s="107" t="e">
        <f>#REF!+#REF!+#REF!+#REF!+#REF!+#REF!+'12.16'!E34+#REF!+#REF!+#REF!+#REF!+#REF!</f>
        <v>#REF!</v>
      </c>
      <c r="F30" s="119">
        <v>798</v>
      </c>
      <c r="G30" s="109">
        <v>106.33</v>
      </c>
      <c r="H30" s="36"/>
      <c r="I30" s="10"/>
      <c r="J30" s="10"/>
      <c r="K30" s="10"/>
    </row>
    <row r="31" spans="1:11" ht="15" hidden="1" customHeight="1">
      <c r="A31" s="157"/>
      <c r="B31" s="286" t="s">
        <v>126</v>
      </c>
      <c r="C31" s="287"/>
      <c r="D31" s="287"/>
      <c r="E31" s="287"/>
      <c r="F31" s="287"/>
      <c r="G31" s="288"/>
      <c r="H31" s="51"/>
      <c r="I31" s="10"/>
    </row>
    <row r="32" spans="1:11" ht="22.5" hidden="1" customHeight="1">
      <c r="A32" s="72">
        <v>16</v>
      </c>
      <c r="B32" s="21" t="s">
        <v>37</v>
      </c>
      <c r="C32" s="23" t="s">
        <v>32</v>
      </c>
      <c r="D32" s="49" t="s">
        <v>77</v>
      </c>
      <c r="E32" s="26" t="e">
        <f>#REF!+#REF!+#REF!+#REF!+#REF!+#REF!+'12.16'!E38+#REF!+#REF!+#REF!+#REF!+#REF!</f>
        <v>#REF!</v>
      </c>
      <c r="F32" s="27">
        <v>1098.72</v>
      </c>
      <c r="G32" s="156" t="e">
        <f>#REF!+#REF!+#REF!+#REF!+#REF!+#REF!+'12.16'!G38+#REF!+#REF!+#REF!+#REF!+#REF!</f>
        <v>#REF!</v>
      </c>
      <c r="H32" s="37"/>
    </row>
    <row r="33" spans="1:12" ht="24" hidden="1" customHeight="1">
      <c r="A33" s="72">
        <v>17</v>
      </c>
      <c r="B33" s="21" t="s">
        <v>38</v>
      </c>
      <c r="C33" s="23" t="s">
        <v>39</v>
      </c>
      <c r="D33" s="49" t="s">
        <v>77</v>
      </c>
      <c r="E33" s="26" t="e">
        <f>#REF!+#REF!+#REF!+#REF!+#REF!+#REF!+'12.16'!E39+#REF!+#REF!+#REF!+#REF!+#REF!</f>
        <v>#REF!</v>
      </c>
      <c r="F33" s="27">
        <v>94.18</v>
      </c>
      <c r="G33" s="156" t="e">
        <f>#REF!+#REF!+#REF!+#REF!+#REF!+#REF!+'12.16'!G38+#REF!+#REF!+#REF!+#REF!+#REF!</f>
        <v>#REF!</v>
      </c>
      <c r="H33" s="37"/>
    </row>
    <row r="34" spans="1:12" ht="24" hidden="1" customHeight="1">
      <c r="A34" s="72">
        <v>18</v>
      </c>
      <c r="B34" s="21" t="s">
        <v>40</v>
      </c>
      <c r="C34" s="23" t="s">
        <v>32</v>
      </c>
      <c r="D34" s="49" t="s">
        <v>77</v>
      </c>
      <c r="E34" s="26" t="e">
        <f>#REF!+#REF!+#REF!+#REF!+#REF!+#REF!+'12.16'!E40+#REF!+#REF!+#REF!+#REF!+#REF!</f>
        <v>#REF!</v>
      </c>
      <c r="F34" s="27">
        <v>749.49</v>
      </c>
      <c r="G34" s="156" t="e">
        <f>#REF!+#REF!+#REF!+#REF!+#REF!+#REF!+'12.16'!G39+#REF!+#REF!+#REF!+#REF!+#REF!</f>
        <v>#REF!</v>
      </c>
      <c r="H34" s="37"/>
    </row>
    <row r="35" spans="1:12" ht="24" hidden="1" customHeight="1">
      <c r="A35" s="72">
        <v>19</v>
      </c>
      <c r="B35" s="21" t="s">
        <v>41</v>
      </c>
      <c r="C35" s="23" t="s">
        <v>32</v>
      </c>
      <c r="D35" s="49" t="s">
        <v>77</v>
      </c>
      <c r="E35" s="26" t="e">
        <f>#REF!+#REF!+#REF!+#REF!+#REF!+#REF!+'12.16'!E43+#REF!+#REF!+#REF!+#REF!+#REF!</f>
        <v>#REF!</v>
      </c>
      <c r="F35" s="27">
        <v>749.49</v>
      </c>
      <c r="G35" s="156" t="e">
        <f>#REF!+#REF!+#REF!+#REF!+#REF!+#REF!+'12.16'!G43+#REF!+#REF!+#REF!+#REF!+#REF!</f>
        <v>#REF!</v>
      </c>
      <c r="H35" s="37"/>
    </row>
    <row r="36" spans="1:12" ht="23.25" hidden="1" customHeight="1">
      <c r="A36" s="72">
        <v>20</v>
      </c>
      <c r="B36" s="21" t="s">
        <v>42</v>
      </c>
      <c r="C36" s="23" t="s">
        <v>32</v>
      </c>
      <c r="D36" s="49" t="s">
        <v>77</v>
      </c>
      <c r="E36" s="26" t="e">
        <f>#REF!+#REF!+#REF!+#REF!+#REF!+#REF!+'12.16'!E44+#REF!+#REF!+#REF!+#REF!+#REF!</f>
        <v>#REF!</v>
      </c>
      <c r="F36" s="27">
        <v>784.8</v>
      </c>
      <c r="G36" s="156" t="e">
        <f>#REF!+#REF!+#REF!+#REF!+#REF!+#REF!+'12.16'!G44+#REF!+#REF!+#REF!+#REF!+#REF!</f>
        <v>#REF!</v>
      </c>
      <c r="H36" s="37"/>
    </row>
    <row r="37" spans="1:12" ht="23.25" hidden="1" customHeight="1">
      <c r="A37" s="72">
        <v>21</v>
      </c>
      <c r="B37" s="21" t="s">
        <v>71</v>
      </c>
      <c r="C37" s="23" t="s">
        <v>32</v>
      </c>
      <c r="D37" s="49" t="s">
        <v>77</v>
      </c>
      <c r="E37" s="26" t="e">
        <f>#REF!+#REF!+#REF!+#REF!+#REF!+#REF!+'12.16'!E45+#REF!+#REF!+#REF!+#REF!+#REF!</f>
        <v>#REF!</v>
      </c>
      <c r="F37" s="27">
        <v>1599.61</v>
      </c>
      <c r="G37" s="156" t="e">
        <f>#REF!+#REF!+#REF!+#REF!+#REF!+#REF!+'12.16'!G45+#REF!+#REF!+#REF!+#REF!+#REF!</f>
        <v>#REF!</v>
      </c>
      <c r="H37" s="37"/>
    </row>
    <row r="38" spans="1:12" ht="30.75" hidden="1" customHeight="1">
      <c r="A38" s="72">
        <v>22</v>
      </c>
      <c r="B38" s="21" t="s">
        <v>43</v>
      </c>
      <c r="C38" s="23" t="s">
        <v>32</v>
      </c>
      <c r="D38" s="49" t="s">
        <v>77</v>
      </c>
      <c r="E38" s="26" t="e">
        <f>#REF!+#REF!+#REF!+#REF!+#REF!+#REF!+'12.16'!E46+#REF!+#REF!+#REF!+#REF!+#REF!</f>
        <v>#REF!</v>
      </c>
      <c r="F38" s="27">
        <v>1599.61</v>
      </c>
      <c r="G38" s="156" t="e">
        <f>#REF!+#REF!+#REF!+#REF!+#REF!+#REF!+'12.16'!G46+#REF!+#REF!+#REF!+#REF!+#REF!</f>
        <v>#REF!</v>
      </c>
      <c r="H38" s="37"/>
    </row>
    <row r="39" spans="1:12" ht="30.75" hidden="1" customHeight="1">
      <c r="A39" s="72">
        <v>23</v>
      </c>
      <c r="B39" s="21" t="s">
        <v>44</v>
      </c>
      <c r="C39" s="23" t="s">
        <v>45</v>
      </c>
      <c r="D39" s="49" t="s">
        <v>77</v>
      </c>
      <c r="E39" s="26" t="e">
        <f>#REF!+#REF!+#REF!+#REF!+#REF!+#REF!+'12.16'!E47+#REF!+#REF!+#REF!+#REF!+#REF!</f>
        <v>#REF!</v>
      </c>
      <c r="F39" s="27">
        <v>3599.1</v>
      </c>
      <c r="G39" s="156" t="e">
        <f>#REF!+#REF!+#REF!+#REF!+#REF!+#REF!+'12.16'!G47+#REF!+#REF!+#REF!+#REF!+#REF!</f>
        <v>#REF!</v>
      </c>
      <c r="H39" s="37"/>
      <c r="J39" s="28"/>
      <c r="K39" s="29"/>
      <c r="L39" s="30"/>
    </row>
    <row r="40" spans="1:12" ht="19.5" hidden="1" customHeight="1">
      <c r="A40" s="72">
        <v>24</v>
      </c>
      <c r="B40" s="21" t="s">
        <v>46</v>
      </c>
      <c r="C40" s="23" t="s">
        <v>47</v>
      </c>
      <c r="D40" s="49" t="s">
        <v>77</v>
      </c>
      <c r="E40" s="26" t="e">
        <f>#REF!+#REF!+#REF!+#REF!+#REF!+#REF!+'12.16'!E48+#REF!+#REF!+#REF!+#REF!+#REF!</f>
        <v>#REF!</v>
      </c>
      <c r="F40" s="27">
        <v>7450.14</v>
      </c>
      <c r="G40" s="156" t="e">
        <f>#REF!+#REF!+#REF!+#REF!+#REF!+#REF!+'12.16'!G48+#REF!+#REF!+#REF!+#REF!+#REF!</f>
        <v>#REF!</v>
      </c>
      <c r="H40" s="37"/>
      <c r="J40" s="28"/>
      <c r="K40" s="29"/>
      <c r="L40" s="30"/>
    </row>
    <row r="41" spans="1:12" ht="18.75" hidden="1" customHeight="1">
      <c r="A41" s="72">
        <v>25</v>
      </c>
      <c r="B41" s="31" t="s">
        <v>48</v>
      </c>
      <c r="C41" s="32" t="s">
        <v>34</v>
      </c>
      <c r="D41" s="158" t="s">
        <v>49</v>
      </c>
      <c r="E41" s="26">
        <v>32</v>
      </c>
      <c r="F41" s="27">
        <v>158.66</v>
      </c>
      <c r="G41" s="156">
        <f>E41*F41</f>
        <v>5077.12</v>
      </c>
      <c r="H41" s="37"/>
      <c r="J41" s="28"/>
      <c r="K41" s="29"/>
      <c r="L41" s="30"/>
    </row>
    <row r="42" spans="1:12" ht="19.5" hidden="1" customHeight="1">
      <c r="A42" s="72">
        <v>26</v>
      </c>
      <c r="B42" s="21" t="s">
        <v>50</v>
      </c>
      <c r="C42" s="32" t="s">
        <v>34</v>
      </c>
      <c r="D42" s="49" t="s">
        <v>51</v>
      </c>
      <c r="E42" s="26">
        <v>32</v>
      </c>
      <c r="F42" s="27">
        <v>73.84</v>
      </c>
      <c r="G42" s="156">
        <f>E42*F42</f>
        <v>2362.88</v>
      </c>
      <c r="H42" s="37"/>
      <c r="J42" s="28"/>
      <c r="K42" s="29"/>
      <c r="L42" s="30"/>
    </row>
    <row r="43" spans="1:12" ht="19.5" customHeight="1">
      <c r="A43" s="86"/>
      <c r="B43" s="283" t="s">
        <v>127</v>
      </c>
      <c r="C43" s="284"/>
      <c r="D43" s="284"/>
      <c r="E43" s="284"/>
      <c r="F43" s="284"/>
      <c r="G43" s="285"/>
      <c r="H43" s="52"/>
      <c r="J43" s="28"/>
      <c r="K43" s="29"/>
      <c r="L43" s="30"/>
    </row>
    <row r="44" spans="1:12" ht="18" customHeight="1">
      <c r="A44" s="100"/>
      <c r="B44" s="121" t="s">
        <v>52</v>
      </c>
      <c r="C44" s="118"/>
      <c r="D44" s="122"/>
      <c r="E44" s="107"/>
      <c r="F44" s="123"/>
      <c r="G44" s="115"/>
      <c r="H44" s="37"/>
      <c r="J44" s="28"/>
      <c r="K44" s="29"/>
      <c r="L44" s="30"/>
    </row>
    <row r="45" spans="1:12" ht="59.25" customHeight="1">
      <c r="A45" s="84">
        <v>13</v>
      </c>
      <c r="B45" s="117" t="s">
        <v>130</v>
      </c>
      <c r="C45" s="118" t="s">
        <v>64</v>
      </c>
      <c r="D45" s="87" t="s">
        <v>33</v>
      </c>
      <c r="E45" s="109" t="e">
        <f>#REF!+#REF!+#REF!+#REF!+#REF!+#REF!+'12.16'!#REF!+#REF!+#REF!+#REF!+#REF!+#REF!</f>
        <v>#REF!</v>
      </c>
      <c r="F45" s="119">
        <v>1547.28</v>
      </c>
      <c r="G45" s="109">
        <v>1908</v>
      </c>
      <c r="H45" s="37"/>
      <c r="J45" s="28"/>
      <c r="K45" s="29"/>
      <c r="L45" s="30"/>
    </row>
    <row r="46" spans="1:12" ht="17.25" hidden="1" customHeight="1">
      <c r="A46" s="84"/>
      <c r="B46" s="125" t="s">
        <v>55</v>
      </c>
      <c r="C46" s="126"/>
      <c r="D46" s="89"/>
      <c r="E46" s="107"/>
      <c r="F46" s="127"/>
      <c r="G46" s="115"/>
      <c r="H46" s="37"/>
      <c r="J46" s="28"/>
      <c r="K46" s="29"/>
      <c r="L46" s="30"/>
    </row>
    <row r="47" spans="1:12" ht="21" hidden="1" customHeight="1">
      <c r="A47" s="84">
        <v>14</v>
      </c>
      <c r="B47" s="117" t="s">
        <v>56</v>
      </c>
      <c r="C47" s="118" t="s">
        <v>64</v>
      </c>
      <c r="D47" s="85" t="s">
        <v>65</v>
      </c>
      <c r="E47" s="107" t="e">
        <f>#REF!+#REF!+#REF!+#REF!+#REF!+#REF!+'12.16'!E54+#REF!+#REF!+#REF!+#REF!+#REF!</f>
        <v>#REF!</v>
      </c>
      <c r="F47" s="104">
        <v>222.4</v>
      </c>
      <c r="G47" s="109">
        <v>222.4</v>
      </c>
      <c r="H47" s="37"/>
      <c r="J47" s="28"/>
      <c r="K47" s="29"/>
      <c r="L47" s="30"/>
    </row>
    <row r="48" spans="1:12" ht="19.5" hidden="1" customHeight="1">
      <c r="A48" s="100"/>
      <c r="B48" s="128" t="s">
        <v>66</v>
      </c>
      <c r="C48" s="129"/>
      <c r="D48" s="130"/>
      <c r="E48" s="107"/>
      <c r="F48" s="102"/>
      <c r="G48" s="115" t="e">
        <f>#REF!+#REF!+#REF!+#REF!+#REF!+#REF!+'12.16'!G61+#REF!+#REF!+#REF!+#REF!+#REF!</f>
        <v>#REF!</v>
      </c>
      <c r="H48" s="37"/>
      <c r="J48" s="28"/>
      <c r="K48" s="29"/>
      <c r="L48" s="30"/>
    </row>
    <row r="49" spans="1:12" ht="18.75" hidden="1" customHeight="1">
      <c r="A49" s="98">
        <v>36</v>
      </c>
      <c r="B49" s="120" t="s">
        <v>61</v>
      </c>
      <c r="C49" s="118" t="s">
        <v>67</v>
      </c>
      <c r="D49" s="102" t="s">
        <v>65</v>
      </c>
      <c r="E49" s="109" t="e">
        <f>#REF!+#REF!+#REF!+#REF!+#REF!+#REF!+'12.16'!E62+#REF!+#REF!+#REF!+#REF!+#REF!</f>
        <v>#REF!</v>
      </c>
      <c r="F49" s="102">
        <v>9.32</v>
      </c>
      <c r="G49" s="115" t="e">
        <f>#REF!+#REF!+#REF!+#REF!+#REF!+#REF!+'12.16'!G62+#REF!+#REF!+#REF!+#REF!+#REF!</f>
        <v>#REF!</v>
      </c>
      <c r="H49" s="37"/>
      <c r="J49" s="28"/>
      <c r="K49" s="29"/>
      <c r="L49" s="30"/>
    </row>
    <row r="50" spans="1:12" ht="26.25" customHeight="1">
      <c r="A50" s="98"/>
      <c r="B50" s="283" t="s">
        <v>128</v>
      </c>
      <c r="C50" s="284"/>
      <c r="D50" s="284"/>
      <c r="E50" s="284"/>
      <c r="F50" s="284"/>
      <c r="G50" s="285"/>
      <c r="H50" s="37"/>
      <c r="J50" s="28"/>
      <c r="K50" s="29"/>
      <c r="L50" s="30"/>
    </row>
    <row r="51" spans="1:12" ht="40.5" customHeight="1">
      <c r="A51" s="98">
        <v>15</v>
      </c>
      <c r="B51" s="132" t="s">
        <v>137</v>
      </c>
      <c r="C51" s="118" t="s">
        <v>68</v>
      </c>
      <c r="D51" s="87" t="s">
        <v>69</v>
      </c>
      <c r="E51" s="107" t="e">
        <f>#REF!+#REF!+#REF!+#REF!+#REF!+#REF!+'12.16'!E66+#REF!+#REF!+#REF!+#REF!+#REF!</f>
        <v>#REF!</v>
      </c>
      <c r="F51" s="133">
        <v>2.1</v>
      </c>
      <c r="G51" s="109">
        <v>6754.02</v>
      </c>
      <c r="H51" s="33" t="e">
        <f>G49+#REF!+#REF!+#REF!+G51</f>
        <v>#REF!</v>
      </c>
      <c r="J51" s="28">
        <f>6846.6/3934.8/12</f>
        <v>0.14500101657009251</v>
      </c>
      <c r="K51" s="29"/>
      <c r="L51" s="30"/>
    </row>
    <row r="52" spans="1:12" ht="60" customHeight="1">
      <c r="A52" s="85">
        <v>16</v>
      </c>
      <c r="B52" s="134" t="s">
        <v>99</v>
      </c>
      <c r="C52" s="118" t="s">
        <v>68</v>
      </c>
      <c r="D52" s="85" t="s">
        <v>69</v>
      </c>
      <c r="E52" s="124"/>
      <c r="F52" s="135">
        <v>1.63</v>
      </c>
      <c r="G52" s="111">
        <v>5242.41</v>
      </c>
      <c r="H52" s="34" t="e">
        <f>H22+H31+H43+#REF!+H51</f>
        <v>#REF!</v>
      </c>
      <c r="J52" s="46"/>
    </row>
    <row r="53" spans="1:12" ht="18.75">
      <c r="A53" s="86"/>
      <c r="B53" s="136" t="s">
        <v>103</v>
      </c>
      <c r="C53" s="113"/>
      <c r="D53" s="124"/>
      <c r="E53" s="124"/>
      <c r="F53" s="109"/>
      <c r="G53" s="137">
        <f>SUM(G17+G18+G19+G20+G21+G24+G25+G26+G27+G28+G29+G30+G45+G51+G52)</f>
        <v>43169.310000000012</v>
      </c>
    </row>
    <row r="54" spans="1:12" ht="36.75" customHeight="1">
      <c r="A54" s="98"/>
      <c r="B54" s="130" t="s">
        <v>76</v>
      </c>
      <c r="C54" s="138"/>
      <c r="D54" s="138"/>
      <c r="E54" s="124"/>
      <c r="F54" s="109"/>
      <c r="G54" s="109"/>
    </row>
    <row r="55" spans="1:12" ht="36.75" customHeight="1">
      <c r="A55" s="98">
        <v>17</v>
      </c>
      <c r="B55" s="191" t="s">
        <v>206</v>
      </c>
      <c r="C55" s="192" t="s">
        <v>207</v>
      </c>
      <c r="D55" s="138"/>
      <c r="E55" s="124"/>
      <c r="F55" s="135">
        <v>195.95</v>
      </c>
      <c r="G55" s="109">
        <v>587.85</v>
      </c>
    </row>
    <row r="56" spans="1:12" ht="36.75" customHeight="1">
      <c r="A56" s="98">
        <v>18</v>
      </c>
      <c r="B56" s="139" t="s">
        <v>204</v>
      </c>
      <c r="C56" s="193" t="s">
        <v>105</v>
      </c>
      <c r="D56" s="138"/>
      <c r="E56" s="124"/>
      <c r="F56" s="135">
        <v>1187</v>
      </c>
      <c r="G56" s="109">
        <v>5935</v>
      </c>
    </row>
    <row r="57" spans="1:12" ht="18" customHeight="1">
      <c r="A57" s="98">
        <v>19</v>
      </c>
      <c r="B57" s="139" t="s">
        <v>205</v>
      </c>
      <c r="C57" s="193" t="s">
        <v>165</v>
      </c>
      <c r="D57" s="138"/>
      <c r="E57" s="124"/>
      <c r="F57" s="135">
        <v>310</v>
      </c>
      <c r="G57" s="109">
        <v>310</v>
      </c>
    </row>
    <row r="58" spans="1:12" ht="37.5" customHeight="1">
      <c r="A58" s="98">
        <v>20</v>
      </c>
      <c r="B58" s="139" t="s">
        <v>138</v>
      </c>
      <c r="C58" s="140" t="s">
        <v>68</v>
      </c>
      <c r="D58" s="138"/>
      <c r="E58" s="124"/>
      <c r="F58" s="109">
        <v>666.39</v>
      </c>
      <c r="G58" s="109">
        <v>2798.84</v>
      </c>
    </row>
    <row r="59" spans="1:12" ht="18.75" customHeight="1">
      <c r="A59" s="98">
        <v>21</v>
      </c>
      <c r="B59" s="141" t="s">
        <v>116</v>
      </c>
      <c r="C59" s="140" t="s">
        <v>34</v>
      </c>
      <c r="D59" s="138"/>
      <c r="E59" s="124"/>
      <c r="F59" s="109">
        <v>179.96</v>
      </c>
      <c r="G59" s="109">
        <v>359.92</v>
      </c>
    </row>
    <row r="60" spans="1:12" ht="38.25" customHeight="1">
      <c r="A60" s="98">
        <v>22</v>
      </c>
      <c r="B60" s="139" t="s">
        <v>246</v>
      </c>
      <c r="C60" s="249" t="s">
        <v>238</v>
      </c>
      <c r="D60" s="138"/>
      <c r="E60" s="124"/>
      <c r="F60" s="135">
        <v>559.62</v>
      </c>
      <c r="G60" s="109">
        <v>559.62</v>
      </c>
    </row>
    <row r="61" spans="1:12" ht="38.25" customHeight="1">
      <c r="A61" s="98">
        <v>23</v>
      </c>
      <c r="B61" s="191" t="s">
        <v>247</v>
      </c>
      <c r="C61" s="250" t="s">
        <v>248</v>
      </c>
      <c r="D61" s="138"/>
      <c r="E61" s="124"/>
      <c r="F61" s="135">
        <v>133.16999999999999</v>
      </c>
      <c r="G61" s="109">
        <v>133.16999999999999</v>
      </c>
    </row>
    <row r="62" spans="1:12" ht="18.75" customHeight="1">
      <c r="A62" s="131"/>
      <c r="B62" s="142" t="s">
        <v>62</v>
      </c>
      <c r="C62" s="140"/>
      <c r="D62" s="138"/>
      <c r="E62" s="124"/>
      <c r="F62" s="109"/>
      <c r="G62" s="137">
        <f>G55+G56+G57+G58+G59+G60+G61</f>
        <v>10684.400000000001</v>
      </c>
    </row>
    <row r="63" spans="1:12" ht="18.75">
      <c r="A63" s="102"/>
      <c r="B63" s="143" t="s">
        <v>100</v>
      </c>
      <c r="C63" s="124"/>
      <c r="D63" s="124"/>
      <c r="E63" s="144"/>
      <c r="F63" s="145"/>
      <c r="G63" s="146">
        <v>0</v>
      </c>
    </row>
    <row r="64" spans="1:12" ht="18.75">
      <c r="A64" s="147"/>
      <c r="B64" s="148" t="s">
        <v>63</v>
      </c>
      <c r="C64" s="149"/>
      <c r="D64" s="149"/>
      <c r="E64" s="149"/>
      <c r="F64" s="149"/>
      <c r="G64" s="150">
        <f>G53+G62</f>
        <v>53853.710000000014</v>
      </c>
    </row>
    <row r="65" spans="1:20" ht="18" customHeight="1">
      <c r="A65" s="278" t="s">
        <v>290</v>
      </c>
      <c r="B65" s="278"/>
      <c r="C65" s="278"/>
      <c r="D65" s="278"/>
      <c r="E65" s="278"/>
      <c r="F65" s="278"/>
      <c r="G65" s="27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11"/>
    </row>
    <row r="66" spans="1:20" ht="15.75" customHeight="1">
      <c r="A66" s="151"/>
      <c r="B66" s="280" t="s">
        <v>291</v>
      </c>
      <c r="C66" s="280"/>
      <c r="D66" s="280"/>
      <c r="E66" s="280"/>
      <c r="F66" s="280"/>
      <c r="G66" s="152"/>
      <c r="H66" s="41"/>
      <c r="I66" s="41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20" ht="18.75">
      <c r="A67" s="153"/>
      <c r="B67" s="281" t="s">
        <v>6</v>
      </c>
      <c r="C67" s="281"/>
      <c r="D67" s="281"/>
      <c r="E67" s="281"/>
      <c r="F67" s="281"/>
      <c r="G67" s="154"/>
      <c r="H67" s="6"/>
      <c r="I67" s="6"/>
      <c r="J67" s="6"/>
      <c r="K67" s="6"/>
      <c r="L67" s="6"/>
      <c r="M67" s="6"/>
      <c r="N67" s="6"/>
      <c r="O67" s="6"/>
      <c r="P67" s="260"/>
      <c r="Q67" s="260"/>
      <c r="R67" s="260"/>
      <c r="S67" s="260"/>
    </row>
    <row r="68" spans="1:20" ht="7.5" customHeight="1">
      <c r="A68" s="164"/>
      <c r="B68" s="164"/>
      <c r="C68" s="164"/>
      <c r="D68" s="164"/>
      <c r="E68" s="164"/>
      <c r="F68" s="164"/>
      <c r="G68" s="16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20" ht="18.75">
      <c r="A69" s="277" t="s">
        <v>7</v>
      </c>
      <c r="B69" s="277"/>
      <c r="C69" s="277"/>
      <c r="D69" s="277"/>
      <c r="E69" s="277"/>
      <c r="F69" s="277"/>
      <c r="G69" s="277"/>
    </row>
    <row r="70" spans="1:20" ht="18.75">
      <c r="A70" s="277" t="s">
        <v>8</v>
      </c>
      <c r="B70" s="277"/>
      <c r="C70" s="277"/>
      <c r="D70" s="277"/>
      <c r="E70" s="277"/>
      <c r="F70" s="277"/>
      <c r="G70" s="277"/>
    </row>
    <row r="71" spans="1:20" ht="18.75">
      <c r="A71" s="278" t="s">
        <v>9</v>
      </c>
      <c r="B71" s="278"/>
      <c r="C71" s="278"/>
      <c r="D71" s="278"/>
      <c r="E71" s="278"/>
      <c r="F71" s="278"/>
      <c r="G71" s="278"/>
    </row>
    <row r="72" spans="1:20" ht="18.75">
      <c r="A72" s="165"/>
      <c r="B72" s="162"/>
      <c r="C72" s="162"/>
      <c r="D72" s="162"/>
      <c r="E72" s="162"/>
      <c r="F72" s="162"/>
      <c r="G72" s="162"/>
    </row>
    <row r="73" spans="1:20" ht="18.75">
      <c r="A73" s="165"/>
      <c r="B73" s="162"/>
      <c r="C73" s="162"/>
      <c r="D73" s="162"/>
      <c r="E73" s="162"/>
      <c r="F73" s="162"/>
      <c r="G73" s="162"/>
    </row>
    <row r="74" spans="1:20" ht="18.75">
      <c r="A74" s="279" t="s">
        <v>10</v>
      </c>
      <c r="B74" s="279"/>
      <c r="C74" s="279"/>
      <c r="D74" s="279"/>
      <c r="E74" s="279"/>
      <c r="F74" s="279"/>
      <c r="G74" s="279"/>
    </row>
    <row r="75" spans="1:20" ht="15.75">
      <c r="A75" s="5"/>
    </row>
    <row r="76" spans="1:20" ht="18.75">
      <c r="A76" s="278" t="s">
        <v>11</v>
      </c>
      <c r="B76" s="278"/>
      <c r="C76" s="282" t="s">
        <v>131</v>
      </c>
      <c r="D76" s="282"/>
      <c r="E76" s="282"/>
      <c r="G76" s="38"/>
    </row>
    <row r="77" spans="1:20" ht="18.75">
      <c r="A77" s="153"/>
      <c r="B77" s="162"/>
      <c r="C77" s="258" t="s">
        <v>12</v>
      </c>
      <c r="D77" s="258"/>
      <c r="E77" s="258"/>
      <c r="G77" s="39" t="s">
        <v>13</v>
      </c>
    </row>
    <row r="78" spans="1:20" ht="18.75">
      <c r="A78" s="166"/>
      <c r="B78" s="162"/>
      <c r="C78" s="14"/>
      <c r="D78" s="14"/>
      <c r="F78" s="14"/>
    </row>
    <row r="79" spans="1:20" ht="18.75">
      <c r="A79" s="278" t="s">
        <v>14</v>
      </c>
      <c r="B79" s="278"/>
      <c r="C79" s="259"/>
      <c r="D79" s="259"/>
      <c r="E79" s="259"/>
      <c r="G79" s="38"/>
    </row>
    <row r="80" spans="1:20">
      <c r="A80" s="42"/>
      <c r="C80" s="260" t="s">
        <v>12</v>
      </c>
      <c r="D80" s="260"/>
      <c r="E80" s="260"/>
      <c r="G80" s="39" t="s">
        <v>13</v>
      </c>
    </row>
    <row r="81" spans="1:7" ht="15.75">
      <c r="A81" s="5" t="s">
        <v>15</v>
      </c>
    </row>
    <row r="82" spans="1:7">
      <c r="A82" s="261" t="s">
        <v>16</v>
      </c>
      <c r="B82" s="261"/>
      <c r="C82" s="261"/>
      <c r="D82" s="261"/>
      <c r="E82" s="261"/>
      <c r="F82" s="261"/>
      <c r="G82" s="261"/>
    </row>
    <row r="83" spans="1:7" ht="45" customHeight="1">
      <c r="A83" s="251" t="s">
        <v>17</v>
      </c>
      <c r="B83" s="251"/>
      <c r="C83" s="251"/>
      <c r="D83" s="251"/>
      <c r="E83" s="251"/>
      <c r="F83" s="251"/>
      <c r="G83" s="251"/>
    </row>
    <row r="84" spans="1:7" ht="28.5" customHeight="1">
      <c r="A84" s="251" t="s">
        <v>18</v>
      </c>
      <c r="B84" s="251"/>
      <c r="C84" s="251"/>
      <c r="D84" s="251"/>
      <c r="E84" s="251"/>
      <c r="F84" s="251"/>
      <c r="G84" s="251"/>
    </row>
    <row r="85" spans="1:7" ht="27" customHeight="1">
      <c r="A85" s="251" t="s">
        <v>23</v>
      </c>
      <c r="B85" s="251"/>
      <c r="C85" s="251"/>
      <c r="D85" s="251"/>
      <c r="E85" s="251"/>
      <c r="F85" s="251"/>
      <c r="G85" s="251"/>
    </row>
    <row r="86" spans="1:7" ht="15" customHeight="1">
      <c r="A86" s="251" t="s">
        <v>22</v>
      </c>
      <c r="B86" s="251"/>
      <c r="C86" s="251"/>
      <c r="D86" s="251"/>
      <c r="E86" s="251"/>
      <c r="F86" s="251"/>
      <c r="G86" s="251"/>
    </row>
    <row r="88" spans="1:7" ht="27.75" customHeight="1">
      <c r="A88" s="15" t="s">
        <v>21</v>
      </c>
      <c r="B88" s="15"/>
      <c r="C88" s="15"/>
      <c r="D88" s="15"/>
      <c r="E88" s="15"/>
      <c r="F88" s="15"/>
    </row>
  </sheetData>
  <autoFilter ref="G14:G63"/>
  <mergeCells count="29">
    <mergeCell ref="A82:G82"/>
    <mergeCell ref="A83:G83"/>
    <mergeCell ref="A84:G84"/>
    <mergeCell ref="A85:G85"/>
    <mergeCell ref="A86:G86"/>
    <mergeCell ref="A65:G65"/>
    <mergeCell ref="A16:G16"/>
    <mergeCell ref="A22:G22"/>
    <mergeCell ref="B31:G31"/>
    <mergeCell ref="B43:G43"/>
    <mergeCell ref="B50:G50"/>
    <mergeCell ref="B66:F66"/>
    <mergeCell ref="C77:E77"/>
    <mergeCell ref="A79:B79"/>
    <mergeCell ref="C79:E79"/>
    <mergeCell ref="C80:E80"/>
    <mergeCell ref="B67:F67"/>
    <mergeCell ref="A76:B76"/>
    <mergeCell ref="C76:E76"/>
    <mergeCell ref="P67:S67"/>
    <mergeCell ref="A69:G69"/>
    <mergeCell ref="A70:G70"/>
    <mergeCell ref="A71:G71"/>
    <mergeCell ref="A74:G74"/>
    <mergeCell ref="A3:G3"/>
    <mergeCell ref="A4:G4"/>
    <mergeCell ref="B5:F5"/>
    <mergeCell ref="A9:G9"/>
    <mergeCell ref="A11:G11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0"/>
  <sheetViews>
    <sheetView workbookViewId="0">
      <selection activeCell="A8" sqref="A8:G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>
      <c r="A1" s="44" t="s">
        <v>121</v>
      </c>
      <c r="G1" s="43"/>
    </row>
    <row r="2" spans="1:11" ht="15.75">
      <c r="A2" s="45" t="s">
        <v>82</v>
      </c>
      <c r="H2" s="1"/>
      <c r="I2" s="1"/>
      <c r="J2" s="1"/>
      <c r="K2" s="1"/>
    </row>
    <row r="3" spans="1:11" ht="15.75" customHeight="1">
      <c r="A3" s="270" t="s">
        <v>144</v>
      </c>
      <c r="B3" s="270"/>
      <c r="C3" s="270"/>
      <c r="D3" s="270"/>
      <c r="E3" s="270"/>
      <c r="F3" s="270"/>
      <c r="G3" s="270"/>
      <c r="H3" s="2"/>
      <c r="I3" s="2"/>
      <c r="J3" s="2"/>
      <c r="K3" s="2"/>
    </row>
    <row r="4" spans="1:11" ht="33.75" customHeight="1">
      <c r="A4" s="271" t="s">
        <v>177</v>
      </c>
      <c r="B4" s="271"/>
      <c r="C4" s="271"/>
      <c r="D4" s="271"/>
      <c r="E4" s="271"/>
      <c r="F4" s="271"/>
      <c r="G4" s="271"/>
      <c r="H4" s="3"/>
      <c r="I4" s="3"/>
      <c r="J4" s="3"/>
      <c r="K4" s="3"/>
    </row>
    <row r="5" spans="1:11" ht="15.75" customHeight="1">
      <c r="A5" s="270" t="s">
        <v>145</v>
      </c>
      <c r="B5" s="272"/>
      <c r="C5" s="272"/>
      <c r="D5" s="272"/>
      <c r="E5" s="272"/>
      <c r="F5" s="272"/>
      <c r="G5" s="272"/>
      <c r="H5" s="4"/>
      <c r="I5" s="4"/>
      <c r="J5" s="4"/>
    </row>
    <row r="6" spans="1:11" ht="15.75" customHeight="1">
      <c r="A6" s="3"/>
      <c r="B6" s="168"/>
      <c r="C6" s="168"/>
      <c r="D6" s="168"/>
      <c r="E6" s="168"/>
      <c r="F6" s="168"/>
      <c r="G6" s="53">
        <v>42735</v>
      </c>
    </row>
    <row r="7" spans="1:11" ht="15.75">
      <c r="B7" s="170"/>
      <c r="C7" s="170"/>
      <c r="D7" s="170"/>
      <c r="E7" s="4"/>
      <c r="F7" s="4"/>
      <c r="H7" s="3"/>
      <c r="I7" s="3"/>
      <c r="J7" s="3"/>
      <c r="K7" s="3"/>
    </row>
    <row r="8" spans="1:11" ht="78.75" customHeight="1">
      <c r="A8" s="273" t="s">
        <v>294</v>
      </c>
      <c r="B8" s="273"/>
      <c r="C8" s="273"/>
      <c r="D8" s="273"/>
      <c r="E8" s="273"/>
      <c r="F8" s="273"/>
      <c r="G8" s="273"/>
      <c r="H8" s="3"/>
      <c r="I8" s="3"/>
      <c r="J8" s="3"/>
      <c r="K8" s="3"/>
    </row>
    <row r="9" spans="1:11" ht="15.75">
      <c r="A9" s="5"/>
      <c r="H9" s="4"/>
      <c r="I9" s="4"/>
      <c r="J9" s="4"/>
      <c r="K9" s="4"/>
    </row>
    <row r="10" spans="1:11" ht="47.25" customHeight="1">
      <c r="A10" s="274" t="s">
        <v>202</v>
      </c>
      <c r="B10" s="274"/>
      <c r="C10" s="274"/>
      <c r="D10" s="274"/>
      <c r="E10" s="274"/>
      <c r="F10" s="274"/>
      <c r="G10" s="274"/>
      <c r="H10" s="6"/>
      <c r="I10" s="6"/>
      <c r="J10" s="6"/>
      <c r="K10" s="6"/>
    </row>
    <row r="11" spans="1:11" ht="15.75" customHeight="1">
      <c r="A11" s="5"/>
      <c r="H11" s="3"/>
      <c r="I11" s="3"/>
      <c r="J11" s="3"/>
      <c r="K11" s="3"/>
    </row>
    <row r="12" spans="1:11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 t="s">
        <v>24</v>
      </c>
      <c r="G12" s="7" t="s">
        <v>3</v>
      </c>
      <c r="H12" s="4"/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5</v>
      </c>
      <c r="G13" s="8">
        <v>6</v>
      </c>
    </row>
    <row r="14" spans="1:11">
      <c r="A14" s="266" t="s">
        <v>74</v>
      </c>
      <c r="B14" s="266"/>
      <c r="C14" s="266"/>
      <c r="D14" s="266"/>
      <c r="E14" s="266"/>
      <c r="F14" s="266"/>
      <c r="G14" s="266"/>
    </row>
    <row r="15" spans="1:11">
      <c r="A15" s="266" t="s">
        <v>4</v>
      </c>
      <c r="B15" s="266"/>
      <c r="C15" s="266"/>
      <c r="D15" s="266"/>
      <c r="E15" s="266"/>
      <c r="F15" s="266"/>
      <c r="G15" s="266"/>
      <c r="H15" s="10"/>
      <c r="I15" s="10"/>
      <c r="J15" s="10"/>
      <c r="K15" s="10"/>
    </row>
    <row r="16" spans="1:11" ht="15.75" customHeight="1">
      <c r="A16" s="49">
        <v>1</v>
      </c>
      <c r="B16" s="57" t="s">
        <v>123</v>
      </c>
      <c r="C16" s="71" t="s">
        <v>146</v>
      </c>
      <c r="D16" s="57" t="s">
        <v>180</v>
      </c>
      <c r="E16" s="173"/>
      <c r="F16" s="56">
        <v>218.21</v>
      </c>
      <c r="G16" s="174">
        <v>1531.83</v>
      </c>
      <c r="H16" s="10"/>
      <c r="I16" s="10"/>
      <c r="J16" s="10"/>
      <c r="K16" s="10"/>
    </row>
    <row r="17" spans="1:11" ht="15.75" customHeight="1">
      <c r="A17" s="49">
        <v>2</v>
      </c>
      <c r="B17" s="57" t="s">
        <v>178</v>
      </c>
      <c r="C17" s="71" t="s">
        <v>146</v>
      </c>
      <c r="D17" s="57" t="s">
        <v>181</v>
      </c>
      <c r="E17" s="173"/>
      <c r="F17" s="56">
        <v>218.21</v>
      </c>
      <c r="G17" s="174">
        <v>4084.89</v>
      </c>
      <c r="H17" s="10"/>
      <c r="I17" s="10"/>
      <c r="J17" s="10"/>
      <c r="K17" s="10"/>
    </row>
    <row r="18" spans="1:11" ht="15.75" customHeight="1">
      <c r="A18" s="49">
        <v>3</v>
      </c>
      <c r="B18" s="57" t="s">
        <v>179</v>
      </c>
      <c r="C18" s="71" t="s">
        <v>146</v>
      </c>
      <c r="D18" s="57" t="s">
        <v>182</v>
      </c>
      <c r="E18" s="173"/>
      <c r="F18" s="56">
        <v>627.77</v>
      </c>
      <c r="G18" s="174">
        <v>3389.96</v>
      </c>
      <c r="H18" s="35"/>
      <c r="I18" s="10"/>
      <c r="J18" s="10"/>
      <c r="K18" s="10"/>
    </row>
    <row r="19" spans="1:11" ht="15.75" hidden="1" customHeight="1">
      <c r="A19" s="49"/>
      <c r="B19" s="57" t="s">
        <v>147</v>
      </c>
      <c r="C19" s="71" t="s">
        <v>148</v>
      </c>
      <c r="D19" s="57" t="s">
        <v>149</v>
      </c>
      <c r="E19" s="173"/>
      <c r="F19" s="56">
        <v>211.74</v>
      </c>
      <c r="G19" s="174">
        <v>0</v>
      </c>
      <c r="H19" s="36"/>
      <c r="I19" s="10"/>
      <c r="J19" s="10"/>
      <c r="K19" s="10"/>
    </row>
    <row r="20" spans="1:11" ht="15.75" hidden="1" customHeight="1">
      <c r="A20" s="49">
        <v>4</v>
      </c>
      <c r="B20" s="57" t="s">
        <v>150</v>
      </c>
      <c r="C20" s="71" t="s">
        <v>146</v>
      </c>
      <c r="D20" s="57" t="s">
        <v>51</v>
      </c>
      <c r="E20" s="173"/>
      <c r="F20" s="56">
        <v>271.12</v>
      </c>
      <c r="G20" s="174">
        <v>3.12</v>
      </c>
      <c r="H20" s="36"/>
      <c r="I20" s="10"/>
      <c r="J20" s="10"/>
      <c r="K20" s="10"/>
    </row>
    <row r="21" spans="1:11" ht="15.75" hidden="1" customHeight="1">
      <c r="A21" s="49">
        <v>5</v>
      </c>
      <c r="B21" s="57" t="s">
        <v>151</v>
      </c>
      <c r="C21" s="71" t="s">
        <v>146</v>
      </c>
      <c r="D21" s="57" t="s">
        <v>51</v>
      </c>
      <c r="E21" s="173"/>
      <c r="F21" s="56">
        <v>268.92</v>
      </c>
      <c r="G21" s="174">
        <v>0</v>
      </c>
      <c r="H21" s="36"/>
      <c r="I21" s="10"/>
      <c r="J21" s="10"/>
      <c r="K21" s="10"/>
    </row>
    <row r="22" spans="1:11" ht="15.75" hidden="1" customHeight="1">
      <c r="A22" s="49"/>
      <c r="B22" s="57" t="s">
        <v>152</v>
      </c>
      <c r="C22" s="71" t="s">
        <v>64</v>
      </c>
      <c r="D22" s="57" t="s">
        <v>149</v>
      </c>
      <c r="E22" s="173"/>
      <c r="F22" s="56">
        <v>335.05</v>
      </c>
      <c r="G22" s="174">
        <v>0</v>
      </c>
      <c r="H22" s="36"/>
      <c r="I22" s="10"/>
      <c r="J22" s="10"/>
      <c r="K22" s="10"/>
    </row>
    <row r="23" spans="1:11" ht="15.75" hidden="1" customHeight="1">
      <c r="A23" s="49"/>
      <c r="B23" s="57" t="s">
        <v>153</v>
      </c>
      <c r="C23" s="71" t="s">
        <v>64</v>
      </c>
      <c r="D23" s="57" t="s">
        <v>149</v>
      </c>
      <c r="E23" s="173"/>
      <c r="F23" s="56">
        <v>55.1</v>
      </c>
      <c r="G23" s="174">
        <v>0</v>
      </c>
      <c r="H23" s="36"/>
      <c r="I23" s="10"/>
      <c r="J23" s="10"/>
      <c r="K23" s="10"/>
    </row>
    <row r="24" spans="1:11" ht="15.75" hidden="1" customHeight="1">
      <c r="A24" s="49"/>
      <c r="B24" s="57" t="s">
        <v>154</v>
      </c>
      <c r="C24" s="71" t="s">
        <v>64</v>
      </c>
      <c r="D24" s="188" t="s">
        <v>149</v>
      </c>
      <c r="E24" s="173"/>
      <c r="F24" s="56">
        <v>484.94</v>
      </c>
      <c r="G24" s="174">
        <v>0</v>
      </c>
      <c r="H24" s="36"/>
      <c r="I24" s="10"/>
      <c r="J24" s="10"/>
      <c r="K24" s="10"/>
    </row>
    <row r="25" spans="1:11" ht="15.75" hidden="1" customHeight="1">
      <c r="A25" s="72">
        <v>6</v>
      </c>
      <c r="B25" s="57" t="s">
        <v>183</v>
      </c>
      <c r="C25" s="71" t="s">
        <v>64</v>
      </c>
      <c r="D25" s="57" t="s">
        <v>149</v>
      </c>
      <c r="E25" s="25">
        <v>506.1</v>
      </c>
      <c r="F25" s="56">
        <v>648.04999999999995</v>
      </c>
      <c r="G25" s="26">
        <v>0</v>
      </c>
      <c r="H25" s="36"/>
      <c r="I25" s="10"/>
      <c r="J25" s="10"/>
      <c r="K25" s="10"/>
    </row>
    <row r="26" spans="1:11" ht="15.75" customHeight="1">
      <c r="A26" s="72">
        <v>4</v>
      </c>
      <c r="B26" s="57" t="s">
        <v>84</v>
      </c>
      <c r="C26" s="71" t="s">
        <v>36</v>
      </c>
      <c r="D26" s="57" t="s">
        <v>118</v>
      </c>
      <c r="E26" s="25"/>
      <c r="F26" s="56">
        <v>182.96</v>
      </c>
      <c r="G26" s="26">
        <v>556.5</v>
      </c>
      <c r="H26" s="36"/>
      <c r="I26" s="10"/>
      <c r="J26" s="10"/>
      <c r="K26" s="10"/>
    </row>
    <row r="27" spans="1:11" ht="15.75" customHeight="1">
      <c r="A27" s="72">
        <v>5</v>
      </c>
      <c r="B27" s="16" t="s">
        <v>25</v>
      </c>
      <c r="C27" s="17" t="s">
        <v>26</v>
      </c>
      <c r="D27" s="49"/>
      <c r="E27" s="25">
        <v>506.1</v>
      </c>
      <c r="F27" s="56">
        <v>4.01</v>
      </c>
      <c r="G27" s="26">
        <v>12896.96</v>
      </c>
      <c r="H27" s="36"/>
      <c r="I27" s="10"/>
      <c r="J27" s="10"/>
      <c r="K27" s="10"/>
    </row>
    <row r="28" spans="1:11" ht="15.75" customHeight="1">
      <c r="A28" s="266" t="s">
        <v>119</v>
      </c>
      <c r="B28" s="266"/>
      <c r="C28" s="266"/>
      <c r="D28" s="266"/>
      <c r="E28" s="266"/>
      <c r="F28" s="266"/>
      <c r="G28" s="266"/>
      <c r="H28" s="36"/>
      <c r="I28" s="10"/>
      <c r="J28" s="10"/>
      <c r="K28" s="10"/>
    </row>
    <row r="29" spans="1:11" ht="15.75" hidden="1" customHeight="1">
      <c r="A29" s="72"/>
      <c r="B29" s="82" t="s">
        <v>31</v>
      </c>
      <c r="C29" s="82"/>
      <c r="D29" s="82"/>
      <c r="E29" s="82"/>
      <c r="F29" s="82"/>
      <c r="G29" s="26"/>
      <c r="H29" s="36"/>
      <c r="I29" s="10"/>
      <c r="J29" s="10"/>
      <c r="K29" s="10"/>
    </row>
    <row r="30" spans="1:11" ht="31.5" hidden="1" customHeight="1">
      <c r="A30" s="72">
        <v>2</v>
      </c>
      <c r="B30" s="57" t="s">
        <v>155</v>
      </c>
      <c r="C30" s="71" t="s">
        <v>156</v>
      </c>
      <c r="D30" s="57" t="s">
        <v>184</v>
      </c>
      <c r="E30" s="20">
        <v>2.31</v>
      </c>
      <c r="F30" s="56">
        <v>193.97</v>
      </c>
      <c r="G30" s="19">
        <v>0</v>
      </c>
      <c r="H30" s="36"/>
      <c r="I30" s="10"/>
      <c r="J30" s="10"/>
      <c r="K30" s="10"/>
    </row>
    <row r="31" spans="1:11" ht="31.5" hidden="1" customHeight="1">
      <c r="A31" s="72">
        <v>3</v>
      </c>
      <c r="B31" s="57" t="s">
        <v>157</v>
      </c>
      <c r="C31" s="71" t="s">
        <v>156</v>
      </c>
      <c r="D31" s="57" t="s">
        <v>185</v>
      </c>
      <c r="E31" s="19">
        <f>0.0024*3*4.5</f>
        <v>3.2399999999999998E-2</v>
      </c>
      <c r="F31" s="56">
        <v>321.82</v>
      </c>
      <c r="G31" s="26">
        <v>0</v>
      </c>
      <c r="H31" s="36"/>
      <c r="I31" s="10"/>
      <c r="J31" s="10"/>
      <c r="K31" s="10"/>
    </row>
    <row r="32" spans="1:11" ht="15.75" hidden="1" customHeight="1">
      <c r="A32" s="72">
        <v>4</v>
      </c>
      <c r="B32" s="57" t="s">
        <v>30</v>
      </c>
      <c r="C32" s="71" t="s">
        <v>156</v>
      </c>
      <c r="D32" s="57" t="s">
        <v>65</v>
      </c>
      <c r="E32" s="24">
        <v>0</v>
      </c>
      <c r="F32" s="56">
        <v>3758.28</v>
      </c>
      <c r="G32" s="26">
        <v>0</v>
      </c>
      <c r="H32" s="36"/>
      <c r="I32" s="10"/>
      <c r="J32" s="10"/>
      <c r="K32" s="10"/>
    </row>
    <row r="33" spans="1:12" ht="15.75" hidden="1" customHeight="1">
      <c r="A33" s="72">
        <v>5</v>
      </c>
      <c r="B33" s="57" t="s">
        <v>158</v>
      </c>
      <c r="C33" s="71" t="s">
        <v>34</v>
      </c>
      <c r="D33" s="57" t="s">
        <v>83</v>
      </c>
      <c r="E33" s="24">
        <v>0</v>
      </c>
      <c r="F33" s="56">
        <v>70.540000000000006</v>
      </c>
      <c r="G33" s="26">
        <v>0</v>
      </c>
      <c r="H33" s="36"/>
      <c r="I33" s="10"/>
      <c r="J33" s="10"/>
      <c r="K33" s="10"/>
    </row>
    <row r="34" spans="1:12" ht="15.75" hidden="1" customHeight="1">
      <c r="A34" s="72">
        <v>4</v>
      </c>
      <c r="B34" s="57" t="s">
        <v>85</v>
      </c>
      <c r="C34" s="71" t="s">
        <v>36</v>
      </c>
      <c r="D34" s="57" t="s">
        <v>87</v>
      </c>
      <c r="E34" s="19">
        <v>3.75</v>
      </c>
      <c r="F34" s="56">
        <v>238.07</v>
      </c>
      <c r="G34" s="19">
        <v>0</v>
      </c>
      <c r="H34" s="36"/>
      <c r="I34" s="10"/>
      <c r="J34" s="10"/>
      <c r="K34" s="10"/>
    </row>
    <row r="35" spans="1:12" ht="15.75" hidden="1" customHeight="1">
      <c r="A35" s="49">
        <v>8</v>
      </c>
      <c r="B35" s="57" t="s">
        <v>86</v>
      </c>
      <c r="C35" s="71" t="s">
        <v>35</v>
      </c>
      <c r="D35" s="57" t="s">
        <v>87</v>
      </c>
      <c r="E35" s="19"/>
      <c r="F35" s="56">
        <v>1413.96</v>
      </c>
      <c r="G35" s="19">
        <v>0</v>
      </c>
      <c r="H35" s="36"/>
      <c r="I35" s="10"/>
      <c r="J35" s="10"/>
      <c r="K35" s="10"/>
    </row>
    <row r="36" spans="1:12" ht="15.75" customHeight="1">
      <c r="A36" s="72"/>
      <c r="B36" s="80" t="s">
        <v>5</v>
      </c>
      <c r="C36" s="80"/>
      <c r="D36" s="80"/>
      <c r="E36" s="19"/>
      <c r="F36" s="20"/>
      <c r="G36" s="26"/>
      <c r="H36" s="36"/>
      <c r="I36" s="10"/>
      <c r="J36" s="10"/>
      <c r="K36" s="10"/>
    </row>
    <row r="37" spans="1:12" ht="15.75" customHeight="1">
      <c r="A37" s="58">
        <v>6</v>
      </c>
      <c r="B37" s="59" t="s">
        <v>29</v>
      </c>
      <c r="C37" s="71" t="s">
        <v>35</v>
      </c>
      <c r="D37" s="57"/>
      <c r="E37" s="19">
        <v>0</v>
      </c>
      <c r="F37" s="56">
        <v>1900.37</v>
      </c>
      <c r="G37" s="19">
        <v>950.19</v>
      </c>
      <c r="H37" s="36"/>
      <c r="I37" s="10"/>
    </row>
    <row r="38" spans="1:12" ht="15.75" customHeight="1">
      <c r="A38" s="58">
        <v>7</v>
      </c>
      <c r="B38" s="59" t="s">
        <v>132</v>
      </c>
      <c r="C38" s="175" t="s">
        <v>32</v>
      </c>
      <c r="D38" s="57" t="s">
        <v>159</v>
      </c>
      <c r="E38" s="19">
        <v>0</v>
      </c>
      <c r="F38" s="56">
        <v>2616.4899999999998</v>
      </c>
      <c r="G38" s="19">
        <v>885.03</v>
      </c>
      <c r="H38" s="37"/>
    </row>
    <row r="39" spans="1:12" ht="15.75" customHeight="1">
      <c r="A39" s="58">
        <v>8</v>
      </c>
      <c r="B39" s="59" t="s">
        <v>186</v>
      </c>
      <c r="C39" s="175" t="s">
        <v>32</v>
      </c>
      <c r="D39" s="57" t="s">
        <v>160</v>
      </c>
      <c r="E39" s="19">
        <v>0</v>
      </c>
      <c r="F39" s="56">
        <v>436.45</v>
      </c>
      <c r="G39" s="19">
        <v>762.75</v>
      </c>
      <c r="H39" s="37"/>
    </row>
    <row r="40" spans="1:12" ht="15.75" hidden="1" customHeight="1">
      <c r="A40" s="58">
        <v>11</v>
      </c>
      <c r="B40" s="57" t="s">
        <v>187</v>
      </c>
      <c r="C40" s="71" t="s">
        <v>188</v>
      </c>
      <c r="D40" s="57" t="s">
        <v>87</v>
      </c>
      <c r="E40" s="19">
        <v>0</v>
      </c>
      <c r="F40" s="56">
        <v>226.84</v>
      </c>
      <c r="G40" s="19">
        <v>0</v>
      </c>
      <c r="H40" s="37"/>
    </row>
    <row r="41" spans="1:12" ht="47.25" customHeight="1">
      <c r="A41" s="58">
        <v>9</v>
      </c>
      <c r="B41" s="57" t="s">
        <v>113</v>
      </c>
      <c r="C41" s="71" t="s">
        <v>32</v>
      </c>
      <c r="D41" s="57" t="s">
        <v>189</v>
      </c>
      <c r="E41" s="19"/>
      <c r="F41" s="56">
        <v>7221.21</v>
      </c>
      <c r="G41" s="19">
        <v>2849.67</v>
      </c>
      <c r="H41" s="37"/>
    </row>
    <row r="42" spans="1:12" ht="15.75" customHeight="1">
      <c r="A42" s="58">
        <v>10</v>
      </c>
      <c r="B42" s="57" t="s">
        <v>161</v>
      </c>
      <c r="C42" s="71" t="s">
        <v>156</v>
      </c>
      <c r="D42" s="57" t="s">
        <v>190</v>
      </c>
      <c r="E42" s="19"/>
      <c r="F42" s="56">
        <v>533.45000000000005</v>
      </c>
      <c r="G42" s="19">
        <v>120.29</v>
      </c>
      <c r="H42" s="37"/>
    </row>
    <row r="43" spans="1:12" ht="15.75" customHeight="1">
      <c r="A43" s="58">
        <v>11</v>
      </c>
      <c r="B43" s="59" t="s">
        <v>90</v>
      </c>
      <c r="C43" s="175" t="s">
        <v>36</v>
      </c>
      <c r="D43" s="59"/>
      <c r="E43" s="19">
        <v>0</v>
      </c>
      <c r="F43" s="60">
        <v>992.97</v>
      </c>
      <c r="G43" s="19">
        <v>132.4</v>
      </c>
      <c r="H43" s="37"/>
    </row>
    <row r="44" spans="1:12" ht="15.75" customHeight="1">
      <c r="A44" s="289" t="s">
        <v>81</v>
      </c>
      <c r="B44" s="290"/>
      <c r="C44" s="290"/>
      <c r="D44" s="290"/>
      <c r="E44" s="290"/>
      <c r="F44" s="290"/>
      <c r="G44" s="291"/>
      <c r="H44" s="37"/>
    </row>
    <row r="45" spans="1:12" ht="15.75" hidden="1" customHeight="1">
      <c r="A45" s="72">
        <v>15</v>
      </c>
      <c r="B45" s="57" t="s">
        <v>162</v>
      </c>
      <c r="C45" s="71" t="s">
        <v>156</v>
      </c>
      <c r="D45" s="57" t="s">
        <v>51</v>
      </c>
      <c r="E45" s="26">
        <v>0.42</v>
      </c>
      <c r="F45" s="63">
        <v>1283.46</v>
      </c>
      <c r="G45" s="27">
        <v>0</v>
      </c>
      <c r="H45" s="37"/>
    </row>
    <row r="46" spans="1:12" ht="15.75" hidden="1" customHeight="1">
      <c r="A46" s="72">
        <v>16</v>
      </c>
      <c r="B46" s="57" t="s">
        <v>41</v>
      </c>
      <c r="C46" s="71" t="s">
        <v>156</v>
      </c>
      <c r="D46" s="57" t="s">
        <v>51</v>
      </c>
      <c r="E46" s="26">
        <v>1.35</v>
      </c>
      <c r="F46" s="63">
        <v>1711.28</v>
      </c>
      <c r="G46" s="27">
        <v>0</v>
      </c>
      <c r="H46" s="37"/>
    </row>
    <row r="47" spans="1:12" ht="15.75" hidden="1" customHeight="1">
      <c r="A47" s="72">
        <v>17</v>
      </c>
      <c r="B47" s="57" t="s">
        <v>42</v>
      </c>
      <c r="C47" s="71" t="s">
        <v>156</v>
      </c>
      <c r="D47" s="57" t="s">
        <v>51</v>
      </c>
      <c r="E47" s="26">
        <v>0.03</v>
      </c>
      <c r="F47" s="63">
        <v>1179.73</v>
      </c>
      <c r="G47" s="27">
        <v>0</v>
      </c>
      <c r="H47" s="37"/>
      <c r="J47" s="28"/>
      <c r="K47" s="29"/>
      <c r="L47" s="30"/>
    </row>
    <row r="48" spans="1:12" ht="15.75" hidden="1" customHeight="1">
      <c r="A48" s="72">
        <v>18</v>
      </c>
      <c r="B48" s="57" t="s">
        <v>38</v>
      </c>
      <c r="C48" s="71" t="s">
        <v>39</v>
      </c>
      <c r="D48" s="57" t="s">
        <v>51</v>
      </c>
      <c r="E48" s="26">
        <v>0.33</v>
      </c>
      <c r="F48" s="63">
        <v>90.61</v>
      </c>
      <c r="G48" s="27">
        <v>0</v>
      </c>
      <c r="H48" s="37"/>
      <c r="J48" s="28"/>
      <c r="K48" s="29"/>
      <c r="L48" s="30"/>
    </row>
    <row r="49" spans="1:12" ht="15.75" customHeight="1">
      <c r="A49" s="72">
        <v>12</v>
      </c>
      <c r="B49" s="57" t="s">
        <v>71</v>
      </c>
      <c r="C49" s="71" t="s">
        <v>156</v>
      </c>
      <c r="D49" s="57" t="s">
        <v>191</v>
      </c>
      <c r="E49" s="26">
        <v>0.22</v>
      </c>
      <c r="F49" s="63">
        <v>1711.28</v>
      </c>
      <c r="G49" s="19">
        <v>5503.82</v>
      </c>
      <c r="H49" s="37"/>
      <c r="J49" s="28"/>
      <c r="K49" s="29"/>
      <c r="L49" s="30"/>
    </row>
    <row r="50" spans="1:12" ht="15.75" hidden="1" customHeight="1">
      <c r="A50" s="72">
        <v>13</v>
      </c>
      <c r="B50" s="57" t="s">
        <v>163</v>
      </c>
      <c r="C50" s="71" t="s">
        <v>156</v>
      </c>
      <c r="D50" s="57" t="s">
        <v>51</v>
      </c>
      <c r="E50" s="26">
        <v>0.22</v>
      </c>
      <c r="F50" s="63">
        <v>1510.06</v>
      </c>
      <c r="G50" s="27">
        <v>0</v>
      </c>
      <c r="H50" s="37"/>
      <c r="J50" s="28"/>
      <c r="K50" s="29"/>
      <c r="L50" s="30"/>
    </row>
    <row r="51" spans="1:12" ht="15.75" hidden="1" customHeight="1">
      <c r="A51" s="72">
        <v>14</v>
      </c>
      <c r="B51" s="57" t="s">
        <v>164</v>
      </c>
      <c r="C51" s="71" t="s">
        <v>45</v>
      </c>
      <c r="D51" s="57" t="s">
        <v>51</v>
      </c>
      <c r="E51" s="26">
        <v>0.02</v>
      </c>
      <c r="F51" s="63">
        <v>3850.4</v>
      </c>
      <c r="G51" s="27">
        <v>0</v>
      </c>
      <c r="H51" s="37"/>
      <c r="J51" s="28"/>
      <c r="K51" s="29"/>
      <c r="L51" s="30"/>
    </row>
    <row r="52" spans="1:12" ht="15.75" hidden="1" customHeight="1">
      <c r="A52" s="72">
        <v>15</v>
      </c>
      <c r="B52" s="57" t="s">
        <v>46</v>
      </c>
      <c r="C52" s="71" t="s">
        <v>47</v>
      </c>
      <c r="D52" s="57" t="s">
        <v>51</v>
      </c>
      <c r="E52" s="26">
        <v>0.01</v>
      </c>
      <c r="F52" s="63">
        <v>7033.13</v>
      </c>
      <c r="G52" s="27">
        <v>0</v>
      </c>
      <c r="H52" s="37"/>
      <c r="J52" s="28"/>
      <c r="K52" s="29"/>
      <c r="L52" s="30"/>
    </row>
    <row r="53" spans="1:12" ht="15.75" hidden="1" customHeight="1">
      <c r="A53" s="72">
        <v>23</v>
      </c>
      <c r="B53" s="57" t="s">
        <v>50</v>
      </c>
      <c r="C53" s="71" t="s">
        <v>165</v>
      </c>
      <c r="D53" s="57" t="s">
        <v>91</v>
      </c>
      <c r="E53" s="26">
        <v>8</v>
      </c>
      <c r="F53" s="64">
        <v>81.73</v>
      </c>
      <c r="G53" s="19">
        <v>0</v>
      </c>
      <c r="H53" s="37"/>
      <c r="J53" s="28"/>
      <c r="K53" s="29"/>
      <c r="L53" s="30"/>
    </row>
    <row r="54" spans="1:12" ht="15.75" customHeight="1">
      <c r="A54" s="289" t="s">
        <v>78</v>
      </c>
      <c r="B54" s="290"/>
      <c r="C54" s="290"/>
      <c r="D54" s="290"/>
      <c r="E54" s="290"/>
      <c r="F54" s="290"/>
      <c r="G54" s="291"/>
      <c r="H54" s="37"/>
      <c r="J54" s="28"/>
      <c r="K54" s="29"/>
      <c r="L54" s="30"/>
    </row>
    <row r="55" spans="1:12" ht="15.75" customHeight="1">
      <c r="A55" s="91"/>
      <c r="B55" s="79" t="s">
        <v>52</v>
      </c>
      <c r="C55" s="23"/>
      <c r="D55" s="22"/>
      <c r="E55" s="22"/>
      <c r="F55" s="49"/>
      <c r="G55" s="26"/>
      <c r="H55" s="37"/>
      <c r="J55" s="28"/>
      <c r="K55" s="29"/>
      <c r="L55" s="30"/>
    </row>
    <row r="56" spans="1:12" ht="31.5" customHeight="1">
      <c r="A56" s="72">
        <v>13</v>
      </c>
      <c r="B56" s="57" t="s">
        <v>192</v>
      </c>
      <c r="C56" s="71" t="s">
        <v>146</v>
      </c>
      <c r="D56" s="57" t="s">
        <v>193</v>
      </c>
      <c r="E56" s="26">
        <v>0</v>
      </c>
      <c r="F56" s="63">
        <v>2306.62</v>
      </c>
      <c r="G56" s="27">
        <v>2844.29</v>
      </c>
      <c r="H56" s="37"/>
      <c r="J56" s="28"/>
      <c r="K56" s="29"/>
      <c r="L56" s="30"/>
    </row>
    <row r="57" spans="1:12" ht="15.75" hidden="1" customHeight="1">
      <c r="A57" s="72"/>
      <c r="B57" s="189" t="s">
        <v>194</v>
      </c>
      <c r="C57" s="90" t="s">
        <v>195</v>
      </c>
      <c r="D57" s="57" t="s">
        <v>87</v>
      </c>
      <c r="E57" s="26"/>
      <c r="F57" s="63">
        <v>1501</v>
      </c>
      <c r="G57" s="27">
        <v>0</v>
      </c>
      <c r="H57" s="37"/>
      <c r="J57" s="28"/>
      <c r="K57" s="29"/>
      <c r="L57" s="30"/>
    </row>
    <row r="58" spans="1:12" ht="15.75" hidden="1" customHeight="1">
      <c r="A58" s="72"/>
      <c r="B58" s="173" t="s">
        <v>53</v>
      </c>
      <c r="C58" s="173"/>
      <c r="D58" s="173"/>
      <c r="E58" s="173"/>
      <c r="F58" s="173"/>
      <c r="G58" s="62"/>
      <c r="H58" s="37"/>
      <c r="J58" s="28"/>
      <c r="K58" s="29"/>
      <c r="L58" s="30"/>
    </row>
    <row r="59" spans="1:12" ht="15.75" hidden="1" customHeight="1">
      <c r="A59" s="72">
        <v>27</v>
      </c>
      <c r="B59" s="176" t="s">
        <v>54</v>
      </c>
      <c r="C59" s="71" t="s">
        <v>146</v>
      </c>
      <c r="D59" s="57" t="s">
        <v>65</v>
      </c>
      <c r="E59" s="177">
        <v>0</v>
      </c>
      <c r="F59" s="63">
        <v>987.51</v>
      </c>
      <c r="G59" s="27">
        <f>E59/2</f>
        <v>0</v>
      </c>
      <c r="H59" s="37"/>
      <c r="J59" s="28"/>
      <c r="K59" s="29"/>
      <c r="L59" s="30"/>
    </row>
    <row r="60" spans="1:12" ht="15.75" customHeight="1">
      <c r="A60" s="72"/>
      <c r="B60" s="173" t="s">
        <v>55</v>
      </c>
      <c r="C60" s="23"/>
      <c r="D60" s="22"/>
      <c r="E60" s="22"/>
      <c r="F60" s="49"/>
      <c r="G60" s="26"/>
      <c r="H60" s="37"/>
      <c r="J60" s="28"/>
      <c r="K60" s="29"/>
      <c r="L60" s="30"/>
    </row>
    <row r="61" spans="1:12" ht="15.75" hidden="1" customHeight="1">
      <c r="A61" s="72">
        <v>17</v>
      </c>
      <c r="B61" s="178" t="s">
        <v>56</v>
      </c>
      <c r="C61" s="67" t="s">
        <v>165</v>
      </c>
      <c r="D61" s="66" t="s">
        <v>87</v>
      </c>
      <c r="E61" s="26">
        <v>0</v>
      </c>
      <c r="F61" s="63">
        <v>252.96</v>
      </c>
      <c r="G61" s="27">
        <v>0</v>
      </c>
      <c r="H61" s="37"/>
      <c r="J61" s="28"/>
      <c r="K61" s="29"/>
      <c r="L61" s="30"/>
    </row>
    <row r="62" spans="1:12" ht="15.75" hidden="1" customHeight="1">
      <c r="A62" s="49">
        <v>29</v>
      </c>
      <c r="B62" s="178" t="s">
        <v>57</v>
      </c>
      <c r="C62" s="67" t="s">
        <v>165</v>
      </c>
      <c r="D62" s="66" t="s">
        <v>87</v>
      </c>
      <c r="E62" s="26">
        <v>0</v>
      </c>
      <c r="F62" s="63">
        <v>86.74</v>
      </c>
      <c r="G62" s="27">
        <v>0</v>
      </c>
      <c r="H62" s="37"/>
      <c r="J62" s="28"/>
      <c r="K62" s="29"/>
      <c r="L62" s="30"/>
    </row>
    <row r="63" spans="1:12" ht="15.75" hidden="1" customHeight="1">
      <c r="A63" s="49">
        <v>8</v>
      </c>
      <c r="B63" s="178" t="s">
        <v>58</v>
      </c>
      <c r="C63" s="69" t="s">
        <v>166</v>
      </c>
      <c r="D63" s="66" t="s">
        <v>65</v>
      </c>
      <c r="E63" s="26">
        <v>13.47</v>
      </c>
      <c r="F63" s="63">
        <v>241.31</v>
      </c>
      <c r="G63" s="26">
        <v>0</v>
      </c>
      <c r="H63" s="37"/>
      <c r="J63" s="28"/>
      <c r="K63" s="29"/>
      <c r="L63" s="30"/>
    </row>
    <row r="64" spans="1:12" ht="15.75" hidden="1" customHeight="1">
      <c r="A64" s="49">
        <v>9</v>
      </c>
      <c r="B64" s="178" t="s">
        <v>59</v>
      </c>
      <c r="C64" s="67" t="s">
        <v>167</v>
      </c>
      <c r="D64" s="66"/>
      <c r="E64" s="26">
        <v>1.35</v>
      </c>
      <c r="F64" s="63">
        <v>187.91</v>
      </c>
      <c r="G64" s="26">
        <v>0</v>
      </c>
      <c r="H64" s="37"/>
      <c r="J64" s="28"/>
      <c r="K64" s="29"/>
      <c r="L64" s="30"/>
    </row>
    <row r="65" spans="1:20" ht="15.75" hidden="1" customHeight="1">
      <c r="A65" s="49">
        <v>10</v>
      </c>
      <c r="B65" s="178" t="s">
        <v>60</v>
      </c>
      <c r="C65" s="67" t="s">
        <v>98</v>
      </c>
      <c r="D65" s="66" t="s">
        <v>65</v>
      </c>
      <c r="E65" s="26">
        <v>0</v>
      </c>
      <c r="F65" s="63">
        <v>2359.7199999999998</v>
      </c>
      <c r="G65" s="26">
        <v>0</v>
      </c>
      <c r="H65" s="37"/>
      <c r="J65" s="28"/>
      <c r="K65" s="29"/>
      <c r="L65" s="30"/>
    </row>
    <row r="66" spans="1:20" ht="15.75" hidden="1" customHeight="1">
      <c r="A66" s="49">
        <v>11</v>
      </c>
      <c r="B66" s="92" t="s">
        <v>168</v>
      </c>
      <c r="C66" s="67" t="s">
        <v>36</v>
      </c>
      <c r="D66" s="66"/>
      <c r="E66" s="18">
        <v>0</v>
      </c>
      <c r="F66" s="63">
        <v>45.06</v>
      </c>
      <c r="G66" s="26">
        <v>0</v>
      </c>
      <c r="H66" s="37"/>
      <c r="J66" s="28"/>
      <c r="K66" s="29"/>
      <c r="L66" s="30"/>
    </row>
    <row r="67" spans="1:20" ht="15.75" hidden="1" customHeight="1">
      <c r="A67" s="49">
        <v>12</v>
      </c>
      <c r="B67" s="92" t="s">
        <v>169</v>
      </c>
      <c r="C67" s="67" t="s">
        <v>36</v>
      </c>
      <c r="D67" s="66"/>
      <c r="E67" s="18"/>
      <c r="F67" s="63">
        <v>42.04</v>
      </c>
      <c r="G67" s="26">
        <v>0</v>
      </c>
      <c r="H67" s="37"/>
      <c r="J67" s="28"/>
    </row>
    <row r="68" spans="1:20" ht="15.75" hidden="1" customHeight="1">
      <c r="A68" s="49">
        <v>13</v>
      </c>
      <c r="B68" s="66" t="s">
        <v>72</v>
      </c>
      <c r="C68" s="67" t="s">
        <v>73</v>
      </c>
      <c r="D68" s="66" t="s">
        <v>65</v>
      </c>
      <c r="E68" s="18"/>
      <c r="F68" s="63">
        <v>56.74</v>
      </c>
      <c r="G68" s="26">
        <v>0</v>
      </c>
      <c r="H68" s="37"/>
      <c r="J68" s="28"/>
    </row>
    <row r="69" spans="1:20" ht="15.75" customHeight="1">
      <c r="A69" s="49">
        <v>14</v>
      </c>
      <c r="B69" s="66" t="s">
        <v>196</v>
      </c>
      <c r="C69" s="72" t="s">
        <v>197</v>
      </c>
      <c r="D69" s="66" t="s">
        <v>69</v>
      </c>
      <c r="E69" s="18"/>
      <c r="F69" s="63">
        <v>2.16</v>
      </c>
      <c r="G69" s="26">
        <v>6946.99</v>
      </c>
      <c r="H69" s="37"/>
      <c r="J69" s="28"/>
    </row>
    <row r="70" spans="1:20" ht="15.75" hidden="1" customHeight="1">
      <c r="A70" s="91"/>
      <c r="B70" s="173" t="s">
        <v>170</v>
      </c>
      <c r="C70" s="173"/>
      <c r="D70" s="173"/>
      <c r="E70" s="173"/>
      <c r="F70" s="173"/>
      <c r="G70" s="26"/>
    </row>
    <row r="71" spans="1:20" ht="15.75" hidden="1" customHeight="1">
      <c r="A71" s="49">
        <v>36</v>
      </c>
      <c r="B71" s="176" t="s">
        <v>171</v>
      </c>
      <c r="C71" s="179"/>
      <c r="D71" s="180" t="s">
        <v>65</v>
      </c>
      <c r="E71" s="177">
        <v>0</v>
      </c>
      <c r="F71" s="65">
        <v>12960</v>
      </c>
      <c r="G71" s="26">
        <v>0</v>
      </c>
    </row>
    <row r="72" spans="1:20" ht="15.75" hidden="1" customHeight="1">
      <c r="A72" s="49"/>
      <c r="B72" s="80" t="s">
        <v>92</v>
      </c>
      <c r="C72" s="80"/>
      <c r="D72" s="80"/>
      <c r="E72" s="26"/>
      <c r="F72" s="49"/>
      <c r="G72" s="26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1"/>
    </row>
    <row r="73" spans="1:20" ht="15.75" hidden="1" customHeight="1">
      <c r="A73" s="49"/>
      <c r="B73" s="66" t="s">
        <v>198</v>
      </c>
      <c r="C73" s="67" t="s">
        <v>199</v>
      </c>
      <c r="D73" s="66" t="s">
        <v>87</v>
      </c>
      <c r="E73" s="26"/>
      <c r="F73" s="63">
        <v>976.4</v>
      </c>
      <c r="G73" s="26">
        <v>0</v>
      </c>
      <c r="H73" s="41"/>
      <c r="I73" s="41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20" ht="15.75" hidden="1" customHeight="1">
      <c r="A74" s="49"/>
      <c r="B74" s="66" t="s">
        <v>172</v>
      </c>
      <c r="C74" s="67" t="s">
        <v>200</v>
      </c>
      <c r="D74" s="66" t="s">
        <v>87</v>
      </c>
      <c r="E74" s="26"/>
      <c r="F74" s="63">
        <v>735</v>
      </c>
      <c r="G74" s="26">
        <v>0</v>
      </c>
      <c r="H74" s="4"/>
      <c r="I74" s="4"/>
      <c r="J74" s="4"/>
      <c r="K74" s="4"/>
      <c r="L74" s="4"/>
      <c r="M74" s="4"/>
      <c r="N74" s="4"/>
      <c r="O74" s="4"/>
      <c r="Q74" s="4"/>
      <c r="R74" s="4"/>
      <c r="S74" s="4"/>
    </row>
    <row r="75" spans="1:20" ht="15.75" hidden="1" customHeight="1">
      <c r="A75" s="49"/>
      <c r="B75" s="66" t="s">
        <v>93</v>
      </c>
      <c r="C75" s="67" t="s">
        <v>95</v>
      </c>
      <c r="D75" s="66" t="s">
        <v>87</v>
      </c>
      <c r="E75" s="26"/>
      <c r="F75" s="63">
        <v>624.16999999999996</v>
      </c>
      <c r="G75" s="26">
        <v>0</v>
      </c>
      <c r="H75" s="6"/>
      <c r="I75" s="6"/>
      <c r="J75" s="6"/>
      <c r="K75" s="6"/>
      <c r="L75" s="6"/>
      <c r="M75" s="6"/>
      <c r="N75" s="6"/>
      <c r="O75" s="6"/>
      <c r="P75" s="260"/>
      <c r="Q75" s="260"/>
      <c r="R75" s="260"/>
      <c r="S75" s="260"/>
    </row>
    <row r="76" spans="1:20" ht="15.75" hidden="1" customHeight="1">
      <c r="A76" s="49"/>
      <c r="B76" s="66" t="s">
        <v>94</v>
      </c>
      <c r="C76" s="67" t="s">
        <v>34</v>
      </c>
      <c r="D76" s="66" t="s">
        <v>87</v>
      </c>
      <c r="E76" s="26"/>
      <c r="F76" s="63">
        <v>1061.4100000000001</v>
      </c>
      <c r="G76" s="26">
        <v>0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20" ht="15.75" hidden="1" customHeight="1">
      <c r="A77" s="49">
        <v>17</v>
      </c>
      <c r="B77" s="66" t="s">
        <v>201</v>
      </c>
      <c r="C77" s="67" t="s">
        <v>199</v>
      </c>
      <c r="D77" s="66" t="s">
        <v>87</v>
      </c>
      <c r="E77" s="26"/>
      <c r="F77" s="63">
        <v>976.1</v>
      </c>
      <c r="G77" s="26">
        <v>0</v>
      </c>
    </row>
    <row r="78" spans="1:20" ht="15.75" hidden="1" customHeight="1">
      <c r="A78" s="49"/>
      <c r="B78" s="81" t="s">
        <v>96</v>
      </c>
      <c r="C78" s="67"/>
      <c r="D78" s="49"/>
      <c r="E78" s="26"/>
      <c r="F78" s="63"/>
      <c r="G78" s="26"/>
    </row>
    <row r="79" spans="1:20" ht="15.75" hidden="1" customHeight="1">
      <c r="A79" s="49">
        <v>39</v>
      </c>
      <c r="B79" s="68" t="s">
        <v>173</v>
      </c>
      <c r="C79" s="69" t="s">
        <v>98</v>
      </c>
      <c r="D79" s="178"/>
      <c r="E79" s="26"/>
      <c r="F79" s="64">
        <v>3433.68</v>
      </c>
      <c r="G79" s="26">
        <v>0</v>
      </c>
    </row>
    <row r="80" spans="1:20" ht="15.75" customHeight="1">
      <c r="A80" s="49"/>
      <c r="B80" s="173" t="s">
        <v>75</v>
      </c>
      <c r="C80" s="173"/>
      <c r="D80" s="173"/>
      <c r="E80" s="26"/>
      <c r="F80" s="49"/>
      <c r="G80" s="26"/>
    </row>
    <row r="81" spans="1:7" ht="15.75" customHeight="1">
      <c r="A81" s="49">
        <v>15</v>
      </c>
      <c r="B81" s="181" t="s">
        <v>175</v>
      </c>
      <c r="C81" s="67" t="s">
        <v>68</v>
      </c>
      <c r="D81" s="182"/>
      <c r="E81" s="22">
        <v>327.9</v>
      </c>
      <c r="F81" s="183">
        <v>2.95</v>
      </c>
      <c r="G81" s="19">
        <v>9487.7900000000009</v>
      </c>
    </row>
    <row r="82" spans="1:7" ht="31.5" customHeight="1">
      <c r="A82" s="49">
        <v>16</v>
      </c>
      <c r="B82" s="66" t="s">
        <v>99</v>
      </c>
      <c r="C82" s="67"/>
      <c r="D82" s="184"/>
      <c r="E82" s="22"/>
      <c r="F82" s="63">
        <v>3.05</v>
      </c>
      <c r="G82" s="19">
        <v>9809.41</v>
      </c>
    </row>
    <row r="83" spans="1:7" ht="15.75" customHeight="1">
      <c r="A83" s="91"/>
      <c r="B83" s="70" t="s">
        <v>103</v>
      </c>
      <c r="C83" s="72"/>
      <c r="D83" s="22"/>
      <c r="E83" s="22"/>
      <c r="F83" s="26"/>
      <c r="G83" s="55">
        <f>SUM(G16+G17+G18+G26+G27+G37+G38+G39+G41+G42+G43+G49+G56+G69+G81+G82)</f>
        <v>62752.770000000004</v>
      </c>
    </row>
    <row r="84" spans="1:7" ht="15.75" customHeight="1">
      <c r="A84" s="91"/>
      <c r="B84" s="185" t="s">
        <v>76</v>
      </c>
      <c r="C84" s="185"/>
      <c r="D84" s="185"/>
      <c r="E84" s="185"/>
      <c r="F84" s="185"/>
      <c r="G84" s="185"/>
    </row>
    <row r="85" spans="1:7" ht="15.75" customHeight="1">
      <c r="A85" s="49">
        <v>17</v>
      </c>
      <c r="B85" s="186" t="s">
        <v>203</v>
      </c>
      <c r="C85" s="187" t="s">
        <v>174</v>
      </c>
      <c r="D85" s="63">
        <v>2</v>
      </c>
      <c r="E85" s="22"/>
      <c r="F85" s="63">
        <v>1063.47</v>
      </c>
      <c r="G85" s="19">
        <v>2126.94</v>
      </c>
    </row>
    <row r="86" spans="1:7" ht="31.5" customHeight="1">
      <c r="A86" s="49">
        <v>18</v>
      </c>
      <c r="B86" s="186" t="s">
        <v>208</v>
      </c>
      <c r="C86" s="194" t="s">
        <v>209</v>
      </c>
      <c r="D86" s="63">
        <v>1</v>
      </c>
      <c r="E86" s="22"/>
      <c r="F86" s="190">
        <v>51.39</v>
      </c>
      <c r="G86" s="19">
        <v>51.39</v>
      </c>
    </row>
    <row r="87" spans="1:7" ht="15.75" customHeight="1">
      <c r="A87" s="49"/>
      <c r="B87" s="77" t="s">
        <v>62</v>
      </c>
      <c r="C87" s="73"/>
      <c r="D87" s="93"/>
      <c r="E87" s="73">
        <v>1</v>
      </c>
      <c r="F87" s="73"/>
      <c r="G87" s="55">
        <f>SUM(G85:G86)</f>
        <v>2178.33</v>
      </c>
    </row>
    <row r="88" spans="1:7" ht="15.75" customHeight="1">
      <c r="A88" s="49"/>
      <c r="B88" s="83" t="s">
        <v>100</v>
      </c>
      <c r="C88" s="22"/>
      <c r="D88" s="22"/>
      <c r="E88" s="74"/>
      <c r="F88" s="75"/>
      <c r="G88" s="25">
        <v>0</v>
      </c>
    </row>
    <row r="89" spans="1:7" ht="15.75" customHeight="1">
      <c r="A89" s="94"/>
      <c r="B89" s="78" t="s">
        <v>63</v>
      </c>
      <c r="C89" s="61"/>
      <c r="D89" s="61"/>
      <c r="E89" s="61"/>
      <c r="F89" s="61"/>
      <c r="G89" s="76">
        <f>G83+G87</f>
        <v>64931.100000000006</v>
      </c>
    </row>
    <row r="90" spans="1:7" ht="15.75" customHeight="1">
      <c r="A90" s="269" t="s">
        <v>210</v>
      </c>
      <c r="B90" s="269"/>
      <c r="C90" s="269"/>
      <c r="D90" s="269"/>
      <c r="E90" s="269"/>
      <c r="F90" s="269"/>
      <c r="G90" s="269"/>
    </row>
    <row r="91" spans="1:7" ht="15.75" customHeight="1">
      <c r="A91" s="172"/>
      <c r="B91" s="262" t="s">
        <v>211</v>
      </c>
      <c r="C91" s="262"/>
      <c r="D91" s="262"/>
      <c r="E91" s="262"/>
      <c r="F91" s="262"/>
      <c r="G91" s="4"/>
    </row>
    <row r="92" spans="1:7" ht="15.75" customHeight="1">
      <c r="A92" s="167"/>
      <c r="B92" s="258" t="s">
        <v>6</v>
      </c>
      <c r="C92" s="258"/>
      <c r="D92" s="258"/>
      <c r="E92" s="258"/>
      <c r="F92" s="258"/>
      <c r="G92" s="6"/>
    </row>
    <row r="93" spans="1:7" ht="15.75" customHeight="1">
      <c r="A93" s="12"/>
      <c r="B93" s="12"/>
      <c r="C93" s="12"/>
      <c r="D93" s="12"/>
      <c r="E93" s="12"/>
      <c r="F93" s="12"/>
      <c r="G93" s="12"/>
    </row>
    <row r="94" spans="1:7" ht="15.75" customHeight="1">
      <c r="A94" s="263" t="s">
        <v>7</v>
      </c>
      <c r="B94" s="263"/>
      <c r="C94" s="263"/>
      <c r="D94" s="263"/>
      <c r="E94" s="263"/>
      <c r="F94" s="263"/>
      <c r="G94" s="263"/>
    </row>
    <row r="95" spans="1:7" ht="15.75" customHeight="1">
      <c r="A95" s="263" t="s">
        <v>8</v>
      </c>
      <c r="B95" s="263"/>
      <c r="C95" s="263"/>
      <c r="D95" s="263"/>
      <c r="E95" s="263"/>
      <c r="F95" s="263"/>
      <c r="G95" s="263"/>
    </row>
    <row r="96" spans="1:7" ht="15.75" customHeight="1">
      <c r="A96" s="264" t="s">
        <v>79</v>
      </c>
      <c r="B96" s="264"/>
      <c r="C96" s="264"/>
      <c r="D96" s="264"/>
      <c r="E96" s="264"/>
      <c r="F96" s="264"/>
      <c r="G96" s="264"/>
    </row>
    <row r="97" spans="1:7" ht="15.75" customHeight="1">
      <c r="A97" s="13"/>
    </row>
    <row r="98" spans="1:7" ht="15.75" customHeight="1">
      <c r="A98" s="265" t="s">
        <v>10</v>
      </c>
      <c r="B98" s="265"/>
      <c r="C98" s="265"/>
      <c r="D98" s="265"/>
      <c r="E98" s="265"/>
      <c r="F98" s="265"/>
      <c r="G98" s="265"/>
    </row>
    <row r="99" spans="1:7" ht="15.75" customHeight="1">
      <c r="A99" s="5"/>
    </row>
    <row r="100" spans="1:7" ht="15.75" customHeight="1">
      <c r="B100" s="170" t="s">
        <v>11</v>
      </c>
      <c r="C100" s="257" t="s">
        <v>176</v>
      </c>
      <c r="D100" s="257"/>
      <c r="E100" s="257"/>
      <c r="G100" s="171"/>
    </row>
    <row r="101" spans="1:7" ht="15.75" customHeight="1">
      <c r="A101" s="167"/>
      <c r="C101" s="258" t="s">
        <v>12</v>
      </c>
      <c r="D101" s="258"/>
      <c r="E101" s="258"/>
      <c r="G101" s="169" t="s">
        <v>13</v>
      </c>
    </row>
    <row r="102" spans="1:7" ht="15.75" customHeight="1">
      <c r="A102" s="41"/>
      <c r="C102" s="14"/>
      <c r="D102" s="14"/>
      <c r="F102" s="14"/>
    </row>
    <row r="103" spans="1:7" ht="15.75" customHeight="1">
      <c r="B103" s="170" t="s">
        <v>14</v>
      </c>
      <c r="C103" s="259"/>
      <c r="D103" s="259"/>
      <c r="E103" s="259"/>
      <c r="G103" s="171"/>
    </row>
    <row r="104" spans="1:7" ht="15.75" customHeight="1">
      <c r="A104" s="167"/>
      <c r="C104" s="260" t="s">
        <v>12</v>
      </c>
      <c r="D104" s="260"/>
      <c r="E104" s="260"/>
      <c r="G104" s="169" t="s">
        <v>13</v>
      </c>
    </row>
    <row r="105" spans="1:7" ht="15.75" customHeight="1">
      <c r="A105" s="5" t="s">
        <v>15</v>
      </c>
    </row>
    <row r="106" spans="1:7" ht="15.75" customHeight="1">
      <c r="A106" s="261" t="s">
        <v>16</v>
      </c>
      <c r="B106" s="261"/>
      <c r="C106" s="261"/>
      <c r="D106" s="261"/>
      <c r="E106" s="261"/>
      <c r="F106" s="261"/>
      <c r="G106" s="261"/>
    </row>
    <row r="107" spans="1:7" ht="47.25" customHeight="1">
      <c r="A107" s="251" t="s">
        <v>17</v>
      </c>
      <c r="B107" s="251"/>
      <c r="C107" s="251"/>
      <c r="D107" s="251"/>
      <c r="E107" s="251"/>
      <c r="F107" s="251"/>
      <c r="G107" s="251"/>
    </row>
    <row r="108" spans="1:7" ht="31.5" customHeight="1">
      <c r="A108" s="251" t="s">
        <v>18</v>
      </c>
      <c r="B108" s="251"/>
      <c r="C108" s="251"/>
      <c r="D108" s="251"/>
      <c r="E108" s="251"/>
      <c r="F108" s="251"/>
      <c r="G108" s="251"/>
    </row>
    <row r="109" spans="1:7" ht="31.5" customHeight="1">
      <c r="A109" s="251" t="s">
        <v>23</v>
      </c>
      <c r="B109" s="251"/>
      <c r="C109" s="251"/>
      <c r="D109" s="251"/>
      <c r="E109" s="251"/>
      <c r="F109" s="251"/>
      <c r="G109" s="251"/>
    </row>
    <row r="110" spans="1:7" ht="15.75" customHeight="1">
      <c r="A110" s="251" t="s">
        <v>22</v>
      </c>
      <c r="B110" s="251"/>
      <c r="C110" s="251"/>
      <c r="D110" s="251"/>
      <c r="E110" s="251"/>
      <c r="F110" s="251"/>
      <c r="G110" s="251"/>
    </row>
  </sheetData>
  <autoFilter ref="G14:G70"/>
  <mergeCells count="27">
    <mergeCell ref="A110:G110"/>
    <mergeCell ref="C104:E104"/>
    <mergeCell ref="A106:G106"/>
    <mergeCell ref="A107:G107"/>
    <mergeCell ref="A108:G108"/>
    <mergeCell ref="A109:G109"/>
    <mergeCell ref="A96:G96"/>
    <mergeCell ref="A98:G98"/>
    <mergeCell ref="C100:E100"/>
    <mergeCell ref="C101:E101"/>
    <mergeCell ref="C103:E103"/>
    <mergeCell ref="A90:G90"/>
    <mergeCell ref="B91:F91"/>
    <mergeCell ref="B92:F92"/>
    <mergeCell ref="A94:G94"/>
    <mergeCell ref="A95:G95"/>
    <mergeCell ref="A3:G3"/>
    <mergeCell ref="A4:G4"/>
    <mergeCell ref="A8:G8"/>
    <mergeCell ref="A14:G14"/>
    <mergeCell ref="A15:G15"/>
    <mergeCell ref="P75:S75"/>
    <mergeCell ref="A5:G5"/>
    <mergeCell ref="A10:G10"/>
    <mergeCell ref="A28:G28"/>
    <mergeCell ref="A44:G44"/>
    <mergeCell ref="A54:G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259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104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42429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hidden="1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hidden="1" customHeight="1">
      <c r="A29" s="212"/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hidden="1" customHeight="1">
      <c r="A30" s="212"/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hidden="1" customHeight="1">
      <c r="A32" s="212"/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customHeight="1">
      <c r="A57" s="212">
        <v>14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customHeight="1">
      <c r="A61" s="23">
        <v>15</v>
      </c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f>G61</f>
        <v>222.4</v>
      </c>
      <c r="J61" s="37"/>
      <c r="L61" s="28"/>
    </row>
    <row r="62" spans="1:14" ht="15.75" customHeight="1">
      <c r="A62" s="23">
        <v>16</v>
      </c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f>G62*5</f>
        <v>381.25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256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17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18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I16+I17+I18+I26+I27+I36+I37+I38+I40+I41+I42+I43+I50+I57+I61+I62+I78+I79</f>
        <v>44867.547974083325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31.5" customHeight="1">
      <c r="A82" s="217">
        <v>19</v>
      </c>
      <c r="B82" s="218" t="s">
        <v>231</v>
      </c>
      <c r="C82" s="49" t="s">
        <v>229</v>
      </c>
      <c r="D82" s="83"/>
      <c r="E82" s="19"/>
      <c r="F82" s="19">
        <v>3</v>
      </c>
      <c r="G82" s="19">
        <v>1835.8</v>
      </c>
      <c r="H82" s="220">
        <f t="shared" ref="H82:H84" si="7">G82*F82/1000</f>
        <v>5.5073999999999996</v>
      </c>
      <c r="I82" s="19">
        <f>G82</f>
        <v>1835.8</v>
      </c>
    </row>
    <row r="83" spans="1:9" ht="15.75" customHeight="1">
      <c r="A83" s="194">
        <v>20</v>
      </c>
      <c r="B83" s="186" t="s">
        <v>232</v>
      </c>
      <c r="C83" s="194" t="s">
        <v>114</v>
      </c>
      <c r="D83" s="83"/>
      <c r="E83" s="19"/>
      <c r="F83" s="19">
        <v>2</v>
      </c>
      <c r="G83" s="19">
        <v>185.81</v>
      </c>
      <c r="H83" s="220">
        <f t="shared" si="7"/>
        <v>0.37162000000000001</v>
      </c>
      <c r="I83" s="19">
        <f t="shared" ref="I83:I84" si="8">G83</f>
        <v>185.81</v>
      </c>
    </row>
    <row r="84" spans="1:9" ht="15.75" customHeight="1">
      <c r="A84" s="194">
        <v>21</v>
      </c>
      <c r="B84" s="186" t="s">
        <v>108</v>
      </c>
      <c r="C84" s="194" t="s">
        <v>165</v>
      </c>
      <c r="D84" s="83"/>
      <c r="E84" s="19"/>
      <c r="F84" s="19">
        <v>4</v>
      </c>
      <c r="G84" s="19">
        <v>180.15</v>
      </c>
      <c r="H84" s="220">
        <f t="shared" si="7"/>
        <v>0.72060000000000002</v>
      </c>
      <c r="I84" s="19">
        <f t="shared" si="8"/>
        <v>180.15</v>
      </c>
    </row>
    <row r="85" spans="1:9" ht="15.75" customHeight="1">
      <c r="A85" s="49"/>
      <c r="B85" s="77" t="s">
        <v>62</v>
      </c>
      <c r="C85" s="73"/>
      <c r="D85" s="93"/>
      <c r="E85" s="73">
        <v>1</v>
      </c>
      <c r="F85" s="73"/>
      <c r="G85" s="73"/>
      <c r="H85" s="73"/>
      <c r="I85" s="55">
        <f>SUM(I82:I84)</f>
        <v>2201.7599999999998</v>
      </c>
    </row>
    <row r="86" spans="1:9" ht="15.75" customHeight="1">
      <c r="A86" s="49"/>
      <c r="B86" s="83" t="s">
        <v>100</v>
      </c>
      <c r="C86" s="22"/>
      <c r="D86" s="22"/>
      <c r="E86" s="74"/>
      <c r="F86" s="74"/>
      <c r="G86" s="75"/>
      <c r="H86" s="75"/>
      <c r="I86" s="25">
        <v>0</v>
      </c>
    </row>
    <row r="87" spans="1:9" ht="15.75" customHeight="1">
      <c r="A87" s="94"/>
      <c r="B87" s="78" t="s">
        <v>63</v>
      </c>
      <c r="C87" s="61"/>
      <c r="D87" s="61"/>
      <c r="E87" s="61"/>
      <c r="F87" s="61"/>
      <c r="G87" s="61"/>
      <c r="H87" s="61"/>
      <c r="I87" s="76">
        <f>I80+I85</f>
        <v>47069.307974083327</v>
      </c>
    </row>
    <row r="88" spans="1:9" ht="15.75" customHeight="1">
      <c r="A88" s="269" t="s">
        <v>260</v>
      </c>
      <c r="B88" s="269"/>
      <c r="C88" s="269"/>
      <c r="D88" s="269"/>
      <c r="E88" s="269"/>
      <c r="F88" s="269"/>
      <c r="G88" s="269"/>
      <c r="H88" s="269"/>
      <c r="I88" s="269"/>
    </row>
    <row r="89" spans="1:9" ht="15.75" customHeight="1">
      <c r="A89" s="201"/>
      <c r="B89" s="262" t="s">
        <v>261</v>
      </c>
      <c r="C89" s="262"/>
      <c r="D89" s="262"/>
      <c r="E89" s="262"/>
      <c r="F89" s="262"/>
      <c r="G89" s="262"/>
      <c r="H89" s="211"/>
      <c r="I89" s="4"/>
    </row>
    <row r="90" spans="1:9" ht="15.75" customHeight="1">
      <c r="A90" s="195"/>
      <c r="B90" s="258" t="s">
        <v>6</v>
      </c>
      <c r="C90" s="258"/>
      <c r="D90" s="258"/>
      <c r="E90" s="258"/>
      <c r="F90" s="258"/>
      <c r="G90" s="258"/>
      <c r="H90" s="40"/>
      <c r="I90" s="6"/>
    </row>
    <row r="91" spans="1:9" ht="15.75" customHeight="1">
      <c r="A91" s="12"/>
      <c r="B91" s="12"/>
      <c r="C91" s="12"/>
      <c r="D91" s="12"/>
      <c r="E91" s="12"/>
      <c r="F91" s="12"/>
      <c r="G91" s="12"/>
      <c r="H91" s="12"/>
      <c r="I91" s="12"/>
    </row>
    <row r="92" spans="1:9" ht="15.75" customHeight="1">
      <c r="A92" s="263" t="s">
        <v>7</v>
      </c>
      <c r="B92" s="263"/>
      <c r="C92" s="263"/>
      <c r="D92" s="263"/>
      <c r="E92" s="263"/>
      <c r="F92" s="263"/>
      <c r="G92" s="263"/>
      <c r="H92" s="263"/>
      <c r="I92" s="263"/>
    </row>
    <row r="93" spans="1:9" ht="15.75" customHeight="1">
      <c r="A93" s="263" t="s">
        <v>8</v>
      </c>
      <c r="B93" s="263"/>
      <c r="C93" s="263"/>
      <c r="D93" s="263"/>
      <c r="E93" s="263"/>
      <c r="F93" s="263"/>
      <c r="G93" s="263"/>
      <c r="H93" s="263"/>
      <c r="I93" s="263"/>
    </row>
    <row r="94" spans="1:9" ht="15.75" customHeight="1">
      <c r="A94" s="264" t="s">
        <v>79</v>
      </c>
      <c r="B94" s="264"/>
      <c r="C94" s="264"/>
      <c r="D94" s="264"/>
      <c r="E94" s="264"/>
      <c r="F94" s="264"/>
      <c r="G94" s="264"/>
      <c r="H94" s="264"/>
      <c r="I94" s="264"/>
    </row>
    <row r="95" spans="1:9" ht="15.75" customHeight="1">
      <c r="A95" s="13"/>
    </row>
    <row r="96" spans="1:9" ht="15.75" customHeight="1">
      <c r="A96" s="265" t="s">
        <v>10</v>
      </c>
      <c r="B96" s="265"/>
      <c r="C96" s="265"/>
      <c r="D96" s="265"/>
      <c r="E96" s="265"/>
      <c r="F96" s="265"/>
      <c r="G96" s="265"/>
      <c r="H96" s="265"/>
      <c r="I96" s="265"/>
    </row>
    <row r="97" spans="1:9" ht="15.75" customHeight="1">
      <c r="A97" s="5"/>
    </row>
    <row r="98" spans="1:9" ht="15.75" customHeight="1">
      <c r="B98" s="200" t="s">
        <v>11</v>
      </c>
      <c r="C98" s="257" t="s">
        <v>176</v>
      </c>
      <c r="D98" s="257"/>
      <c r="E98" s="257"/>
      <c r="F98" s="209"/>
      <c r="I98" s="197"/>
    </row>
    <row r="99" spans="1:9" ht="15.75" customHeight="1">
      <c r="A99" s="195"/>
      <c r="C99" s="258" t="s">
        <v>12</v>
      </c>
      <c r="D99" s="258"/>
      <c r="E99" s="258"/>
      <c r="F99" s="40"/>
      <c r="I99" s="196" t="s">
        <v>13</v>
      </c>
    </row>
    <row r="100" spans="1:9" ht="15.75" customHeight="1">
      <c r="A100" s="41"/>
      <c r="C100" s="14"/>
      <c r="D100" s="14"/>
      <c r="G100" s="14"/>
      <c r="H100" s="14"/>
    </row>
    <row r="101" spans="1:9" ht="15.75" customHeight="1">
      <c r="B101" s="200" t="s">
        <v>14</v>
      </c>
      <c r="C101" s="259"/>
      <c r="D101" s="259"/>
      <c r="E101" s="259"/>
      <c r="F101" s="210"/>
      <c r="I101" s="197"/>
    </row>
    <row r="102" spans="1:9" ht="15.75" customHeight="1">
      <c r="A102" s="195"/>
      <c r="C102" s="260" t="s">
        <v>12</v>
      </c>
      <c r="D102" s="260"/>
      <c r="E102" s="260"/>
      <c r="F102" s="195"/>
      <c r="I102" s="196" t="s">
        <v>13</v>
      </c>
    </row>
    <row r="103" spans="1:9" ht="15.75" customHeight="1">
      <c r="A103" s="5" t="s">
        <v>15</v>
      </c>
    </row>
    <row r="104" spans="1:9" ht="15.75" customHeight="1">
      <c r="A104" s="261" t="s">
        <v>16</v>
      </c>
      <c r="B104" s="261"/>
      <c r="C104" s="261"/>
      <c r="D104" s="261"/>
      <c r="E104" s="261"/>
      <c r="F104" s="261"/>
      <c r="G104" s="261"/>
      <c r="H104" s="261"/>
      <c r="I104" s="261"/>
    </row>
    <row r="105" spans="1:9" ht="47.25" customHeight="1">
      <c r="A105" s="251" t="s">
        <v>17</v>
      </c>
      <c r="B105" s="251"/>
      <c r="C105" s="251"/>
      <c r="D105" s="251"/>
      <c r="E105" s="251"/>
      <c r="F105" s="251"/>
      <c r="G105" s="251"/>
      <c r="H105" s="251"/>
      <c r="I105" s="251"/>
    </row>
    <row r="106" spans="1:9" ht="31.5" customHeight="1">
      <c r="A106" s="251" t="s">
        <v>18</v>
      </c>
      <c r="B106" s="251"/>
      <c r="C106" s="251"/>
      <c r="D106" s="251"/>
      <c r="E106" s="251"/>
      <c r="F106" s="251"/>
      <c r="G106" s="251"/>
      <c r="H106" s="251"/>
      <c r="I106" s="251"/>
    </row>
    <row r="107" spans="1:9" ht="31.5" customHeight="1">
      <c r="A107" s="251" t="s">
        <v>23</v>
      </c>
      <c r="B107" s="251"/>
      <c r="C107" s="251"/>
      <c r="D107" s="251"/>
      <c r="E107" s="251"/>
      <c r="F107" s="251"/>
      <c r="G107" s="251"/>
      <c r="H107" s="251"/>
      <c r="I107" s="251"/>
    </row>
    <row r="108" spans="1:9" ht="15.75" customHeight="1">
      <c r="A108" s="251" t="s">
        <v>22</v>
      </c>
      <c r="B108" s="251"/>
      <c r="C108" s="251"/>
      <c r="D108" s="251"/>
      <c r="E108" s="251"/>
      <c r="F108" s="251"/>
      <c r="G108" s="251"/>
      <c r="H108" s="251"/>
      <c r="I108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2:E102"/>
    <mergeCell ref="A77:I77"/>
    <mergeCell ref="A88:I88"/>
    <mergeCell ref="B89:G89"/>
    <mergeCell ref="B90:G90"/>
    <mergeCell ref="A92:I92"/>
    <mergeCell ref="A93:I93"/>
    <mergeCell ref="A94:I94"/>
    <mergeCell ref="A96:I96"/>
    <mergeCell ref="C98:E98"/>
    <mergeCell ref="C99:E99"/>
    <mergeCell ref="C101:E101"/>
    <mergeCell ref="A104:I104"/>
    <mergeCell ref="A105:I105"/>
    <mergeCell ref="A106:I106"/>
    <mergeCell ref="A107:I107"/>
    <mergeCell ref="A108:I108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6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262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106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42460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hidden="1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hidden="1" customHeight="1">
      <c r="A29" s="212"/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hidden="1" customHeight="1">
      <c r="A30" s="212"/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hidden="1" customHeight="1">
      <c r="A32" s="212"/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hidden="1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customHeight="1">
      <c r="A51" s="212">
        <v>13</v>
      </c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f>F51/2*G51</f>
        <v>1094.6221</v>
      </c>
      <c r="J51" s="37"/>
      <c r="L51" s="28"/>
      <c r="M51" s="29"/>
      <c r="N51" s="30"/>
    </row>
    <row r="52" spans="1:14" ht="31.5" customHeight="1">
      <c r="A52" s="212">
        <v>14</v>
      </c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f t="shared" ref="I52:I53" si="6">F52/2*G52</f>
        <v>436.8784</v>
      </c>
      <c r="J52" s="37"/>
      <c r="L52" s="28"/>
      <c r="M52" s="29"/>
      <c r="N52" s="30"/>
    </row>
    <row r="53" spans="1:14" ht="15.75" customHeight="1">
      <c r="A53" s="212">
        <v>15</v>
      </c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f t="shared" si="6"/>
        <v>56.521300000000004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customHeight="1">
      <c r="A57" s="212">
        <v>16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hidden="1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7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7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7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7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7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7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7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7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7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7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256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17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18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I16+I17+I18+I26+I27+I36+I37+I38+I40+I41+I42+I43+I51+I52+I53+I57+I78+I79</f>
        <v>44757.29767408334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31.5" customHeight="1">
      <c r="A82" s="217">
        <v>19</v>
      </c>
      <c r="B82" s="218" t="s">
        <v>231</v>
      </c>
      <c r="C82" s="49" t="s">
        <v>229</v>
      </c>
      <c r="D82" s="83"/>
      <c r="E82" s="19"/>
      <c r="F82" s="19">
        <v>3</v>
      </c>
      <c r="G82" s="19">
        <v>1835.8</v>
      </c>
      <c r="H82" s="220">
        <f t="shared" ref="H82" si="8">G82*F82/1000</f>
        <v>5.5073999999999996</v>
      </c>
      <c r="I82" s="19">
        <f>G82</f>
        <v>1835.8</v>
      </c>
    </row>
    <row r="83" spans="1:9" ht="15.75" customHeight="1">
      <c r="A83" s="49"/>
      <c r="B83" s="77" t="s">
        <v>62</v>
      </c>
      <c r="C83" s="73"/>
      <c r="D83" s="93"/>
      <c r="E83" s="73">
        <v>1</v>
      </c>
      <c r="F83" s="73"/>
      <c r="G83" s="73"/>
      <c r="H83" s="73"/>
      <c r="I83" s="55">
        <f>SUM(I82:I82)</f>
        <v>1835.8</v>
      </c>
    </row>
    <row r="84" spans="1:9" ht="15.75" customHeight="1">
      <c r="A84" s="49"/>
      <c r="B84" s="83" t="s">
        <v>100</v>
      </c>
      <c r="C84" s="22"/>
      <c r="D84" s="22"/>
      <c r="E84" s="74"/>
      <c r="F84" s="74"/>
      <c r="G84" s="75"/>
      <c r="H84" s="75"/>
      <c r="I84" s="25">
        <v>0</v>
      </c>
    </row>
    <row r="85" spans="1:9" ht="15.75" customHeight="1">
      <c r="A85" s="94"/>
      <c r="B85" s="78" t="s">
        <v>63</v>
      </c>
      <c r="C85" s="61"/>
      <c r="D85" s="61"/>
      <c r="E85" s="61"/>
      <c r="F85" s="61"/>
      <c r="G85" s="61"/>
      <c r="H85" s="61"/>
      <c r="I85" s="76">
        <f>I80+I83</f>
        <v>46593.097674083343</v>
      </c>
    </row>
    <row r="86" spans="1:9" ht="15.75" customHeight="1">
      <c r="A86" s="269" t="s">
        <v>263</v>
      </c>
      <c r="B86" s="269"/>
      <c r="C86" s="269"/>
      <c r="D86" s="269"/>
      <c r="E86" s="269"/>
      <c r="F86" s="269"/>
      <c r="G86" s="269"/>
      <c r="H86" s="269"/>
      <c r="I86" s="269"/>
    </row>
    <row r="87" spans="1:9" ht="15.75" customHeight="1">
      <c r="A87" s="201"/>
      <c r="B87" s="262" t="s">
        <v>264</v>
      </c>
      <c r="C87" s="262"/>
      <c r="D87" s="262"/>
      <c r="E87" s="262"/>
      <c r="F87" s="262"/>
      <c r="G87" s="262"/>
      <c r="H87" s="211"/>
      <c r="I87" s="4"/>
    </row>
    <row r="88" spans="1:9" ht="15.75" customHeight="1">
      <c r="A88" s="195"/>
      <c r="B88" s="258" t="s">
        <v>6</v>
      </c>
      <c r="C88" s="258"/>
      <c r="D88" s="258"/>
      <c r="E88" s="258"/>
      <c r="F88" s="258"/>
      <c r="G88" s="258"/>
      <c r="H88" s="40"/>
      <c r="I88" s="6"/>
    </row>
    <row r="89" spans="1:9" ht="15.75" customHeight="1">
      <c r="A89" s="12"/>
      <c r="B89" s="12"/>
      <c r="C89" s="12"/>
      <c r="D89" s="12"/>
      <c r="E89" s="12"/>
      <c r="F89" s="12"/>
      <c r="G89" s="12"/>
      <c r="H89" s="12"/>
      <c r="I89" s="12"/>
    </row>
    <row r="90" spans="1:9" ht="15.75" customHeight="1">
      <c r="A90" s="263" t="s">
        <v>7</v>
      </c>
      <c r="B90" s="263"/>
      <c r="C90" s="263"/>
      <c r="D90" s="263"/>
      <c r="E90" s="263"/>
      <c r="F90" s="263"/>
      <c r="G90" s="263"/>
      <c r="H90" s="263"/>
      <c r="I90" s="263"/>
    </row>
    <row r="91" spans="1:9" ht="15.75" customHeight="1">
      <c r="A91" s="263" t="s">
        <v>8</v>
      </c>
      <c r="B91" s="263"/>
      <c r="C91" s="263"/>
      <c r="D91" s="263"/>
      <c r="E91" s="263"/>
      <c r="F91" s="263"/>
      <c r="G91" s="263"/>
      <c r="H91" s="263"/>
      <c r="I91" s="263"/>
    </row>
    <row r="92" spans="1:9" ht="15.75" customHeight="1">
      <c r="A92" s="264" t="s">
        <v>79</v>
      </c>
      <c r="B92" s="264"/>
      <c r="C92" s="264"/>
      <c r="D92" s="264"/>
      <c r="E92" s="264"/>
      <c r="F92" s="264"/>
      <c r="G92" s="264"/>
      <c r="H92" s="264"/>
      <c r="I92" s="264"/>
    </row>
    <row r="93" spans="1:9" ht="15.75" customHeight="1">
      <c r="A93" s="13"/>
    </row>
    <row r="94" spans="1:9" ht="15.75" customHeight="1">
      <c r="A94" s="265" t="s">
        <v>10</v>
      </c>
      <c r="B94" s="265"/>
      <c r="C94" s="265"/>
      <c r="D94" s="265"/>
      <c r="E94" s="265"/>
      <c r="F94" s="265"/>
      <c r="G94" s="265"/>
      <c r="H94" s="265"/>
      <c r="I94" s="265"/>
    </row>
    <row r="95" spans="1:9" ht="15.75" customHeight="1">
      <c r="A95" s="5"/>
    </row>
    <row r="96" spans="1:9" ht="15.75" customHeight="1">
      <c r="B96" s="200" t="s">
        <v>11</v>
      </c>
      <c r="C96" s="257" t="s">
        <v>176</v>
      </c>
      <c r="D96" s="257"/>
      <c r="E96" s="257"/>
      <c r="F96" s="209"/>
      <c r="I96" s="197"/>
    </row>
    <row r="97" spans="1:9" ht="15.75" customHeight="1">
      <c r="A97" s="195"/>
      <c r="C97" s="258" t="s">
        <v>12</v>
      </c>
      <c r="D97" s="258"/>
      <c r="E97" s="258"/>
      <c r="F97" s="40"/>
      <c r="I97" s="196" t="s">
        <v>13</v>
      </c>
    </row>
    <row r="98" spans="1:9" ht="15.75" customHeight="1">
      <c r="A98" s="41"/>
      <c r="C98" s="14"/>
      <c r="D98" s="14"/>
      <c r="G98" s="14"/>
      <c r="H98" s="14"/>
    </row>
    <row r="99" spans="1:9" ht="15.75" customHeight="1">
      <c r="B99" s="200" t="s">
        <v>14</v>
      </c>
      <c r="C99" s="259"/>
      <c r="D99" s="259"/>
      <c r="E99" s="259"/>
      <c r="F99" s="210"/>
      <c r="I99" s="197"/>
    </row>
    <row r="100" spans="1:9" ht="15.75" customHeight="1">
      <c r="A100" s="195"/>
      <c r="C100" s="260" t="s">
        <v>12</v>
      </c>
      <c r="D100" s="260"/>
      <c r="E100" s="260"/>
      <c r="F100" s="195"/>
      <c r="I100" s="196" t="s">
        <v>13</v>
      </c>
    </row>
    <row r="101" spans="1:9" ht="15.75" customHeight="1">
      <c r="A101" s="5" t="s">
        <v>15</v>
      </c>
    </row>
    <row r="102" spans="1:9" ht="15.75" customHeight="1">
      <c r="A102" s="261" t="s">
        <v>16</v>
      </c>
      <c r="B102" s="261"/>
      <c r="C102" s="261"/>
      <c r="D102" s="261"/>
      <c r="E102" s="261"/>
      <c r="F102" s="261"/>
      <c r="G102" s="261"/>
      <c r="H102" s="261"/>
      <c r="I102" s="261"/>
    </row>
    <row r="103" spans="1:9" ht="47.25" customHeight="1">
      <c r="A103" s="251" t="s">
        <v>17</v>
      </c>
      <c r="B103" s="251"/>
      <c r="C103" s="251"/>
      <c r="D103" s="251"/>
      <c r="E103" s="251"/>
      <c r="F103" s="251"/>
      <c r="G103" s="251"/>
      <c r="H103" s="251"/>
      <c r="I103" s="251"/>
    </row>
    <row r="104" spans="1:9" ht="31.5" customHeight="1">
      <c r="A104" s="251" t="s">
        <v>18</v>
      </c>
      <c r="B104" s="251"/>
      <c r="C104" s="251"/>
      <c r="D104" s="251"/>
      <c r="E104" s="251"/>
      <c r="F104" s="251"/>
      <c r="G104" s="251"/>
      <c r="H104" s="251"/>
      <c r="I104" s="251"/>
    </row>
    <row r="105" spans="1:9" ht="31.5" customHeight="1">
      <c r="A105" s="251" t="s">
        <v>23</v>
      </c>
      <c r="B105" s="251"/>
      <c r="C105" s="251"/>
      <c r="D105" s="251"/>
      <c r="E105" s="251"/>
      <c r="F105" s="251"/>
      <c r="G105" s="251"/>
      <c r="H105" s="251"/>
      <c r="I105" s="251"/>
    </row>
    <row r="106" spans="1:9" ht="15.75" customHeight="1">
      <c r="A106" s="251" t="s">
        <v>22</v>
      </c>
      <c r="B106" s="251"/>
      <c r="C106" s="251"/>
      <c r="D106" s="251"/>
      <c r="E106" s="251"/>
      <c r="F106" s="251"/>
      <c r="G106" s="251"/>
      <c r="H106" s="251"/>
      <c r="I106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0:E100"/>
    <mergeCell ref="A77:I77"/>
    <mergeCell ref="A86:I86"/>
    <mergeCell ref="B87:G87"/>
    <mergeCell ref="B88:G88"/>
    <mergeCell ref="A90:I90"/>
    <mergeCell ref="A91:I91"/>
    <mergeCell ref="A92:I92"/>
    <mergeCell ref="A94:I94"/>
    <mergeCell ref="C96:E96"/>
    <mergeCell ref="C97:E97"/>
    <mergeCell ref="C99:E99"/>
    <mergeCell ref="A102:I102"/>
    <mergeCell ref="A103:I103"/>
    <mergeCell ref="A104:I104"/>
    <mergeCell ref="A105:I105"/>
    <mergeCell ref="A106:I10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265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107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42490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hidden="1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hidden="1" customHeight="1">
      <c r="A29" s="212"/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hidden="1" customHeight="1">
      <c r="A30" s="212"/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hidden="1" customHeight="1">
      <c r="A32" s="212"/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customHeight="1">
      <c r="A39" s="212">
        <v>9</v>
      </c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f>G39*26</f>
        <v>5543.2</v>
      </c>
      <c r="J39" s="37"/>
    </row>
    <row r="40" spans="1:14" ht="15.75" customHeight="1">
      <c r="A40" s="212">
        <v>10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customHeight="1">
      <c r="A41" s="212">
        <v>11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customHeight="1">
      <c r="A42" s="212">
        <v>12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customHeight="1">
      <c r="A43" s="212">
        <v>13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hidden="1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hidden="1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256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16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17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I16+I17+I18+I26+I27+I36+I37+I38+I39+I40+I41+I42+I43+I54+I57+I78+I79</f>
        <v>57118.23587408333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31.5" customHeight="1">
      <c r="A82" s="217">
        <v>18</v>
      </c>
      <c r="B82" s="218" t="s">
        <v>228</v>
      </c>
      <c r="C82" s="49" t="s">
        <v>229</v>
      </c>
      <c r="D82" s="83"/>
      <c r="E82" s="19"/>
      <c r="F82" s="19">
        <v>3</v>
      </c>
      <c r="G82" s="19">
        <v>383.01</v>
      </c>
      <c r="H82" s="220">
        <f>G82*F82/1000</f>
        <v>1.14903</v>
      </c>
      <c r="I82" s="19">
        <f>G82</f>
        <v>383.01</v>
      </c>
    </row>
    <row r="83" spans="1:9" ht="31.5" customHeight="1">
      <c r="A83" s="217">
        <v>19</v>
      </c>
      <c r="B83" s="218" t="s">
        <v>231</v>
      </c>
      <c r="C83" s="49" t="s">
        <v>229</v>
      </c>
      <c r="D83" s="83"/>
      <c r="E83" s="19"/>
      <c r="F83" s="19">
        <v>3</v>
      </c>
      <c r="G83" s="19">
        <v>1835.8</v>
      </c>
      <c r="H83" s="220">
        <f t="shared" ref="H83:H87" si="7">G83*F83/1000</f>
        <v>5.5073999999999996</v>
      </c>
      <c r="I83" s="19">
        <f>G83</f>
        <v>1835.8</v>
      </c>
    </row>
    <row r="84" spans="1:9" ht="15.75" customHeight="1">
      <c r="A84" s="194">
        <v>20</v>
      </c>
      <c r="B84" s="186" t="s">
        <v>108</v>
      </c>
      <c r="C84" s="194" t="s">
        <v>165</v>
      </c>
      <c r="D84" s="83"/>
      <c r="E84" s="19"/>
      <c r="F84" s="19">
        <v>4</v>
      </c>
      <c r="G84" s="19">
        <v>180.15</v>
      </c>
      <c r="H84" s="220">
        <f t="shared" si="7"/>
        <v>0.72060000000000002</v>
      </c>
      <c r="I84" s="19">
        <f>G84*3</f>
        <v>540.45000000000005</v>
      </c>
    </row>
    <row r="85" spans="1:9" ht="31.5" customHeight="1">
      <c r="A85" s="194">
        <v>21</v>
      </c>
      <c r="B85" s="186" t="s">
        <v>233</v>
      </c>
      <c r="C85" s="194" t="s">
        <v>105</v>
      </c>
      <c r="D85" s="83"/>
      <c r="E85" s="19"/>
      <c r="F85" s="19">
        <v>1</v>
      </c>
      <c r="G85" s="19">
        <v>771.29</v>
      </c>
      <c r="H85" s="220">
        <f t="shared" si="7"/>
        <v>0.77128999999999992</v>
      </c>
      <c r="I85" s="19">
        <f>G85+(78.89+27.36+92.74+109.73*2)</f>
        <v>1189.74</v>
      </c>
    </row>
    <row r="86" spans="1:9" ht="31.5" customHeight="1">
      <c r="A86" s="194">
        <v>22</v>
      </c>
      <c r="B86" s="186" t="s">
        <v>234</v>
      </c>
      <c r="C86" s="194" t="s">
        <v>105</v>
      </c>
      <c r="D86" s="83"/>
      <c r="E86" s="19"/>
      <c r="F86" s="19">
        <v>1</v>
      </c>
      <c r="G86" s="19">
        <v>960.74</v>
      </c>
      <c r="H86" s="220">
        <f t="shared" si="7"/>
        <v>0.96074000000000004</v>
      </c>
      <c r="I86" s="19">
        <f>G86</f>
        <v>960.74</v>
      </c>
    </row>
    <row r="87" spans="1:9" ht="15.75" customHeight="1">
      <c r="A87" s="194">
        <v>23</v>
      </c>
      <c r="B87" s="186" t="s">
        <v>235</v>
      </c>
      <c r="C87" s="219" t="s">
        <v>236</v>
      </c>
      <c r="D87" s="83"/>
      <c r="E87" s="19"/>
      <c r="F87" s="19">
        <v>1</v>
      </c>
      <c r="G87" s="19">
        <f>228.27</f>
        <v>228.27</v>
      </c>
      <c r="H87" s="220">
        <f t="shared" si="7"/>
        <v>0.22827</v>
      </c>
      <c r="I87" s="19">
        <f>G87</f>
        <v>228.27</v>
      </c>
    </row>
    <row r="88" spans="1:9" ht="15.75" customHeight="1">
      <c r="A88" s="49"/>
      <c r="B88" s="77" t="s">
        <v>62</v>
      </c>
      <c r="C88" s="73"/>
      <c r="D88" s="93"/>
      <c r="E88" s="73">
        <v>1</v>
      </c>
      <c r="F88" s="73"/>
      <c r="G88" s="73"/>
      <c r="H88" s="73"/>
      <c r="I88" s="55">
        <f>SUM(I82:I87)</f>
        <v>5138.01</v>
      </c>
    </row>
    <row r="89" spans="1:9" ht="15.75" customHeight="1">
      <c r="A89" s="49"/>
      <c r="B89" s="83" t="s">
        <v>100</v>
      </c>
      <c r="C89" s="22"/>
      <c r="D89" s="22"/>
      <c r="E89" s="74"/>
      <c r="F89" s="74"/>
      <c r="G89" s="75"/>
      <c r="H89" s="75"/>
      <c r="I89" s="25">
        <v>0</v>
      </c>
    </row>
    <row r="90" spans="1:9" ht="15.75" customHeight="1">
      <c r="A90" s="94"/>
      <c r="B90" s="78" t="s">
        <v>63</v>
      </c>
      <c r="C90" s="61"/>
      <c r="D90" s="61"/>
      <c r="E90" s="61"/>
      <c r="F90" s="61"/>
      <c r="G90" s="61"/>
      <c r="H90" s="61"/>
      <c r="I90" s="76">
        <f>I80+I88</f>
        <v>62256.245874083332</v>
      </c>
    </row>
    <row r="91" spans="1:9" ht="15.75" customHeight="1">
      <c r="A91" s="269" t="s">
        <v>266</v>
      </c>
      <c r="B91" s="269"/>
      <c r="C91" s="269"/>
      <c r="D91" s="269"/>
      <c r="E91" s="269"/>
      <c r="F91" s="269"/>
      <c r="G91" s="269"/>
      <c r="H91" s="269"/>
      <c r="I91" s="269"/>
    </row>
    <row r="92" spans="1:9" ht="15.75" customHeight="1">
      <c r="A92" s="201"/>
      <c r="B92" s="262" t="s">
        <v>267</v>
      </c>
      <c r="C92" s="262"/>
      <c r="D92" s="262"/>
      <c r="E92" s="262"/>
      <c r="F92" s="262"/>
      <c r="G92" s="262"/>
      <c r="H92" s="211"/>
      <c r="I92" s="4"/>
    </row>
    <row r="93" spans="1:9" ht="15.75" customHeight="1">
      <c r="A93" s="195"/>
      <c r="B93" s="258" t="s">
        <v>6</v>
      </c>
      <c r="C93" s="258"/>
      <c r="D93" s="258"/>
      <c r="E93" s="258"/>
      <c r="F93" s="258"/>
      <c r="G93" s="258"/>
      <c r="H93" s="40"/>
      <c r="I93" s="6"/>
    </row>
    <row r="94" spans="1:9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 customHeight="1">
      <c r="A95" s="263" t="s">
        <v>7</v>
      </c>
      <c r="B95" s="263"/>
      <c r="C95" s="263"/>
      <c r="D95" s="263"/>
      <c r="E95" s="263"/>
      <c r="F95" s="263"/>
      <c r="G95" s="263"/>
      <c r="H95" s="263"/>
      <c r="I95" s="263"/>
    </row>
    <row r="96" spans="1:9" ht="15.75" customHeight="1">
      <c r="A96" s="263" t="s">
        <v>8</v>
      </c>
      <c r="B96" s="263"/>
      <c r="C96" s="263"/>
      <c r="D96" s="263"/>
      <c r="E96" s="263"/>
      <c r="F96" s="263"/>
      <c r="G96" s="263"/>
      <c r="H96" s="263"/>
      <c r="I96" s="263"/>
    </row>
    <row r="97" spans="1:9" ht="15.75" customHeight="1">
      <c r="A97" s="264" t="s">
        <v>79</v>
      </c>
      <c r="B97" s="264"/>
      <c r="C97" s="264"/>
      <c r="D97" s="264"/>
      <c r="E97" s="264"/>
      <c r="F97" s="264"/>
      <c r="G97" s="264"/>
      <c r="H97" s="264"/>
      <c r="I97" s="264"/>
    </row>
    <row r="98" spans="1:9" ht="15.75" customHeight="1">
      <c r="A98" s="13"/>
    </row>
    <row r="99" spans="1:9" ht="15.75" customHeight="1">
      <c r="A99" s="265" t="s">
        <v>10</v>
      </c>
      <c r="B99" s="265"/>
      <c r="C99" s="265"/>
      <c r="D99" s="265"/>
      <c r="E99" s="265"/>
      <c r="F99" s="265"/>
      <c r="G99" s="265"/>
      <c r="H99" s="265"/>
      <c r="I99" s="265"/>
    </row>
    <row r="100" spans="1:9" ht="15.75" customHeight="1">
      <c r="A100" s="5"/>
    </row>
    <row r="101" spans="1:9" ht="15.75" customHeight="1">
      <c r="B101" s="200" t="s">
        <v>11</v>
      </c>
      <c r="C101" s="257" t="s">
        <v>176</v>
      </c>
      <c r="D101" s="257"/>
      <c r="E101" s="257"/>
      <c r="F101" s="209"/>
      <c r="I101" s="197"/>
    </row>
    <row r="102" spans="1:9" ht="15.75" customHeight="1">
      <c r="A102" s="195"/>
      <c r="C102" s="258" t="s">
        <v>12</v>
      </c>
      <c r="D102" s="258"/>
      <c r="E102" s="258"/>
      <c r="F102" s="40"/>
      <c r="I102" s="196" t="s">
        <v>13</v>
      </c>
    </row>
    <row r="103" spans="1:9" ht="15.75" customHeight="1">
      <c r="A103" s="41"/>
      <c r="C103" s="14"/>
      <c r="D103" s="14"/>
      <c r="G103" s="14"/>
      <c r="H103" s="14"/>
    </row>
    <row r="104" spans="1:9" ht="15.75" customHeight="1">
      <c r="B104" s="200" t="s">
        <v>14</v>
      </c>
      <c r="C104" s="259"/>
      <c r="D104" s="259"/>
      <c r="E104" s="259"/>
      <c r="F104" s="210"/>
      <c r="I104" s="197"/>
    </row>
    <row r="105" spans="1:9" ht="15.75" customHeight="1">
      <c r="A105" s="195"/>
      <c r="C105" s="260" t="s">
        <v>12</v>
      </c>
      <c r="D105" s="260"/>
      <c r="E105" s="260"/>
      <c r="F105" s="195"/>
      <c r="I105" s="196" t="s">
        <v>13</v>
      </c>
    </row>
    <row r="106" spans="1:9" ht="15.75" customHeight="1">
      <c r="A106" s="5" t="s">
        <v>15</v>
      </c>
    </row>
    <row r="107" spans="1:9" ht="15.75" customHeight="1">
      <c r="A107" s="261" t="s">
        <v>16</v>
      </c>
      <c r="B107" s="261"/>
      <c r="C107" s="261"/>
      <c r="D107" s="261"/>
      <c r="E107" s="261"/>
      <c r="F107" s="261"/>
      <c r="G107" s="261"/>
      <c r="H107" s="261"/>
      <c r="I107" s="261"/>
    </row>
    <row r="108" spans="1:9" ht="47.25" customHeight="1">
      <c r="A108" s="251" t="s">
        <v>17</v>
      </c>
      <c r="B108" s="251"/>
      <c r="C108" s="251"/>
      <c r="D108" s="251"/>
      <c r="E108" s="251"/>
      <c r="F108" s="251"/>
      <c r="G108" s="251"/>
      <c r="H108" s="251"/>
      <c r="I108" s="251"/>
    </row>
    <row r="109" spans="1:9" ht="31.5" customHeight="1">
      <c r="A109" s="251" t="s">
        <v>18</v>
      </c>
      <c r="B109" s="251"/>
      <c r="C109" s="251"/>
      <c r="D109" s="251"/>
      <c r="E109" s="251"/>
      <c r="F109" s="251"/>
      <c r="G109" s="251"/>
      <c r="H109" s="251"/>
      <c r="I109" s="251"/>
    </row>
    <row r="110" spans="1:9" ht="31.5" customHeight="1">
      <c r="A110" s="251" t="s">
        <v>23</v>
      </c>
      <c r="B110" s="251"/>
      <c r="C110" s="251"/>
      <c r="D110" s="251"/>
      <c r="E110" s="251"/>
      <c r="F110" s="251"/>
      <c r="G110" s="251"/>
      <c r="H110" s="251"/>
      <c r="I110" s="251"/>
    </row>
    <row r="111" spans="1:9" ht="15.75" customHeight="1">
      <c r="A111" s="251" t="s">
        <v>22</v>
      </c>
      <c r="B111" s="251"/>
      <c r="C111" s="251"/>
      <c r="D111" s="251"/>
      <c r="E111" s="251"/>
      <c r="F111" s="251"/>
      <c r="G111" s="251"/>
      <c r="H111" s="251"/>
      <c r="I111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5:E105"/>
    <mergeCell ref="A77:I77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268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109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42521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customHeight="1">
      <c r="A19" s="212">
        <v>4</v>
      </c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f>F19/2*G19</f>
        <v>340.32</v>
      </c>
      <c r="J19" s="36"/>
      <c r="K19" s="10"/>
      <c r="L19" s="10"/>
      <c r="M19" s="10"/>
    </row>
    <row r="20" spans="1:13" ht="15.75" customHeight="1">
      <c r="A20" s="212">
        <v>5</v>
      </c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f>F20*G20</f>
        <v>22.877399999999998</v>
      </c>
      <c r="J20" s="36"/>
      <c r="K20" s="10"/>
      <c r="L20" s="10"/>
      <c r="M20" s="10"/>
    </row>
    <row r="21" spans="1:13" ht="15.75" customHeight="1">
      <c r="A21" s="212">
        <v>6</v>
      </c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f t="shared" ref="I21:I25" si="2">F21*G21</f>
        <v>5.4945000000000004</v>
      </c>
      <c r="J21" s="36"/>
      <c r="K21" s="10"/>
      <c r="L21" s="10"/>
      <c r="M21" s="10"/>
    </row>
    <row r="22" spans="1:13" ht="15.75" customHeight="1">
      <c r="A22" s="212">
        <v>7</v>
      </c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f t="shared" si="2"/>
        <v>961.25819999999987</v>
      </c>
      <c r="J22" s="36"/>
      <c r="K22" s="10"/>
      <c r="L22" s="10"/>
      <c r="M22" s="10"/>
    </row>
    <row r="23" spans="1:13" ht="15.75" customHeight="1">
      <c r="A23" s="212">
        <v>8</v>
      </c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f t="shared" si="2"/>
        <v>17.113655999999999</v>
      </c>
      <c r="J23" s="36"/>
      <c r="K23" s="10"/>
      <c r="L23" s="10"/>
      <c r="M23" s="10"/>
    </row>
    <row r="24" spans="1:13" ht="15.75" customHeight="1">
      <c r="A24" s="212">
        <v>9</v>
      </c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f t="shared" si="2"/>
        <v>58.457999999999998</v>
      </c>
      <c r="J24" s="36"/>
      <c r="K24" s="10"/>
      <c r="L24" s="10"/>
      <c r="M24" s="10"/>
    </row>
    <row r="25" spans="1:13" ht="15.75" customHeight="1">
      <c r="A25" s="212">
        <v>10</v>
      </c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f t="shared" si="2"/>
        <v>33.227039999999995</v>
      </c>
      <c r="J25" s="36"/>
      <c r="K25" s="10"/>
      <c r="L25" s="10"/>
      <c r="M25" s="10"/>
    </row>
    <row r="26" spans="1:13" ht="15.75" customHeight="1">
      <c r="A26" s="212">
        <v>11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12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customHeight="1">
      <c r="A29" s="212">
        <v>13</v>
      </c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3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customHeight="1">
      <c r="A30" s="212">
        <v>14</v>
      </c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3"/>
        <v>1.3647129210000002</v>
      </c>
      <c r="I30" s="19">
        <f t="shared" ref="I30:I32" si="4">F30/6*G30</f>
        <v>227.45215350000004</v>
      </c>
      <c r="J30" s="36"/>
      <c r="K30" s="10"/>
      <c r="L30" s="10"/>
      <c r="M30" s="10"/>
    </row>
    <row r="31" spans="1:13" ht="15.75" customHeight="1">
      <c r="A31" s="212">
        <v>15</v>
      </c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3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customHeight="1">
      <c r="A32" s="212">
        <v>16</v>
      </c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4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3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3"/>
        <v>2.2726599999999997</v>
      </c>
      <c r="I34" s="19">
        <v>0</v>
      </c>
      <c r="J34" s="36"/>
      <c r="K34" s="10"/>
      <c r="L34" s="10"/>
      <c r="M34" s="10"/>
    </row>
    <row r="35" spans="1:14" ht="15.75" hidden="1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hidden="1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5">SUM(F36*G36/1000)</f>
        <v>12.21776</v>
      </c>
      <c r="I36" s="19">
        <f>F36/6*G36</f>
        <v>2036.2933333333333</v>
      </c>
      <c r="J36" s="37"/>
    </row>
    <row r="37" spans="1:14" ht="15.75" hidden="1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hidden="1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hidden="1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5"/>
        <v>3.6778768124999996</v>
      </c>
      <c r="I40" s="19">
        <f>F40/6*G40</f>
        <v>612.97946875000002</v>
      </c>
      <c r="J40" s="37"/>
    </row>
    <row r="41" spans="1:14" ht="15.75" hidden="1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5"/>
        <v>9.4222054079999999</v>
      </c>
      <c r="I41" s="19">
        <f>F41/6*G41</f>
        <v>1570.3675679999999</v>
      </c>
      <c r="J41" s="37"/>
    </row>
    <row r="42" spans="1:14" ht="15.75" hidden="1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5"/>
        <v>1.3050699750000001</v>
      </c>
      <c r="I42" s="19">
        <f>F42/6*G42</f>
        <v>217.5116625</v>
      </c>
      <c r="J42" s="37"/>
    </row>
    <row r="43" spans="1:14" ht="15.75" hidden="1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5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customHeight="1">
      <c r="A45" s="212">
        <v>17</v>
      </c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6">SUM(F45*G45/1000)</f>
        <v>1.8026836749999999</v>
      </c>
      <c r="I45" s="19">
        <f t="shared" ref="I45:I48" si="7">F45/2*G45</f>
        <v>901.3418375</v>
      </c>
      <c r="J45" s="37"/>
      <c r="L45" s="28"/>
      <c r="M45" s="29"/>
      <c r="N45" s="30"/>
    </row>
    <row r="46" spans="1:14" ht="15.75" customHeight="1">
      <c r="A46" s="212">
        <v>18</v>
      </c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6"/>
        <v>0.12284976</v>
      </c>
      <c r="I46" s="19">
        <f t="shared" si="7"/>
        <v>61.424880000000002</v>
      </c>
      <c r="J46" s="37"/>
      <c r="L46" s="28"/>
      <c r="M46" s="29"/>
      <c r="N46" s="30"/>
    </row>
    <row r="47" spans="1:14" ht="15.75" customHeight="1">
      <c r="A47" s="212">
        <v>19</v>
      </c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6"/>
        <v>1.8117789888</v>
      </c>
      <c r="I47" s="19">
        <f t="shared" si="7"/>
        <v>905.88949439999999</v>
      </c>
      <c r="J47" s="37"/>
      <c r="L47" s="28"/>
      <c r="M47" s="29"/>
      <c r="N47" s="30"/>
    </row>
    <row r="48" spans="1:14" ht="15.75" customHeight="1">
      <c r="A48" s="212">
        <v>20</v>
      </c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6"/>
        <v>1.9654493839999998</v>
      </c>
      <c r="I48" s="19">
        <f t="shared" si="7"/>
        <v>982.72469199999989</v>
      </c>
      <c r="J48" s="37"/>
      <c r="L48" s="28"/>
      <c r="M48" s="29"/>
      <c r="N48" s="30"/>
    </row>
    <row r="49" spans="1:14" ht="15.75" customHeight="1">
      <c r="A49" s="212">
        <v>21</v>
      </c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6"/>
        <v>0.125000208</v>
      </c>
      <c r="I49" s="19">
        <f>F49/2*G49</f>
        <v>62.500104000000007</v>
      </c>
      <c r="J49" s="37"/>
      <c r="L49" s="28"/>
      <c r="M49" s="29"/>
      <c r="N49" s="30"/>
    </row>
    <row r="50" spans="1:14" ht="31.5" customHeight="1">
      <c r="A50" s="212">
        <v>22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6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6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6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6"/>
        <v>0.11304260000000001</v>
      </c>
      <c r="I53" s="19">
        <v>0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6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hidden="1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hidden="1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8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8"/>
        <v>0.38124999999999998</v>
      </c>
      <c r="I62" s="19">
        <v>0</v>
      </c>
      <c r="J62" s="37"/>
      <c r="L62" s="28"/>
    </row>
    <row r="63" spans="1:14" ht="15.75" customHeight="1">
      <c r="A63" s="23">
        <v>23</v>
      </c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8"/>
        <v>28.527810500000001</v>
      </c>
      <c r="I63" s="19">
        <f>F63*G63</f>
        <v>28527.8105</v>
      </c>
      <c r="J63" s="37"/>
      <c r="L63" s="28"/>
    </row>
    <row r="64" spans="1:14" ht="15.75" customHeight="1">
      <c r="A64" s="23">
        <v>24</v>
      </c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8"/>
        <v>2.2215788699999997</v>
      </c>
      <c r="I64" s="19">
        <f t="shared" ref="I64:I67" si="9">F64*G64</f>
        <v>2221.5788699999998</v>
      </c>
    </row>
    <row r="65" spans="1:22" ht="15.75" customHeight="1">
      <c r="A65" s="23">
        <v>25</v>
      </c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8"/>
        <v>45.641860000000001</v>
      </c>
      <c r="I65" s="19">
        <f t="shared" si="9"/>
        <v>45641.86</v>
      </c>
    </row>
    <row r="66" spans="1:22" ht="15.75" customHeight="1">
      <c r="A66" s="23">
        <v>26</v>
      </c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8"/>
        <v>0.51203999999999994</v>
      </c>
      <c r="I66" s="19">
        <f t="shared" si="9"/>
        <v>512.04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customHeight="1">
      <c r="A67" s="23">
        <v>27</v>
      </c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8"/>
        <v>0.47772000000000003</v>
      </c>
      <c r="I67" s="19">
        <f t="shared" si="9"/>
        <v>477.72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8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8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8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256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28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29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I16+I17+I18+I19+I20+I21+I22+I23+I24+I25+I26+I27+I29+I30+I31+I32+I45+I46+I47+I48+I49+I50+I63+I64+I65+I66+I67+I78+I79</f>
        <v>120818.94943778888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15.75" customHeight="1">
      <c r="A82" s="194">
        <v>30</v>
      </c>
      <c r="B82" s="186" t="s">
        <v>232</v>
      </c>
      <c r="C82" s="194" t="s">
        <v>114</v>
      </c>
      <c r="D82" s="83"/>
      <c r="E82" s="19"/>
      <c r="F82" s="19">
        <v>2</v>
      </c>
      <c r="G82" s="19">
        <v>185.81</v>
      </c>
      <c r="H82" s="220">
        <f t="shared" ref="H82:H84" si="10">G82*F82/1000</f>
        <v>0.37162000000000001</v>
      </c>
      <c r="I82" s="19">
        <f>G82</f>
        <v>185.81</v>
      </c>
    </row>
    <row r="83" spans="1:9" ht="15.75" customHeight="1">
      <c r="A83" s="194">
        <v>31</v>
      </c>
      <c r="B83" s="186" t="s">
        <v>237</v>
      </c>
      <c r="C83" s="194" t="s">
        <v>238</v>
      </c>
      <c r="D83" s="83"/>
      <c r="E83" s="19"/>
      <c r="F83" s="19">
        <v>1</v>
      </c>
      <c r="G83" s="19">
        <v>238.63</v>
      </c>
      <c r="H83" s="220">
        <f t="shared" si="10"/>
        <v>0.23863000000000001</v>
      </c>
      <c r="I83" s="19">
        <f>G83</f>
        <v>238.63</v>
      </c>
    </row>
    <row r="84" spans="1:9" ht="31.5" customHeight="1">
      <c r="A84" s="217">
        <v>32</v>
      </c>
      <c r="B84" s="218" t="s">
        <v>239</v>
      </c>
      <c r="C84" s="49" t="s">
        <v>148</v>
      </c>
      <c r="D84" s="83"/>
      <c r="E84" s="19"/>
      <c r="F84" s="19">
        <f>2/10</f>
        <v>0.2</v>
      </c>
      <c r="G84" s="19">
        <v>39222.99</v>
      </c>
      <c r="H84" s="220">
        <f t="shared" si="10"/>
        <v>7.8445979999999995</v>
      </c>
      <c r="I84" s="19">
        <f>G84*0.2</f>
        <v>7844.598</v>
      </c>
    </row>
    <row r="85" spans="1:9" ht="15.75" customHeight="1">
      <c r="A85" s="49"/>
      <c r="B85" s="77" t="s">
        <v>62</v>
      </c>
      <c r="C85" s="73"/>
      <c r="D85" s="93"/>
      <c r="E85" s="73">
        <v>1</v>
      </c>
      <c r="F85" s="73"/>
      <c r="G85" s="73"/>
      <c r="H85" s="73"/>
      <c r="I85" s="55">
        <f>SUM(I82:I84)</f>
        <v>8269.0380000000005</v>
      </c>
    </row>
    <row r="86" spans="1:9" ht="15.75" customHeight="1">
      <c r="A86" s="49"/>
      <c r="B86" s="83" t="s">
        <v>100</v>
      </c>
      <c r="C86" s="22"/>
      <c r="D86" s="22"/>
      <c r="E86" s="74"/>
      <c r="F86" s="74"/>
      <c r="G86" s="75"/>
      <c r="H86" s="75"/>
      <c r="I86" s="25">
        <v>0</v>
      </c>
    </row>
    <row r="87" spans="1:9" ht="15.75" customHeight="1">
      <c r="A87" s="94"/>
      <c r="B87" s="78" t="s">
        <v>63</v>
      </c>
      <c r="C87" s="61"/>
      <c r="D87" s="61"/>
      <c r="E87" s="61"/>
      <c r="F87" s="61"/>
      <c r="G87" s="61"/>
      <c r="H87" s="61"/>
      <c r="I87" s="76">
        <f>I80+I85</f>
        <v>129087.98743778888</v>
      </c>
    </row>
    <row r="88" spans="1:9" ht="15.75" customHeight="1">
      <c r="A88" s="269" t="s">
        <v>269</v>
      </c>
      <c r="B88" s="269"/>
      <c r="C88" s="269"/>
      <c r="D88" s="269"/>
      <c r="E88" s="269"/>
      <c r="F88" s="269"/>
      <c r="G88" s="269"/>
      <c r="H88" s="269"/>
      <c r="I88" s="269"/>
    </row>
    <row r="89" spans="1:9" ht="15.75" customHeight="1">
      <c r="A89" s="201"/>
      <c r="B89" s="262" t="s">
        <v>270</v>
      </c>
      <c r="C89" s="262"/>
      <c r="D89" s="262"/>
      <c r="E89" s="262"/>
      <c r="F89" s="262"/>
      <c r="G89" s="262"/>
      <c r="H89" s="211"/>
      <c r="I89" s="4"/>
    </row>
    <row r="90" spans="1:9" ht="15.75" customHeight="1">
      <c r="A90" s="195"/>
      <c r="B90" s="258" t="s">
        <v>6</v>
      </c>
      <c r="C90" s="258"/>
      <c r="D90" s="258"/>
      <c r="E90" s="258"/>
      <c r="F90" s="258"/>
      <c r="G90" s="258"/>
      <c r="H90" s="40"/>
      <c r="I90" s="6"/>
    </row>
    <row r="91" spans="1:9" ht="15.75" customHeight="1">
      <c r="A91" s="12"/>
      <c r="B91" s="12"/>
      <c r="C91" s="12"/>
      <c r="D91" s="12"/>
      <c r="E91" s="12"/>
      <c r="F91" s="12"/>
      <c r="G91" s="12"/>
      <c r="H91" s="12"/>
      <c r="I91" s="12"/>
    </row>
    <row r="92" spans="1:9" ht="15.75" customHeight="1">
      <c r="A92" s="263" t="s">
        <v>7</v>
      </c>
      <c r="B92" s="263"/>
      <c r="C92" s="263"/>
      <c r="D92" s="263"/>
      <c r="E92" s="263"/>
      <c r="F92" s="263"/>
      <c r="G92" s="263"/>
      <c r="H92" s="263"/>
      <c r="I92" s="263"/>
    </row>
    <row r="93" spans="1:9" ht="15.75" customHeight="1">
      <c r="A93" s="263" t="s">
        <v>8</v>
      </c>
      <c r="B93" s="263"/>
      <c r="C93" s="263"/>
      <c r="D93" s="263"/>
      <c r="E93" s="263"/>
      <c r="F93" s="263"/>
      <c r="G93" s="263"/>
      <c r="H93" s="263"/>
      <c r="I93" s="263"/>
    </row>
    <row r="94" spans="1:9" ht="15.75" customHeight="1">
      <c r="A94" s="264" t="s">
        <v>79</v>
      </c>
      <c r="B94" s="264"/>
      <c r="C94" s="264"/>
      <c r="D94" s="264"/>
      <c r="E94" s="264"/>
      <c r="F94" s="264"/>
      <c r="G94" s="264"/>
      <c r="H94" s="264"/>
      <c r="I94" s="264"/>
    </row>
    <row r="95" spans="1:9" ht="15.75" customHeight="1">
      <c r="A95" s="13"/>
    </row>
    <row r="96" spans="1:9" ht="15.75" customHeight="1">
      <c r="A96" s="265" t="s">
        <v>10</v>
      </c>
      <c r="B96" s="265"/>
      <c r="C96" s="265"/>
      <c r="D96" s="265"/>
      <c r="E96" s="265"/>
      <c r="F96" s="265"/>
      <c r="G96" s="265"/>
      <c r="H96" s="265"/>
      <c r="I96" s="265"/>
    </row>
    <row r="97" spans="1:9" ht="15.75" customHeight="1">
      <c r="A97" s="5"/>
    </row>
    <row r="98" spans="1:9" ht="15.75" customHeight="1">
      <c r="B98" s="200" t="s">
        <v>11</v>
      </c>
      <c r="C98" s="257" t="s">
        <v>176</v>
      </c>
      <c r="D98" s="257"/>
      <c r="E98" s="257"/>
      <c r="F98" s="209"/>
      <c r="I98" s="197"/>
    </row>
    <row r="99" spans="1:9" ht="15.75" customHeight="1">
      <c r="A99" s="195"/>
      <c r="C99" s="258" t="s">
        <v>12</v>
      </c>
      <c r="D99" s="258"/>
      <c r="E99" s="258"/>
      <c r="F99" s="40"/>
      <c r="I99" s="196" t="s">
        <v>13</v>
      </c>
    </row>
    <row r="100" spans="1:9" ht="15.75" customHeight="1">
      <c r="A100" s="41"/>
      <c r="C100" s="14"/>
      <c r="D100" s="14"/>
      <c r="G100" s="14"/>
      <c r="H100" s="14"/>
    </row>
    <row r="101" spans="1:9" ht="15.75" customHeight="1">
      <c r="B101" s="200" t="s">
        <v>14</v>
      </c>
      <c r="C101" s="259"/>
      <c r="D101" s="259"/>
      <c r="E101" s="259"/>
      <c r="F101" s="210"/>
      <c r="I101" s="197"/>
    </row>
    <row r="102" spans="1:9" ht="15.75" customHeight="1">
      <c r="A102" s="195"/>
      <c r="C102" s="260" t="s">
        <v>12</v>
      </c>
      <c r="D102" s="260"/>
      <c r="E102" s="260"/>
      <c r="F102" s="195"/>
      <c r="I102" s="196" t="s">
        <v>13</v>
      </c>
    </row>
    <row r="103" spans="1:9" ht="15.75" customHeight="1">
      <c r="A103" s="5" t="s">
        <v>15</v>
      </c>
    </row>
    <row r="104" spans="1:9" ht="15.75" customHeight="1">
      <c r="A104" s="261" t="s">
        <v>16</v>
      </c>
      <c r="B104" s="261"/>
      <c r="C104" s="261"/>
      <c r="D104" s="261"/>
      <c r="E104" s="261"/>
      <c r="F104" s="261"/>
      <c r="G104" s="261"/>
      <c r="H104" s="261"/>
      <c r="I104" s="261"/>
    </row>
    <row r="105" spans="1:9" ht="47.25" customHeight="1">
      <c r="A105" s="251" t="s">
        <v>17</v>
      </c>
      <c r="B105" s="251"/>
      <c r="C105" s="251"/>
      <c r="D105" s="251"/>
      <c r="E105" s="251"/>
      <c r="F105" s="251"/>
      <c r="G105" s="251"/>
      <c r="H105" s="251"/>
      <c r="I105" s="251"/>
    </row>
    <row r="106" spans="1:9" ht="31.5" customHeight="1">
      <c r="A106" s="251" t="s">
        <v>18</v>
      </c>
      <c r="B106" s="251"/>
      <c r="C106" s="251"/>
      <c r="D106" s="251"/>
      <c r="E106" s="251"/>
      <c r="F106" s="251"/>
      <c r="G106" s="251"/>
      <c r="H106" s="251"/>
      <c r="I106" s="251"/>
    </row>
    <row r="107" spans="1:9" ht="31.5" customHeight="1">
      <c r="A107" s="251" t="s">
        <v>23</v>
      </c>
      <c r="B107" s="251"/>
      <c r="C107" s="251"/>
      <c r="D107" s="251"/>
      <c r="E107" s="251"/>
      <c r="F107" s="251"/>
      <c r="G107" s="251"/>
      <c r="H107" s="251"/>
      <c r="I107" s="251"/>
    </row>
    <row r="108" spans="1:9" ht="15.75" customHeight="1">
      <c r="A108" s="251" t="s">
        <v>22</v>
      </c>
      <c r="B108" s="251"/>
      <c r="C108" s="251"/>
      <c r="D108" s="251"/>
      <c r="E108" s="251"/>
      <c r="F108" s="251"/>
      <c r="G108" s="251"/>
      <c r="H108" s="251"/>
      <c r="I108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2:E102"/>
    <mergeCell ref="A77:I77"/>
    <mergeCell ref="A88:I88"/>
    <mergeCell ref="B89:G89"/>
    <mergeCell ref="B90:G90"/>
    <mergeCell ref="A92:I92"/>
    <mergeCell ref="A93:I93"/>
    <mergeCell ref="A94:I94"/>
    <mergeCell ref="A96:I96"/>
    <mergeCell ref="C98:E98"/>
    <mergeCell ref="C99:E99"/>
    <mergeCell ref="C101:E101"/>
    <mergeCell ref="A104:I104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271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70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42551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customHeight="1">
      <c r="A29" s="212">
        <v>6</v>
      </c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customHeight="1">
      <c r="A30" s="212">
        <v>7</v>
      </c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customHeight="1">
      <c r="A32" s="212">
        <v>8</v>
      </c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hidden="1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hidden="1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hidden="1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hidden="1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hidden="1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hidden="1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hidden="1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hidden="1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hidden="1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hidden="1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hidden="1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hidden="1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hidden="1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hidden="1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272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9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10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I16+I17+I18+I26+I27+I29+I30+I32+I78+I79</f>
        <v>35901.676919388876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15.75" customHeight="1">
      <c r="A82" s="194">
        <v>11</v>
      </c>
      <c r="B82" s="186" t="s">
        <v>206</v>
      </c>
      <c r="C82" s="194" t="s">
        <v>207</v>
      </c>
      <c r="D82" s="21"/>
      <c r="E82" s="26"/>
      <c r="F82" s="19">
        <v>5</v>
      </c>
      <c r="G82" s="19">
        <v>195.95</v>
      </c>
      <c r="H82" s="220">
        <f>G82*F82/1000</f>
        <v>0.97975000000000001</v>
      </c>
      <c r="I82" s="19">
        <f>G82*2</f>
        <v>391.9</v>
      </c>
    </row>
    <row r="83" spans="1:9" ht="15.75" customHeight="1">
      <c r="A83" s="194">
        <v>12</v>
      </c>
      <c r="B83" s="186" t="s">
        <v>240</v>
      </c>
      <c r="C83" s="194" t="s">
        <v>241</v>
      </c>
      <c r="D83" s="83"/>
      <c r="E83" s="19"/>
      <c r="F83" s="19">
        <f>2/100</f>
        <v>0.02</v>
      </c>
      <c r="G83" s="19">
        <v>7033.13</v>
      </c>
      <c r="H83" s="220">
        <f t="shared" ref="H83" si="7">G83*F83/1000</f>
        <v>0.1406626</v>
      </c>
      <c r="I83" s="19">
        <f>G83*0.01</f>
        <v>70.331299999999999</v>
      </c>
    </row>
    <row r="84" spans="1:9" ht="15.75" customHeight="1">
      <c r="A84" s="49"/>
      <c r="B84" s="77" t="s">
        <v>62</v>
      </c>
      <c r="C84" s="73"/>
      <c r="D84" s="93"/>
      <c r="E84" s="73">
        <v>1</v>
      </c>
      <c r="F84" s="73"/>
      <c r="G84" s="73"/>
      <c r="H84" s="73"/>
      <c r="I84" s="55">
        <f>SUM(I82:I83)</f>
        <v>462.23129999999998</v>
      </c>
    </row>
    <row r="85" spans="1:9" ht="15.75" customHeight="1">
      <c r="A85" s="49"/>
      <c r="B85" s="83" t="s">
        <v>100</v>
      </c>
      <c r="C85" s="22"/>
      <c r="D85" s="22"/>
      <c r="E85" s="74"/>
      <c r="F85" s="74"/>
      <c r="G85" s="75"/>
      <c r="H85" s="75"/>
      <c r="I85" s="25">
        <v>0</v>
      </c>
    </row>
    <row r="86" spans="1:9" ht="15.75" customHeight="1">
      <c r="A86" s="94"/>
      <c r="B86" s="78" t="s">
        <v>63</v>
      </c>
      <c r="C86" s="61"/>
      <c r="D86" s="61"/>
      <c r="E86" s="61"/>
      <c r="F86" s="61"/>
      <c r="G86" s="61"/>
      <c r="H86" s="61"/>
      <c r="I86" s="76">
        <f>I80+I84</f>
        <v>36363.908219388875</v>
      </c>
    </row>
    <row r="87" spans="1:9" ht="15.75" customHeight="1">
      <c r="A87" s="269" t="s">
        <v>273</v>
      </c>
      <c r="B87" s="269"/>
      <c r="C87" s="269"/>
      <c r="D87" s="269"/>
      <c r="E87" s="269"/>
      <c r="F87" s="269"/>
      <c r="G87" s="269"/>
      <c r="H87" s="269"/>
      <c r="I87" s="269"/>
    </row>
    <row r="88" spans="1:9" ht="15.75" customHeight="1">
      <c r="A88" s="201"/>
      <c r="B88" s="262" t="s">
        <v>274</v>
      </c>
      <c r="C88" s="262"/>
      <c r="D88" s="262"/>
      <c r="E88" s="262"/>
      <c r="F88" s="262"/>
      <c r="G88" s="262"/>
      <c r="H88" s="211"/>
      <c r="I88" s="4"/>
    </row>
    <row r="89" spans="1:9" ht="15.75" customHeight="1">
      <c r="A89" s="195"/>
      <c r="B89" s="258" t="s">
        <v>6</v>
      </c>
      <c r="C89" s="258"/>
      <c r="D89" s="258"/>
      <c r="E89" s="258"/>
      <c r="F89" s="258"/>
      <c r="G89" s="258"/>
      <c r="H89" s="40"/>
      <c r="I89" s="6"/>
    </row>
    <row r="90" spans="1:9" ht="15.75" customHeight="1">
      <c r="A90" s="12"/>
      <c r="B90" s="12"/>
      <c r="C90" s="12"/>
      <c r="D90" s="12"/>
      <c r="E90" s="12"/>
      <c r="F90" s="12"/>
      <c r="G90" s="12"/>
      <c r="H90" s="12"/>
      <c r="I90" s="12"/>
    </row>
    <row r="91" spans="1:9" ht="15.75" customHeight="1">
      <c r="A91" s="263" t="s">
        <v>7</v>
      </c>
      <c r="B91" s="263"/>
      <c r="C91" s="263"/>
      <c r="D91" s="263"/>
      <c r="E91" s="263"/>
      <c r="F91" s="263"/>
      <c r="G91" s="263"/>
      <c r="H91" s="263"/>
      <c r="I91" s="263"/>
    </row>
    <row r="92" spans="1:9" ht="15.75" customHeight="1">
      <c r="A92" s="263" t="s">
        <v>8</v>
      </c>
      <c r="B92" s="263"/>
      <c r="C92" s="263"/>
      <c r="D92" s="263"/>
      <c r="E92" s="263"/>
      <c r="F92" s="263"/>
      <c r="G92" s="263"/>
      <c r="H92" s="263"/>
      <c r="I92" s="263"/>
    </row>
    <row r="93" spans="1:9" ht="15.75" customHeight="1">
      <c r="A93" s="264" t="s">
        <v>79</v>
      </c>
      <c r="B93" s="264"/>
      <c r="C93" s="264"/>
      <c r="D93" s="264"/>
      <c r="E93" s="264"/>
      <c r="F93" s="264"/>
      <c r="G93" s="264"/>
      <c r="H93" s="264"/>
      <c r="I93" s="264"/>
    </row>
    <row r="94" spans="1:9" ht="15.75" customHeight="1">
      <c r="A94" s="13"/>
    </row>
    <row r="95" spans="1:9" ht="15.75" customHeight="1">
      <c r="A95" s="265" t="s">
        <v>10</v>
      </c>
      <c r="B95" s="265"/>
      <c r="C95" s="265"/>
      <c r="D95" s="265"/>
      <c r="E95" s="265"/>
      <c r="F95" s="265"/>
      <c r="G95" s="265"/>
      <c r="H95" s="265"/>
      <c r="I95" s="265"/>
    </row>
    <row r="96" spans="1:9" ht="15.75" customHeight="1">
      <c r="A96" s="5"/>
    </row>
    <row r="97" spans="1:9" ht="15.75" customHeight="1">
      <c r="B97" s="200" t="s">
        <v>11</v>
      </c>
      <c r="C97" s="257" t="s">
        <v>176</v>
      </c>
      <c r="D97" s="257"/>
      <c r="E97" s="257"/>
      <c r="F97" s="209"/>
      <c r="I97" s="197"/>
    </row>
    <row r="98" spans="1:9" ht="15.75" customHeight="1">
      <c r="A98" s="195"/>
      <c r="C98" s="258" t="s">
        <v>12</v>
      </c>
      <c r="D98" s="258"/>
      <c r="E98" s="258"/>
      <c r="F98" s="40"/>
      <c r="I98" s="196" t="s">
        <v>13</v>
      </c>
    </row>
    <row r="99" spans="1:9" ht="15.75" customHeight="1">
      <c r="A99" s="41"/>
      <c r="C99" s="14"/>
      <c r="D99" s="14"/>
      <c r="G99" s="14"/>
      <c r="H99" s="14"/>
    </row>
    <row r="100" spans="1:9" ht="15.75" customHeight="1">
      <c r="B100" s="200" t="s">
        <v>14</v>
      </c>
      <c r="C100" s="259"/>
      <c r="D100" s="259"/>
      <c r="E100" s="259"/>
      <c r="F100" s="210"/>
      <c r="I100" s="197"/>
    </row>
    <row r="101" spans="1:9" ht="15.75" customHeight="1">
      <c r="A101" s="195"/>
      <c r="C101" s="260" t="s">
        <v>12</v>
      </c>
      <c r="D101" s="260"/>
      <c r="E101" s="260"/>
      <c r="F101" s="195"/>
      <c r="I101" s="196" t="s">
        <v>13</v>
      </c>
    </row>
    <row r="102" spans="1:9" ht="15.75" customHeight="1">
      <c r="A102" s="5" t="s">
        <v>15</v>
      </c>
    </row>
    <row r="103" spans="1:9" ht="15.75" customHeight="1">
      <c r="A103" s="261" t="s">
        <v>16</v>
      </c>
      <c r="B103" s="261"/>
      <c r="C103" s="261"/>
      <c r="D103" s="261"/>
      <c r="E103" s="261"/>
      <c r="F103" s="261"/>
      <c r="G103" s="261"/>
      <c r="H103" s="261"/>
      <c r="I103" s="261"/>
    </row>
    <row r="104" spans="1:9" ht="47.25" customHeight="1">
      <c r="A104" s="251" t="s">
        <v>17</v>
      </c>
      <c r="B104" s="251"/>
      <c r="C104" s="251"/>
      <c r="D104" s="251"/>
      <c r="E104" s="251"/>
      <c r="F104" s="251"/>
      <c r="G104" s="251"/>
      <c r="H104" s="251"/>
      <c r="I104" s="251"/>
    </row>
    <row r="105" spans="1:9" ht="31.5" customHeight="1">
      <c r="A105" s="251" t="s">
        <v>18</v>
      </c>
      <c r="B105" s="251"/>
      <c r="C105" s="251"/>
      <c r="D105" s="251"/>
      <c r="E105" s="251"/>
      <c r="F105" s="251"/>
      <c r="G105" s="251"/>
      <c r="H105" s="251"/>
      <c r="I105" s="251"/>
    </row>
    <row r="106" spans="1:9" ht="31.5" customHeight="1">
      <c r="A106" s="251" t="s">
        <v>23</v>
      </c>
      <c r="B106" s="251"/>
      <c r="C106" s="251"/>
      <c r="D106" s="251"/>
      <c r="E106" s="251"/>
      <c r="F106" s="251"/>
      <c r="G106" s="251"/>
      <c r="H106" s="251"/>
      <c r="I106" s="251"/>
    </row>
    <row r="107" spans="1:9" ht="15.75" customHeight="1">
      <c r="A107" s="251" t="s">
        <v>22</v>
      </c>
      <c r="B107" s="251"/>
      <c r="C107" s="251"/>
      <c r="D107" s="251"/>
      <c r="E107" s="251"/>
      <c r="F107" s="251"/>
      <c r="G107" s="251"/>
      <c r="H107" s="251"/>
      <c r="I107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1:E101"/>
    <mergeCell ref="A77:I77"/>
    <mergeCell ref="A87:I87"/>
    <mergeCell ref="B88:G88"/>
    <mergeCell ref="B89:G89"/>
    <mergeCell ref="A91:I91"/>
    <mergeCell ref="A92:I92"/>
    <mergeCell ref="A93:I93"/>
    <mergeCell ref="A95:I95"/>
    <mergeCell ref="C97:E97"/>
    <mergeCell ref="C98:E98"/>
    <mergeCell ref="C100:E100"/>
    <mergeCell ref="A103:I103"/>
    <mergeCell ref="A104:I104"/>
    <mergeCell ref="A105:I105"/>
    <mergeCell ref="A106:I106"/>
    <mergeCell ref="A107:I10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275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110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42582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customHeight="1">
      <c r="A29" s="212">
        <v>6</v>
      </c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customHeight="1">
      <c r="A30" s="212">
        <v>7</v>
      </c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customHeight="1">
      <c r="A32" s="212">
        <v>8</v>
      </c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hidden="1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hidden="1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hidden="1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hidden="1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hidden="1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hidden="1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hidden="1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hidden="1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hidden="1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hidden="1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hidden="1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hidden="1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hidden="1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hidden="1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272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9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10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I16+I17+I18+I26+I27+I29+I30+I32+I78+I79</f>
        <v>35901.676919388876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15.75" customHeight="1">
      <c r="A82" s="49"/>
      <c r="B82" s="77" t="s">
        <v>62</v>
      </c>
      <c r="C82" s="73"/>
      <c r="D82" s="93"/>
      <c r="E82" s="73">
        <v>1</v>
      </c>
      <c r="F82" s="73"/>
      <c r="G82" s="73"/>
      <c r="H82" s="73"/>
      <c r="I82" s="55">
        <f>SUM(I81)</f>
        <v>0</v>
      </c>
    </row>
    <row r="83" spans="1:9" ht="15.75" customHeight="1">
      <c r="A83" s="49"/>
      <c r="B83" s="83" t="s">
        <v>100</v>
      </c>
      <c r="C83" s="22"/>
      <c r="D83" s="22"/>
      <c r="E83" s="74"/>
      <c r="F83" s="74"/>
      <c r="G83" s="75"/>
      <c r="H83" s="75"/>
      <c r="I83" s="25">
        <v>0</v>
      </c>
    </row>
    <row r="84" spans="1:9" ht="15.75" customHeight="1">
      <c r="A84" s="94"/>
      <c r="B84" s="78" t="s">
        <v>63</v>
      </c>
      <c r="C84" s="61"/>
      <c r="D84" s="61"/>
      <c r="E84" s="61"/>
      <c r="F84" s="61"/>
      <c r="G84" s="61"/>
      <c r="H84" s="61"/>
      <c r="I84" s="76">
        <f>I80+I82</f>
        <v>35901.676919388876</v>
      </c>
    </row>
    <row r="85" spans="1:9" ht="15.75" customHeight="1">
      <c r="A85" s="269" t="s">
        <v>276</v>
      </c>
      <c r="B85" s="269"/>
      <c r="C85" s="269"/>
      <c r="D85" s="269"/>
      <c r="E85" s="269"/>
      <c r="F85" s="269"/>
      <c r="G85" s="269"/>
      <c r="H85" s="269"/>
      <c r="I85" s="269"/>
    </row>
    <row r="86" spans="1:9" ht="15.75" customHeight="1">
      <c r="A86" s="201"/>
      <c r="B86" s="262" t="s">
        <v>277</v>
      </c>
      <c r="C86" s="262"/>
      <c r="D86" s="262"/>
      <c r="E86" s="262"/>
      <c r="F86" s="262"/>
      <c r="G86" s="262"/>
      <c r="H86" s="211"/>
      <c r="I86" s="4"/>
    </row>
    <row r="87" spans="1:9" ht="15.75" customHeight="1">
      <c r="A87" s="195"/>
      <c r="B87" s="258" t="s">
        <v>6</v>
      </c>
      <c r="C87" s="258"/>
      <c r="D87" s="258"/>
      <c r="E87" s="258"/>
      <c r="F87" s="258"/>
      <c r="G87" s="258"/>
      <c r="H87" s="40"/>
      <c r="I87" s="6"/>
    </row>
    <row r="88" spans="1:9" ht="15.75" customHeight="1">
      <c r="A88" s="12"/>
      <c r="B88" s="12"/>
      <c r="C88" s="12"/>
      <c r="D88" s="12"/>
      <c r="E88" s="12"/>
      <c r="F88" s="12"/>
      <c r="G88" s="12"/>
      <c r="H88" s="12"/>
      <c r="I88" s="12"/>
    </row>
    <row r="89" spans="1:9" ht="15.75" customHeight="1">
      <c r="A89" s="263" t="s">
        <v>7</v>
      </c>
      <c r="B89" s="263"/>
      <c r="C89" s="263"/>
      <c r="D89" s="263"/>
      <c r="E89" s="263"/>
      <c r="F89" s="263"/>
      <c r="G89" s="263"/>
      <c r="H89" s="263"/>
      <c r="I89" s="263"/>
    </row>
    <row r="90" spans="1:9" ht="15.75" customHeight="1">
      <c r="A90" s="263" t="s">
        <v>8</v>
      </c>
      <c r="B90" s="263"/>
      <c r="C90" s="263"/>
      <c r="D90" s="263"/>
      <c r="E90" s="263"/>
      <c r="F90" s="263"/>
      <c r="G90" s="263"/>
      <c r="H90" s="263"/>
      <c r="I90" s="263"/>
    </row>
    <row r="91" spans="1:9" ht="15.75" customHeight="1">
      <c r="A91" s="264" t="s">
        <v>79</v>
      </c>
      <c r="B91" s="264"/>
      <c r="C91" s="264"/>
      <c r="D91" s="264"/>
      <c r="E91" s="264"/>
      <c r="F91" s="264"/>
      <c r="G91" s="264"/>
      <c r="H91" s="264"/>
      <c r="I91" s="264"/>
    </row>
    <row r="92" spans="1:9" ht="15.75" customHeight="1">
      <c r="A92" s="13"/>
    </row>
    <row r="93" spans="1:9" ht="15.75" customHeight="1">
      <c r="A93" s="265" t="s">
        <v>10</v>
      </c>
      <c r="B93" s="265"/>
      <c r="C93" s="265"/>
      <c r="D93" s="265"/>
      <c r="E93" s="265"/>
      <c r="F93" s="265"/>
      <c r="G93" s="265"/>
      <c r="H93" s="265"/>
      <c r="I93" s="265"/>
    </row>
    <row r="94" spans="1:9" ht="15.75" customHeight="1">
      <c r="A94" s="5"/>
    </row>
    <row r="95" spans="1:9" ht="15.75" customHeight="1">
      <c r="B95" s="200" t="s">
        <v>11</v>
      </c>
      <c r="C95" s="257" t="s">
        <v>176</v>
      </c>
      <c r="D95" s="257"/>
      <c r="E95" s="257"/>
      <c r="F95" s="209"/>
      <c r="I95" s="197"/>
    </row>
    <row r="96" spans="1:9" ht="15.75" customHeight="1">
      <c r="A96" s="195"/>
      <c r="C96" s="258" t="s">
        <v>12</v>
      </c>
      <c r="D96" s="258"/>
      <c r="E96" s="258"/>
      <c r="F96" s="40"/>
      <c r="I96" s="196" t="s">
        <v>13</v>
      </c>
    </row>
    <row r="97" spans="1:9" ht="15.75" customHeight="1">
      <c r="A97" s="41"/>
      <c r="C97" s="14"/>
      <c r="D97" s="14"/>
      <c r="G97" s="14"/>
      <c r="H97" s="14"/>
    </row>
    <row r="98" spans="1:9" ht="15.75" customHeight="1">
      <c r="B98" s="200" t="s">
        <v>14</v>
      </c>
      <c r="C98" s="259"/>
      <c r="D98" s="259"/>
      <c r="E98" s="259"/>
      <c r="F98" s="210"/>
      <c r="I98" s="197"/>
    </row>
    <row r="99" spans="1:9" ht="15.75" customHeight="1">
      <c r="A99" s="195"/>
      <c r="C99" s="260" t="s">
        <v>12</v>
      </c>
      <c r="D99" s="260"/>
      <c r="E99" s="260"/>
      <c r="F99" s="195"/>
      <c r="I99" s="196" t="s">
        <v>13</v>
      </c>
    </row>
    <row r="100" spans="1:9" ht="15.75" customHeight="1">
      <c r="A100" s="5" t="s">
        <v>15</v>
      </c>
    </row>
    <row r="101" spans="1:9" ht="15.75" customHeight="1">
      <c r="A101" s="261" t="s">
        <v>16</v>
      </c>
      <c r="B101" s="261"/>
      <c r="C101" s="261"/>
      <c r="D101" s="261"/>
      <c r="E101" s="261"/>
      <c r="F101" s="261"/>
      <c r="G101" s="261"/>
      <c r="H101" s="261"/>
      <c r="I101" s="261"/>
    </row>
    <row r="102" spans="1:9" ht="47.25" customHeight="1">
      <c r="A102" s="251" t="s">
        <v>17</v>
      </c>
      <c r="B102" s="251"/>
      <c r="C102" s="251"/>
      <c r="D102" s="251"/>
      <c r="E102" s="251"/>
      <c r="F102" s="251"/>
      <c r="G102" s="251"/>
      <c r="H102" s="251"/>
      <c r="I102" s="251"/>
    </row>
    <row r="103" spans="1:9" ht="31.5" customHeight="1">
      <c r="A103" s="251" t="s">
        <v>18</v>
      </c>
      <c r="B103" s="251"/>
      <c r="C103" s="251"/>
      <c r="D103" s="251"/>
      <c r="E103" s="251"/>
      <c r="F103" s="251"/>
      <c r="G103" s="251"/>
      <c r="H103" s="251"/>
      <c r="I103" s="251"/>
    </row>
    <row r="104" spans="1:9" ht="31.5" customHeight="1">
      <c r="A104" s="251" t="s">
        <v>23</v>
      </c>
      <c r="B104" s="251"/>
      <c r="C104" s="251"/>
      <c r="D104" s="251"/>
      <c r="E104" s="251"/>
      <c r="F104" s="251"/>
      <c r="G104" s="251"/>
      <c r="H104" s="251"/>
      <c r="I104" s="251"/>
    </row>
    <row r="105" spans="1:9" ht="15.75" customHeight="1">
      <c r="A105" s="251" t="s">
        <v>22</v>
      </c>
      <c r="B105" s="251"/>
      <c r="C105" s="251"/>
      <c r="D105" s="251"/>
      <c r="E105" s="251"/>
      <c r="F105" s="251"/>
      <c r="G105" s="251"/>
      <c r="H105" s="251"/>
      <c r="I105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99:E99"/>
    <mergeCell ref="A77:I77"/>
    <mergeCell ref="A85:I85"/>
    <mergeCell ref="B86:G86"/>
    <mergeCell ref="B87:G87"/>
    <mergeCell ref="A89:I89"/>
    <mergeCell ref="A90:I90"/>
    <mergeCell ref="A91:I91"/>
    <mergeCell ref="A93:I93"/>
    <mergeCell ref="C95:E95"/>
    <mergeCell ref="C96:E96"/>
    <mergeCell ref="C98:E98"/>
    <mergeCell ref="A101:I101"/>
    <mergeCell ref="A102:I102"/>
    <mergeCell ref="A103:I103"/>
    <mergeCell ref="A104:I104"/>
    <mergeCell ref="A105:I10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278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80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42613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customHeight="1">
      <c r="A29" s="212">
        <v>6</v>
      </c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customHeight="1">
      <c r="A30" s="212">
        <v>7</v>
      </c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customHeight="1">
      <c r="A32" s="212">
        <v>8</v>
      </c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hidden="1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hidden="1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hidden="1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hidden="1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hidden="1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hidden="1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hidden="1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hidden="1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hidden="1" customHeight="1">
      <c r="A45" s="212"/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v>0</v>
      </c>
      <c r="J45" s="37"/>
      <c r="L45" s="28"/>
      <c r="M45" s="29"/>
      <c r="N45" s="30"/>
    </row>
    <row r="46" spans="1:14" ht="15.75" hidden="1" customHeight="1">
      <c r="A46" s="212"/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v>0</v>
      </c>
      <c r="J46" s="37"/>
      <c r="L46" s="28"/>
      <c r="M46" s="29"/>
      <c r="N46" s="30"/>
    </row>
    <row r="47" spans="1:14" ht="15.75" hidden="1" customHeight="1">
      <c r="A47" s="212"/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v>0</v>
      </c>
      <c r="J47" s="37"/>
      <c r="L47" s="28"/>
      <c r="M47" s="29"/>
      <c r="N47" s="30"/>
    </row>
    <row r="48" spans="1:14" ht="15.75" hidden="1" customHeight="1">
      <c r="A48" s="212"/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v>0</v>
      </c>
      <c r="J48" s="37"/>
      <c r="L48" s="28"/>
      <c r="M48" s="29"/>
      <c r="N48" s="30"/>
    </row>
    <row r="49" spans="1:14" ht="15.75" hidden="1" customHeight="1">
      <c r="A49" s="212"/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v>0</v>
      </c>
      <c r="J49" s="37"/>
      <c r="L49" s="28"/>
      <c r="M49" s="29"/>
      <c r="N49" s="30"/>
    </row>
    <row r="50" spans="1:14" ht="31.5" hidden="1" customHeight="1">
      <c r="A50" s="212">
        <v>13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hidden="1" customHeight="1">
      <c r="A51" s="212"/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v>0</v>
      </c>
      <c r="J51" s="37"/>
      <c r="L51" s="28"/>
      <c r="M51" s="29"/>
      <c r="N51" s="30"/>
    </row>
    <row r="52" spans="1:14" ht="31.5" hidden="1" customHeight="1">
      <c r="A52" s="212"/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v>0</v>
      </c>
      <c r="J52" s="37"/>
      <c r="L52" s="28"/>
      <c r="M52" s="29"/>
      <c r="N52" s="30"/>
    </row>
    <row r="53" spans="1:14" ht="15.75" hidden="1" customHeight="1">
      <c r="A53" s="212"/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v>0</v>
      </c>
      <c r="J53" s="37"/>
      <c r="L53" s="28"/>
      <c r="M53" s="29"/>
      <c r="N53" s="30"/>
    </row>
    <row r="54" spans="1:14" ht="15.75" customHeight="1">
      <c r="A54" s="212">
        <v>9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hidden="1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hidden="1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hidden="1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hidden="1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6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6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6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6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6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6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6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23"/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6"/>
        <v>0.24940000000000001</v>
      </c>
      <c r="I68" s="19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6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6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279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10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11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I16+I17+I18+I26+I27+I29+I30+I32+I54+I78+I79</f>
        <v>44307.436919388885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15.75" customHeight="1">
      <c r="A82" s="194">
        <v>12</v>
      </c>
      <c r="B82" s="186" t="s">
        <v>208</v>
      </c>
      <c r="C82" s="194" t="s">
        <v>209</v>
      </c>
      <c r="D82" s="83"/>
      <c r="E82" s="19"/>
      <c r="F82" s="19">
        <v>1</v>
      </c>
      <c r="G82" s="19">
        <v>51.39</v>
      </c>
      <c r="H82" s="220">
        <f>G82*F82/1000</f>
        <v>5.1389999999999998E-2</v>
      </c>
      <c r="I82" s="19">
        <f>G82</f>
        <v>51.39</v>
      </c>
    </row>
    <row r="83" spans="1:9" ht="15.75" customHeight="1">
      <c r="A83" s="194">
        <v>13</v>
      </c>
      <c r="B83" s="186" t="s">
        <v>203</v>
      </c>
      <c r="C83" s="194" t="s">
        <v>174</v>
      </c>
      <c r="D83" s="83"/>
      <c r="E83" s="19"/>
      <c r="F83" s="19">
        <f>12/3</f>
        <v>4</v>
      </c>
      <c r="G83" s="19">
        <v>1063.47</v>
      </c>
      <c r="H83" s="220">
        <v>3.54</v>
      </c>
      <c r="I83" s="19">
        <f>G83</f>
        <v>1063.47</v>
      </c>
    </row>
    <row r="84" spans="1:9" ht="15.75" customHeight="1">
      <c r="A84" s="49"/>
      <c r="B84" s="77" t="s">
        <v>62</v>
      </c>
      <c r="C84" s="73"/>
      <c r="D84" s="93"/>
      <c r="E84" s="73">
        <v>1</v>
      </c>
      <c r="F84" s="73"/>
      <c r="G84" s="73"/>
      <c r="H84" s="73"/>
      <c r="I84" s="55">
        <f>SUM(I82:I83)</f>
        <v>1114.8600000000001</v>
      </c>
    </row>
    <row r="85" spans="1:9" ht="15.75" customHeight="1">
      <c r="A85" s="49"/>
      <c r="B85" s="83" t="s">
        <v>100</v>
      </c>
      <c r="C85" s="22"/>
      <c r="D85" s="22"/>
      <c r="E85" s="74"/>
      <c r="F85" s="74"/>
      <c r="G85" s="75"/>
      <c r="H85" s="75"/>
      <c r="I85" s="25">
        <v>0</v>
      </c>
    </row>
    <row r="86" spans="1:9" ht="15.75" customHeight="1">
      <c r="A86" s="94"/>
      <c r="B86" s="78" t="s">
        <v>63</v>
      </c>
      <c r="C86" s="61"/>
      <c r="D86" s="61"/>
      <c r="E86" s="61"/>
      <c r="F86" s="61"/>
      <c r="G86" s="61"/>
      <c r="H86" s="61"/>
      <c r="I86" s="76">
        <f>I80+I84</f>
        <v>45422.296919388886</v>
      </c>
    </row>
    <row r="87" spans="1:9" ht="15.75" customHeight="1">
      <c r="A87" s="269" t="s">
        <v>280</v>
      </c>
      <c r="B87" s="269"/>
      <c r="C87" s="269"/>
      <c r="D87" s="269"/>
      <c r="E87" s="269"/>
      <c r="F87" s="269"/>
      <c r="G87" s="269"/>
      <c r="H87" s="269"/>
      <c r="I87" s="269"/>
    </row>
    <row r="88" spans="1:9" ht="15.75" customHeight="1">
      <c r="A88" s="201"/>
      <c r="B88" s="262" t="s">
        <v>281</v>
      </c>
      <c r="C88" s="262"/>
      <c r="D88" s="262"/>
      <c r="E88" s="262"/>
      <c r="F88" s="262"/>
      <c r="G88" s="262"/>
      <c r="H88" s="211"/>
      <c r="I88" s="4"/>
    </row>
    <row r="89" spans="1:9" ht="15.75" customHeight="1">
      <c r="A89" s="195"/>
      <c r="B89" s="258" t="s">
        <v>6</v>
      </c>
      <c r="C89" s="258"/>
      <c r="D89" s="258"/>
      <c r="E89" s="258"/>
      <c r="F89" s="258"/>
      <c r="G89" s="258"/>
      <c r="H89" s="40"/>
      <c r="I89" s="6"/>
    </row>
    <row r="90" spans="1:9" ht="15.75" customHeight="1">
      <c r="A90" s="12"/>
      <c r="B90" s="12"/>
      <c r="C90" s="12"/>
      <c r="D90" s="12"/>
      <c r="E90" s="12"/>
      <c r="F90" s="12"/>
      <c r="G90" s="12"/>
      <c r="H90" s="12"/>
      <c r="I90" s="12"/>
    </row>
    <row r="91" spans="1:9" ht="15.75" customHeight="1">
      <c r="A91" s="263" t="s">
        <v>7</v>
      </c>
      <c r="B91" s="263"/>
      <c r="C91" s="263"/>
      <c r="D91" s="263"/>
      <c r="E91" s="263"/>
      <c r="F91" s="263"/>
      <c r="G91" s="263"/>
      <c r="H91" s="263"/>
      <c r="I91" s="263"/>
    </row>
    <row r="92" spans="1:9" ht="15.75" customHeight="1">
      <c r="A92" s="263" t="s">
        <v>8</v>
      </c>
      <c r="B92" s="263"/>
      <c r="C92" s="263"/>
      <c r="D92" s="263"/>
      <c r="E92" s="263"/>
      <c r="F92" s="263"/>
      <c r="G92" s="263"/>
      <c r="H92" s="263"/>
      <c r="I92" s="263"/>
    </row>
    <row r="93" spans="1:9" ht="15.75" customHeight="1">
      <c r="A93" s="264" t="s">
        <v>79</v>
      </c>
      <c r="B93" s="264"/>
      <c r="C93" s="264"/>
      <c r="D93" s="264"/>
      <c r="E93" s="264"/>
      <c r="F93" s="264"/>
      <c r="G93" s="264"/>
      <c r="H93" s="264"/>
      <c r="I93" s="264"/>
    </row>
    <row r="94" spans="1:9" ht="15.75" customHeight="1">
      <c r="A94" s="13"/>
    </row>
    <row r="95" spans="1:9" ht="15.75" customHeight="1">
      <c r="A95" s="265" t="s">
        <v>10</v>
      </c>
      <c r="B95" s="265"/>
      <c r="C95" s="265"/>
      <c r="D95" s="265"/>
      <c r="E95" s="265"/>
      <c r="F95" s="265"/>
      <c r="G95" s="265"/>
      <c r="H95" s="265"/>
      <c r="I95" s="265"/>
    </row>
    <row r="96" spans="1:9" ht="15.75" customHeight="1">
      <c r="A96" s="5"/>
    </row>
    <row r="97" spans="1:9" ht="15.75" customHeight="1">
      <c r="B97" s="200" t="s">
        <v>11</v>
      </c>
      <c r="C97" s="257" t="s">
        <v>176</v>
      </c>
      <c r="D97" s="257"/>
      <c r="E97" s="257"/>
      <c r="F97" s="209"/>
      <c r="I97" s="197"/>
    </row>
    <row r="98" spans="1:9" ht="15.75" customHeight="1">
      <c r="A98" s="195"/>
      <c r="C98" s="258" t="s">
        <v>12</v>
      </c>
      <c r="D98" s="258"/>
      <c r="E98" s="258"/>
      <c r="F98" s="40"/>
      <c r="I98" s="196" t="s">
        <v>13</v>
      </c>
    </row>
    <row r="99" spans="1:9" ht="15.75" customHeight="1">
      <c r="A99" s="41"/>
      <c r="C99" s="14"/>
      <c r="D99" s="14"/>
      <c r="G99" s="14"/>
      <c r="H99" s="14"/>
    </row>
    <row r="100" spans="1:9" ht="15.75" customHeight="1">
      <c r="B100" s="200" t="s">
        <v>14</v>
      </c>
      <c r="C100" s="259"/>
      <c r="D100" s="259"/>
      <c r="E100" s="259"/>
      <c r="F100" s="210"/>
      <c r="I100" s="197"/>
    </row>
    <row r="101" spans="1:9" ht="15.75" customHeight="1">
      <c r="A101" s="195"/>
      <c r="C101" s="260" t="s">
        <v>12</v>
      </c>
      <c r="D101" s="260"/>
      <c r="E101" s="260"/>
      <c r="F101" s="195"/>
      <c r="I101" s="196" t="s">
        <v>13</v>
      </c>
    </row>
    <row r="102" spans="1:9" ht="15.75" customHeight="1">
      <c r="A102" s="5" t="s">
        <v>15</v>
      </c>
    </row>
    <row r="103" spans="1:9" ht="15.75" customHeight="1">
      <c r="A103" s="261" t="s">
        <v>16</v>
      </c>
      <c r="B103" s="261"/>
      <c r="C103" s="261"/>
      <c r="D103" s="261"/>
      <c r="E103" s="261"/>
      <c r="F103" s="261"/>
      <c r="G103" s="261"/>
      <c r="H103" s="261"/>
      <c r="I103" s="261"/>
    </row>
    <row r="104" spans="1:9" ht="47.25" customHeight="1">
      <c r="A104" s="251" t="s">
        <v>17</v>
      </c>
      <c r="B104" s="251"/>
      <c r="C104" s="251"/>
      <c r="D104" s="251"/>
      <c r="E104" s="251"/>
      <c r="F104" s="251"/>
      <c r="G104" s="251"/>
      <c r="H104" s="251"/>
      <c r="I104" s="251"/>
    </row>
    <row r="105" spans="1:9" ht="31.5" customHeight="1">
      <c r="A105" s="251" t="s">
        <v>18</v>
      </c>
      <c r="B105" s="251"/>
      <c r="C105" s="251"/>
      <c r="D105" s="251"/>
      <c r="E105" s="251"/>
      <c r="F105" s="251"/>
      <c r="G105" s="251"/>
      <c r="H105" s="251"/>
      <c r="I105" s="251"/>
    </row>
    <row r="106" spans="1:9" ht="31.5" customHeight="1">
      <c r="A106" s="251" t="s">
        <v>23</v>
      </c>
      <c r="B106" s="251"/>
      <c r="C106" s="251"/>
      <c r="D106" s="251"/>
      <c r="E106" s="251"/>
      <c r="F106" s="251"/>
      <c r="G106" s="251"/>
      <c r="H106" s="251"/>
      <c r="I106" s="251"/>
    </row>
    <row r="107" spans="1:9" ht="15.75" customHeight="1">
      <c r="A107" s="251" t="s">
        <v>22</v>
      </c>
      <c r="B107" s="251"/>
      <c r="C107" s="251"/>
      <c r="D107" s="251"/>
      <c r="E107" s="251"/>
      <c r="F107" s="251"/>
      <c r="G107" s="251"/>
      <c r="H107" s="251"/>
      <c r="I107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1:E101"/>
    <mergeCell ref="A77:I77"/>
    <mergeCell ref="A87:I87"/>
    <mergeCell ref="B88:G88"/>
    <mergeCell ref="B89:G89"/>
    <mergeCell ref="A91:I91"/>
    <mergeCell ref="A92:I92"/>
    <mergeCell ref="A93:I93"/>
    <mergeCell ref="A95:I95"/>
    <mergeCell ref="C97:E97"/>
    <mergeCell ref="C98:E98"/>
    <mergeCell ref="C100:E100"/>
    <mergeCell ref="A103:I103"/>
    <mergeCell ref="A104:I104"/>
    <mergeCell ref="A105:I105"/>
    <mergeCell ref="A106:I106"/>
    <mergeCell ref="A107:I10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44" t="s">
        <v>121</v>
      </c>
      <c r="I1" s="43"/>
    </row>
    <row r="2" spans="1:13" ht="15.75">
      <c r="A2" s="45" t="s">
        <v>82</v>
      </c>
      <c r="J2" s="1"/>
      <c r="K2" s="1"/>
      <c r="L2" s="1"/>
      <c r="M2" s="1"/>
    </row>
    <row r="3" spans="1:13" ht="15.75" customHeight="1">
      <c r="A3" s="270" t="s">
        <v>282</v>
      </c>
      <c r="B3" s="270"/>
      <c r="C3" s="270"/>
      <c r="D3" s="270"/>
      <c r="E3" s="270"/>
      <c r="F3" s="270"/>
      <c r="G3" s="270"/>
      <c r="H3" s="270"/>
      <c r="I3" s="270"/>
      <c r="J3" s="2"/>
      <c r="K3" s="2"/>
      <c r="L3" s="2"/>
      <c r="M3" s="2"/>
    </row>
    <row r="4" spans="1:13" ht="33.75" customHeight="1">
      <c r="A4" s="271" t="s">
        <v>177</v>
      </c>
      <c r="B4" s="271"/>
      <c r="C4" s="271"/>
      <c r="D4" s="271"/>
      <c r="E4" s="271"/>
      <c r="F4" s="271"/>
      <c r="G4" s="271"/>
      <c r="H4" s="271"/>
      <c r="I4" s="271"/>
      <c r="J4" s="3"/>
      <c r="K4" s="3"/>
      <c r="L4" s="3"/>
      <c r="M4" s="3"/>
    </row>
    <row r="5" spans="1:13" ht="15.75" customHeight="1">
      <c r="A5" s="270" t="s">
        <v>111</v>
      </c>
      <c r="B5" s="272"/>
      <c r="C5" s="272"/>
      <c r="D5" s="272"/>
      <c r="E5" s="272"/>
      <c r="F5" s="272"/>
      <c r="G5" s="272"/>
      <c r="H5" s="272"/>
      <c r="I5" s="272"/>
      <c r="J5" s="4"/>
      <c r="K5" s="4"/>
      <c r="L5" s="4"/>
    </row>
    <row r="6" spans="1:13" ht="15.75" customHeight="1">
      <c r="A6" s="3"/>
      <c r="B6" s="198"/>
      <c r="C6" s="198"/>
      <c r="D6" s="198"/>
      <c r="E6" s="198"/>
      <c r="F6" s="198"/>
      <c r="G6" s="198"/>
      <c r="H6" s="198"/>
      <c r="I6" s="53">
        <v>42643</v>
      </c>
    </row>
    <row r="7" spans="1:13" ht="15.75">
      <c r="B7" s="200"/>
      <c r="C7" s="200"/>
      <c r="D7" s="2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73" t="s">
        <v>292</v>
      </c>
      <c r="B8" s="273"/>
      <c r="C8" s="273"/>
      <c r="D8" s="273"/>
      <c r="E8" s="273"/>
      <c r="F8" s="273"/>
      <c r="G8" s="273"/>
      <c r="H8" s="273"/>
      <c r="I8" s="273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74" t="s">
        <v>202</v>
      </c>
      <c r="B10" s="274"/>
      <c r="C10" s="274"/>
      <c r="D10" s="274"/>
      <c r="E10" s="274"/>
      <c r="F10" s="274"/>
      <c r="G10" s="274"/>
      <c r="H10" s="274"/>
      <c r="I10" s="274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24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66" t="s">
        <v>74</v>
      </c>
      <c r="B14" s="266"/>
      <c r="C14" s="266"/>
      <c r="D14" s="266"/>
      <c r="E14" s="266"/>
      <c r="F14" s="266"/>
      <c r="G14" s="266"/>
      <c r="H14" s="266"/>
      <c r="I14" s="266"/>
    </row>
    <row r="15" spans="1:13">
      <c r="A15" s="266" t="s">
        <v>4</v>
      </c>
      <c r="B15" s="266"/>
      <c r="C15" s="266"/>
      <c r="D15" s="266"/>
      <c r="E15" s="266"/>
      <c r="F15" s="266"/>
      <c r="G15" s="266"/>
      <c r="H15" s="266"/>
      <c r="I15" s="266"/>
      <c r="J15" s="10"/>
      <c r="K15" s="10"/>
      <c r="L15" s="10"/>
      <c r="M15" s="10"/>
    </row>
    <row r="16" spans="1:13" ht="31.5" customHeight="1">
      <c r="A16" s="212">
        <v>1</v>
      </c>
      <c r="B16" s="222" t="s">
        <v>123</v>
      </c>
      <c r="C16" s="223" t="s">
        <v>146</v>
      </c>
      <c r="D16" s="222" t="s">
        <v>214</v>
      </c>
      <c r="E16" s="224">
        <v>54</v>
      </c>
      <c r="F16" s="225">
        <f>SUM(E16*156/100)</f>
        <v>84.24</v>
      </c>
      <c r="G16" s="225">
        <v>175.38</v>
      </c>
      <c r="H16" s="226">
        <f t="shared" ref="H16:H25" si="0">SUM(F16*G16/1000)</f>
        <v>14.774011199999999</v>
      </c>
      <c r="I16" s="19">
        <f>F16/12*G16</f>
        <v>1231.1676</v>
      </c>
      <c r="J16" s="10"/>
      <c r="K16" s="10"/>
      <c r="L16" s="10"/>
      <c r="M16" s="10"/>
    </row>
    <row r="17" spans="1:13" ht="31.5" customHeight="1">
      <c r="A17" s="212">
        <v>2</v>
      </c>
      <c r="B17" s="222" t="s">
        <v>178</v>
      </c>
      <c r="C17" s="223" t="s">
        <v>146</v>
      </c>
      <c r="D17" s="222" t="s">
        <v>215</v>
      </c>
      <c r="E17" s="224">
        <v>216</v>
      </c>
      <c r="F17" s="225">
        <f>SUM(E17*104/100)</f>
        <v>224.64</v>
      </c>
      <c r="G17" s="225">
        <v>175.38</v>
      </c>
      <c r="H17" s="226">
        <f t="shared" si="0"/>
        <v>39.397363200000001</v>
      </c>
      <c r="I17" s="19">
        <f>F17/12*G17</f>
        <v>3283.1135999999997</v>
      </c>
      <c r="J17" s="10"/>
      <c r="K17" s="10"/>
      <c r="L17" s="10"/>
      <c r="M17" s="10"/>
    </row>
    <row r="18" spans="1:13" ht="31.5" customHeight="1">
      <c r="A18" s="212">
        <v>3</v>
      </c>
      <c r="B18" s="222" t="s">
        <v>179</v>
      </c>
      <c r="C18" s="223" t="s">
        <v>146</v>
      </c>
      <c r="D18" s="222" t="s">
        <v>250</v>
      </c>
      <c r="E18" s="224">
        <f>SUM(E16+E17)</f>
        <v>270</v>
      </c>
      <c r="F18" s="225">
        <f>SUM(E18*24/100)</f>
        <v>64.8</v>
      </c>
      <c r="G18" s="225">
        <v>504.5</v>
      </c>
      <c r="H18" s="226">
        <f t="shared" si="0"/>
        <v>32.691600000000001</v>
      </c>
      <c r="I18" s="19">
        <f>F18/12*G18</f>
        <v>2724.2999999999997</v>
      </c>
      <c r="J18" s="35"/>
      <c r="K18" s="10"/>
      <c r="L18" s="10"/>
      <c r="M18" s="10"/>
    </row>
    <row r="19" spans="1:13" ht="15.75" hidden="1" customHeight="1">
      <c r="A19" s="212"/>
      <c r="B19" s="222" t="s">
        <v>147</v>
      </c>
      <c r="C19" s="223" t="s">
        <v>148</v>
      </c>
      <c r="D19" s="222" t="s">
        <v>149</v>
      </c>
      <c r="E19" s="224">
        <v>40</v>
      </c>
      <c r="F19" s="225">
        <f>SUM(E19/10)</f>
        <v>4</v>
      </c>
      <c r="G19" s="225">
        <v>170.16</v>
      </c>
      <c r="H19" s="226">
        <f t="shared" si="0"/>
        <v>0.68064000000000002</v>
      </c>
      <c r="I19" s="19">
        <v>0</v>
      </c>
      <c r="J19" s="36"/>
      <c r="K19" s="10"/>
      <c r="L19" s="10"/>
      <c r="M19" s="10"/>
    </row>
    <row r="20" spans="1:13" ht="15.75" hidden="1" customHeight="1">
      <c r="A20" s="212"/>
      <c r="B20" s="222" t="s">
        <v>150</v>
      </c>
      <c r="C20" s="223" t="s">
        <v>146</v>
      </c>
      <c r="D20" s="222" t="s">
        <v>65</v>
      </c>
      <c r="E20" s="224">
        <v>10.5</v>
      </c>
      <c r="F20" s="225">
        <f t="shared" ref="F20:F25" si="1">SUM(E20/100)</f>
        <v>0.105</v>
      </c>
      <c r="G20" s="225">
        <v>217.88</v>
      </c>
      <c r="H20" s="226">
        <f t="shared" si="0"/>
        <v>2.2877399999999999E-2</v>
      </c>
      <c r="I20" s="19">
        <v>0</v>
      </c>
      <c r="J20" s="36"/>
      <c r="K20" s="10"/>
      <c r="L20" s="10"/>
      <c r="M20" s="10"/>
    </row>
    <row r="21" spans="1:13" ht="15.75" hidden="1" customHeight="1">
      <c r="A21" s="212"/>
      <c r="B21" s="222" t="s">
        <v>151</v>
      </c>
      <c r="C21" s="223" t="s">
        <v>146</v>
      </c>
      <c r="D21" s="222" t="s">
        <v>65</v>
      </c>
      <c r="E21" s="224">
        <v>2.7</v>
      </c>
      <c r="F21" s="225">
        <f t="shared" si="1"/>
        <v>2.7000000000000003E-2</v>
      </c>
      <c r="G21" s="225">
        <v>203.5</v>
      </c>
      <c r="H21" s="226">
        <f t="shared" si="0"/>
        <v>5.4945000000000003E-3</v>
      </c>
      <c r="I21" s="19">
        <v>0</v>
      </c>
      <c r="J21" s="36"/>
      <c r="K21" s="10"/>
      <c r="L21" s="10"/>
      <c r="M21" s="10"/>
    </row>
    <row r="22" spans="1:13" ht="15.75" hidden="1" customHeight="1">
      <c r="A22" s="212"/>
      <c r="B22" s="222" t="s">
        <v>152</v>
      </c>
      <c r="C22" s="223" t="s">
        <v>64</v>
      </c>
      <c r="D22" s="222" t="s">
        <v>149</v>
      </c>
      <c r="E22" s="224">
        <v>357</v>
      </c>
      <c r="F22" s="225">
        <f t="shared" si="1"/>
        <v>3.57</v>
      </c>
      <c r="G22" s="225">
        <v>269.26</v>
      </c>
      <c r="H22" s="226">
        <f t="shared" si="0"/>
        <v>0.96125819999999984</v>
      </c>
      <c r="I22" s="19">
        <v>0</v>
      </c>
      <c r="J22" s="36"/>
      <c r="K22" s="10"/>
      <c r="L22" s="10"/>
      <c r="M22" s="10"/>
    </row>
    <row r="23" spans="1:13" ht="15.75" hidden="1" customHeight="1">
      <c r="A23" s="212"/>
      <c r="B23" s="222" t="s">
        <v>153</v>
      </c>
      <c r="C23" s="223" t="s">
        <v>64</v>
      </c>
      <c r="D23" s="222" t="s">
        <v>149</v>
      </c>
      <c r="E23" s="227">
        <v>38.64</v>
      </c>
      <c r="F23" s="225">
        <f t="shared" si="1"/>
        <v>0.38640000000000002</v>
      </c>
      <c r="G23" s="225">
        <v>44.29</v>
      </c>
      <c r="H23" s="226">
        <f t="shared" si="0"/>
        <v>1.7113655999999998E-2</v>
      </c>
      <c r="I23" s="19">
        <v>0</v>
      </c>
      <c r="J23" s="36"/>
      <c r="K23" s="10"/>
      <c r="L23" s="10"/>
      <c r="M23" s="10"/>
    </row>
    <row r="24" spans="1:13" ht="15.75" hidden="1" customHeight="1">
      <c r="A24" s="212"/>
      <c r="B24" s="222" t="s">
        <v>154</v>
      </c>
      <c r="C24" s="223" t="s">
        <v>64</v>
      </c>
      <c r="D24" s="228" t="s">
        <v>149</v>
      </c>
      <c r="E24" s="26">
        <v>15</v>
      </c>
      <c r="F24" s="229">
        <f t="shared" si="1"/>
        <v>0.15</v>
      </c>
      <c r="G24" s="225">
        <v>389.72</v>
      </c>
      <c r="H24" s="226">
        <f t="shared" si="0"/>
        <v>5.8457999999999996E-2</v>
      </c>
      <c r="I24" s="19">
        <v>0</v>
      </c>
      <c r="J24" s="36"/>
      <c r="K24" s="10"/>
      <c r="L24" s="10"/>
      <c r="M24" s="10"/>
    </row>
    <row r="25" spans="1:13" ht="15.75" hidden="1" customHeight="1">
      <c r="A25" s="212"/>
      <c r="B25" s="222" t="s">
        <v>183</v>
      </c>
      <c r="C25" s="223" t="s">
        <v>64</v>
      </c>
      <c r="D25" s="222" t="s">
        <v>149</v>
      </c>
      <c r="E25" s="230">
        <v>6.38</v>
      </c>
      <c r="F25" s="225">
        <f t="shared" si="1"/>
        <v>6.3799999999999996E-2</v>
      </c>
      <c r="G25" s="225">
        <v>520.79999999999995</v>
      </c>
      <c r="H25" s="226">
        <f t="shared" si="0"/>
        <v>3.3227039999999992E-2</v>
      </c>
      <c r="I25" s="19">
        <v>0</v>
      </c>
      <c r="J25" s="36"/>
      <c r="K25" s="10"/>
      <c r="L25" s="10"/>
      <c r="M25" s="10"/>
    </row>
    <row r="26" spans="1:13" ht="15.75" customHeight="1">
      <c r="A26" s="212">
        <v>4</v>
      </c>
      <c r="B26" s="222" t="s">
        <v>84</v>
      </c>
      <c r="C26" s="223" t="s">
        <v>36</v>
      </c>
      <c r="D26" s="222" t="s">
        <v>221</v>
      </c>
      <c r="E26" s="224">
        <v>0.1</v>
      </c>
      <c r="F26" s="225">
        <f>SUM(E26*365)</f>
        <v>36.5</v>
      </c>
      <c r="G26" s="225">
        <v>147.03</v>
      </c>
      <c r="H26" s="226">
        <f>SUM(F26*G26/1000)</f>
        <v>5.3665950000000002</v>
      </c>
      <c r="I26" s="19">
        <f>F26/12*G26</f>
        <v>447.21625</v>
      </c>
      <c r="J26" s="36"/>
      <c r="K26" s="10"/>
      <c r="L26" s="10"/>
      <c r="M26" s="10"/>
    </row>
    <row r="27" spans="1:13" ht="15.75" customHeight="1">
      <c r="A27" s="212">
        <v>5</v>
      </c>
      <c r="B27" s="233" t="s">
        <v>25</v>
      </c>
      <c r="C27" s="223" t="s">
        <v>26</v>
      </c>
      <c r="D27" s="233" t="s">
        <v>223</v>
      </c>
      <c r="E27" s="224">
        <v>3216.2</v>
      </c>
      <c r="F27" s="225">
        <f>SUM(E27*12)</f>
        <v>38594.399999999994</v>
      </c>
      <c r="G27" s="225">
        <v>4.53</v>
      </c>
      <c r="H27" s="226">
        <f>SUM(F27*G27/1000)</f>
        <v>174.83263199999999</v>
      </c>
      <c r="I27" s="19">
        <f>F27/12*G27</f>
        <v>14569.385999999999</v>
      </c>
      <c r="J27" s="36"/>
      <c r="K27" s="10"/>
      <c r="L27" s="10"/>
      <c r="M27" s="10"/>
    </row>
    <row r="28" spans="1:13" ht="15.75" customHeight="1">
      <c r="A28" s="252" t="s">
        <v>252</v>
      </c>
      <c r="B28" s="253"/>
      <c r="C28" s="253"/>
      <c r="D28" s="253"/>
      <c r="E28" s="253"/>
      <c r="F28" s="253"/>
      <c r="G28" s="253"/>
      <c r="H28" s="253"/>
      <c r="I28" s="254"/>
      <c r="J28" s="36"/>
      <c r="K28" s="10"/>
      <c r="L28" s="10"/>
      <c r="M28" s="10"/>
    </row>
    <row r="29" spans="1:13" ht="31.5" customHeight="1">
      <c r="A29" s="212">
        <v>6</v>
      </c>
      <c r="B29" s="222" t="s">
        <v>216</v>
      </c>
      <c r="C29" s="223" t="s">
        <v>156</v>
      </c>
      <c r="D29" s="222" t="s">
        <v>217</v>
      </c>
      <c r="E29" s="225">
        <v>691.65</v>
      </c>
      <c r="F29" s="225">
        <f>SUM(E29*52/1000)</f>
        <v>35.965799999999994</v>
      </c>
      <c r="G29" s="225">
        <v>155.88999999999999</v>
      </c>
      <c r="H29" s="226">
        <f t="shared" ref="H29:H34" si="2">SUM(F29*G29/1000)</f>
        <v>5.6067085619999988</v>
      </c>
      <c r="I29" s="19">
        <f>F29/6*G29</f>
        <v>934.45142699999974</v>
      </c>
      <c r="J29" s="36"/>
      <c r="K29" s="10"/>
      <c r="L29" s="10"/>
      <c r="M29" s="10"/>
    </row>
    <row r="30" spans="1:13" ht="31.5" customHeight="1">
      <c r="A30" s="212">
        <v>7</v>
      </c>
      <c r="B30" s="222" t="s">
        <v>218</v>
      </c>
      <c r="C30" s="223" t="s">
        <v>156</v>
      </c>
      <c r="D30" s="222" t="s">
        <v>219</v>
      </c>
      <c r="E30" s="225">
        <v>67.650000000000006</v>
      </c>
      <c r="F30" s="225">
        <f>SUM(E30*78/1000)</f>
        <v>5.2767000000000008</v>
      </c>
      <c r="G30" s="225">
        <v>258.63</v>
      </c>
      <c r="H30" s="226">
        <f t="shared" si="2"/>
        <v>1.3647129210000002</v>
      </c>
      <c r="I30" s="19">
        <f t="shared" ref="I30:I32" si="3">F30/6*G30</f>
        <v>227.45215350000004</v>
      </c>
      <c r="J30" s="36"/>
      <c r="K30" s="10"/>
      <c r="L30" s="10"/>
      <c r="M30" s="10"/>
    </row>
    <row r="31" spans="1:13" ht="15.75" hidden="1" customHeight="1">
      <c r="A31" s="212"/>
      <c r="B31" s="222" t="s">
        <v>30</v>
      </c>
      <c r="C31" s="223" t="s">
        <v>156</v>
      </c>
      <c r="D31" s="222" t="s">
        <v>65</v>
      </c>
      <c r="E31" s="225">
        <v>691.65</v>
      </c>
      <c r="F31" s="225">
        <f>SUM(E31/1000)</f>
        <v>0.69164999999999999</v>
      </c>
      <c r="G31" s="225">
        <v>3020.33</v>
      </c>
      <c r="H31" s="226">
        <f t="shared" si="2"/>
        <v>2.0890112445</v>
      </c>
      <c r="I31" s="19">
        <f>F31*G31</f>
        <v>2089.0112445</v>
      </c>
      <c r="J31" s="36"/>
      <c r="K31" s="10"/>
      <c r="L31" s="10"/>
      <c r="M31" s="10"/>
    </row>
    <row r="32" spans="1:13" ht="15.75" customHeight="1">
      <c r="A32" s="212">
        <v>8</v>
      </c>
      <c r="B32" s="222" t="s">
        <v>220</v>
      </c>
      <c r="C32" s="223" t="s">
        <v>34</v>
      </c>
      <c r="D32" s="222" t="s">
        <v>83</v>
      </c>
      <c r="E32" s="232">
        <v>0.33333333333333331</v>
      </c>
      <c r="F32" s="225">
        <f>155/3</f>
        <v>51.666666666666664</v>
      </c>
      <c r="G32" s="225">
        <v>56.69</v>
      </c>
      <c r="H32" s="226">
        <f>SUM(G32*155/3/1000)</f>
        <v>2.9289833333333331</v>
      </c>
      <c r="I32" s="19">
        <f t="shared" si="3"/>
        <v>488.16388888888883</v>
      </c>
      <c r="J32" s="36"/>
      <c r="K32" s="10"/>
      <c r="L32" s="10"/>
      <c r="M32" s="10"/>
    </row>
    <row r="33" spans="1:14" ht="15.75" hidden="1" customHeight="1">
      <c r="A33" s="212"/>
      <c r="B33" s="222" t="s">
        <v>85</v>
      </c>
      <c r="C33" s="223" t="s">
        <v>36</v>
      </c>
      <c r="D33" s="222" t="s">
        <v>87</v>
      </c>
      <c r="E33" s="224"/>
      <c r="F33" s="225">
        <v>3</v>
      </c>
      <c r="G33" s="225">
        <v>191.32</v>
      </c>
      <c r="H33" s="226">
        <f t="shared" si="2"/>
        <v>0.57396000000000003</v>
      </c>
      <c r="I33" s="19">
        <v>0</v>
      </c>
      <c r="J33" s="36"/>
      <c r="K33" s="10"/>
      <c r="L33" s="10"/>
      <c r="M33" s="10"/>
    </row>
    <row r="34" spans="1:14" ht="15.75" hidden="1" customHeight="1">
      <c r="A34" s="212"/>
      <c r="B34" s="222" t="s">
        <v>222</v>
      </c>
      <c r="C34" s="223" t="s">
        <v>35</v>
      </c>
      <c r="D34" s="222" t="s">
        <v>87</v>
      </c>
      <c r="E34" s="224"/>
      <c r="F34" s="225">
        <v>2</v>
      </c>
      <c r="G34" s="225">
        <v>1136.33</v>
      </c>
      <c r="H34" s="226">
        <f t="shared" si="2"/>
        <v>2.2726599999999997</v>
      </c>
      <c r="I34" s="19">
        <v>0</v>
      </c>
      <c r="J34" s="36"/>
      <c r="K34" s="10"/>
      <c r="L34" s="10"/>
      <c r="M34" s="10"/>
    </row>
    <row r="35" spans="1:14" ht="15.75" hidden="1" customHeight="1">
      <c r="A35" s="252" t="s">
        <v>251</v>
      </c>
      <c r="B35" s="253"/>
      <c r="C35" s="253"/>
      <c r="D35" s="253"/>
      <c r="E35" s="253"/>
      <c r="F35" s="253"/>
      <c r="G35" s="253"/>
      <c r="H35" s="253"/>
      <c r="I35" s="254"/>
      <c r="J35" s="37"/>
    </row>
    <row r="36" spans="1:14" ht="15.75" hidden="1" customHeight="1">
      <c r="A36" s="212">
        <v>6</v>
      </c>
      <c r="B36" s="222" t="s">
        <v>29</v>
      </c>
      <c r="C36" s="223" t="s">
        <v>35</v>
      </c>
      <c r="D36" s="222"/>
      <c r="E36" s="224"/>
      <c r="F36" s="225">
        <v>8</v>
      </c>
      <c r="G36" s="225">
        <v>1527.22</v>
      </c>
      <c r="H36" s="226">
        <f t="shared" ref="H36:H43" si="4">SUM(F36*G36/1000)</f>
        <v>12.21776</v>
      </c>
      <c r="I36" s="19">
        <f>F36/6*G36</f>
        <v>2036.2933333333333</v>
      </c>
      <c r="J36" s="37"/>
    </row>
    <row r="37" spans="1:14" ht="15.75" hidden="1" customHeight="1">
      <c r="A37" s="212">
        <v>7</v>
      </c>
      <c r="B37" s="222" t="s">
        <v>132</v>
      </c>
      <c r="C37" s="223" t="s">
        <v>32</v>
      </c>
      <c r="D37" s="222" t="s">
        <v>224</v>
      </c>
      <c r="E37" s="224">
        <v>417.3</v>
      </c>
      <c r="F37" s="225">
        <f>E37*12/1000</f>
        <v>5.0076000000000001</v>
      </c>
      <c r="G37" s="225">
        <v>2102.71</v>
      </c>
      <c r="H37" s="226">
        <f>G37*F37/1000</f>
        <v>10.529530596000001</v>
      </c>
      <c r="I37" s="19">
        <f>F37/6*G37</f>
        <v>1754.9217660000002</v>
      </c>
      <c r="J37" s="37"/>
    </row>
    <row r="38" spans="1:14" ht="15.75" hidden="1" customHeight="1">
      <c r="A38" s="212">
        <v>8</v>
      </c>
      <c r="B38" s="222" t="s">
        <v>186</v>
      </c>
      <c r="C38" s="223" t="s">
        <v>32</v>
      </c>
      <c r="D38" s="222" t="s">
        <v>159</v>
      </c>
      <c r="E38" s="224">
        <v>67.650000000000006</v>
      </c>
      <c r="F38" s="225">
        <f>E38*30/1000</f>
        <v>2.0295000000000001</v>
      </c>
      <c r="G38" s="225">
        <v>2102.71</v>
      </c>
      <c r="H38" s="226">
        <f>G38*F38/1000</f>
        <v>4.2674499450000001</v>
      </c>
      <c r="I38" s="19">
        <f>F38/6*G38</f>
        <v>711.24165749999997</v>
      </c>
      <c r="J38" s="37"/>
    </row>
    <row r="39" spans="1:14" ht="15.75" hidden="1" customHeight="1">
      <c r="A39" s="212"/>
      <c r="B39" s="222" t="s">
        <v>187</v>
      </c>
      <c r="C39" s="223" t="s">
        <v>188</v>
      </c>
      <c r="D39" s="222" t="s">
        <v>87</v>
      </c>
      <c r="E39" s="224"/>
      <c r="F39" s="225">
        <v>100</v>
      </c>
      <c r="G39" s="225">
        <v>213.2</v>
      </c>
      <c r="H39" s="226">
        <f>G39*F39/1000</f>
        <v>21.32</v>
      </c>
      <c r="I39" s="19">
        <v>0</v>
      </c>
      <c r="J39" s="37"/>
    </row>
    <row r="40" spans="1:14" ht="15.75" hidden="1" customHeight="1">
      <c r="A40" s="212">
        <v>9</v>
      </c>
      <c r="B40" s="222" t="s">
        <v>88</v>
      </c>
      <c r="C40" s="223" t="s">
        <v>32</v>
      </c>
      <c r="D40" s="222" t="s">
        <v>160</v>
      </c>
      <c r="E40" s="225">
        <v>67.650000000000006</v>
      </c>
      <c r="F40" s="225">
        <f>SUM(E40*155/1000)</f>
        <v>10.485749999999999</v>
      </c>
      <c r="G40" s="225">
        <v>350.75</v>
      </c>
      <c r="H40" s="226">
        <f t="shared" si="4"/>
        <v>3.6778768124999996</v>
      </c>
      <c r="I40" s="19">
        <f>F40/6*G40</f>
        <v>612.97946875000002</v>
      </c>
      <c r="J40" s="37"/>
    </row>
    <row r="41" spans="1:14" ht="15.75" hidden="1" customHeight="1">
      <c r="A41" s="212">
        <v>10</v>
      </c>
      <c r="B41" s="222" t="s">
        <v>113</v>
      </c>
      <c r="C41" s="223" t="s">
        <v>156</v>
      </c>
      <c r="D41" s="222" t="s">
        <v>225</v>
      </c>
      <c r="E41" s="225">
        <v>67.650000000000006</v>
      </c>
      <c r="F41" s="225">
        <f>SUM(E41*24/1000)</f>
        <v>1.6236000000000002</v>
      </c>
      <c r="G41" s="225">
        <v>5803.28</v>
      </c>
      <c r="H41" s="226">
        <f t="shared" si="4"/>
        <v>9.4222054079999999</v>
      </c>
      <c r="I41" s="19">
        <f>F41/6*G41</f>
        <v>1570.3675679999999</v>
      </c>
      <c r="J41" s="37"/>
    </row>
    <row r="42" spans="1:14" ht="15.75" hidden="1" customHeight="1">
      <c r="A42" s="212">
        <v>11</v>
      </c>
      <c r="B42" s="222" t="s">
        <v>161</v>
      </c>
      <c r="C42" s="223" t="s">
        <v>156</v>
      </c>
      <c r="D42" s="222" t="s">
        <v>89</v>
      </c>
      <c r="E42" s="225">
        <v>67.650000000000006</v>
      </c>
      <c r="F42" s="225">
        <f>SUM(E42*45/1000)</f>
        <v>3.0442500000000003</v>
      </c>
      <c r="G42" s="225">
        <v>428.7</v>
      </c>
      <c r="H42" s="226">
        <f t="shared" si="4"/>
        <v>1.3050699750000001</v>
      </c>
      <c r="I42" s="19">
        <f>F42/6*G42</f>
        <v>217.5116625</v>
      </c>
      <c r="J42" s="37"/>
    </row>
    <row r="43" spans="1:14" ht="15.75" hidden="1" customHeight="1">
      <c r="A43" s="212">
        <v>12</v>
      </c>
      <c r="B43" s="222" t="s">
        <v>90</v>
      </c>
      <c r="C43" s="223" t="s">
        <v>36</v>
      </c>
      <c r="D43" s="222"/>
      <c r="E43" s="224"/>
      <c r="F43" s="225">
        <v>0.8</v>
      </c>
      <c r="G43" s="225">
        <v>798</v>
      </c>
      <c r="H43" s="226">
        <f t="shared" si="4"/>
        <v>0.63840000000000008</v>
      </c>
      <c r="I43" s="19">
        <f>F43/6*G43</f>
        <v>106.39999999999999</v>
      </c>
      <c r="J43" s="37"/>
      <c r="L43" s="28"/>
      <c r="M43" s="29"/>
      <c r="N43" s="30"/>
    </row>
    <row r="44" spans="1:14" ht="15.75" customHeight="1">
      <c r="A44" s="252" t="s">
        <v>255</v>
      </c>
      <c r="B44" s="267"/>
      <c r="C44" s="267"/>
      <c r="D44" s="267"/>
      <c r="E44" s="267"/>
      <c r="F44" s="267"/>
      <c r="G44" s="267"/>
      <c r="H44" s="267"/>
      <c r="I44" s="268"/>
      <c r="J44" s="37"/>
      <c r="L44" s="28"/>
      <c r="M44" s="29"/>
      <c r="N44" s="30"/>
    </row>
    <row r="45" spans="1:14" ht="15.75" customHeight="1">
      <c r="A45" s="212">
        <v>9</v>
      </c>
      <c r="B45" s="222" t="s">
        <v>162</v>
      </c>
      <c r="C45" s="223" t="s">
        <v>156</v>
      </c>
      <c r="D45" s="222" t="s">
        <v>51</v>
      </c>
      <c r="E45" s="224">
        <v>1113.125</v>
      </c>
      <c r="F45" s="225">
        <f>SUM(E45*2/1000)</f>
        <v>2.2262499999999998</v>
      </c>
      <c r="G45" s="19">
        <v>809.74</v>
      </c>
      <c r="H45" s="226">
        <f t="shared" ref="H45:H54" si="5">SUM(F45*G45/1000)</f>
        <v>1.8026836749999999</v>
      </c>
      <c r="I45" s="19">
        <f t="shared" ref="I45:I48" si="6">F45/2*G45</f>
        <v>901.3418375</v>
      </c>
      <c r="J45" s="37"/>
      <c r="L45" s="28"/>
      <c r="M45" s="29"/>
      <c r="N45" s="30"/>
    </row>
    <row r="46" spans="1:14" ht="15.75" customHeight="1">
      <c r="A46" s="212">
        <v>10</v>
      </c>
      <c r="B46" s="222" t="s">
        <v>40</v>
      </c>
      <c r="C46" s="223" t="s">
        <v>156</v>
      </c>
      <c r="D46" s="222" t="s">
        <v>51</v>
      </c>
      <c r="E46" s="224">
        <v>106</v>
      </c>
      <c r="F46" s="225">
        <f>E46*2/1000</f>
        <v>0.21199999999999999</v>
      </c>
      <c r="G46" s="19">
        <v>579.48</v>
      </c>
      <c r="H46" s="226">
        <f t="shared" si="5"/>
        <v>0.12284976</v>
      </c>
      <c r="I46" s="19">
        <f t="shared" si="6"/>
        <v>61.424880000000002</v>
      </c>
      <c r="J46" s="37"/>
      <c r="L46" s="28"/>
      <c r="M46" s="29"/>
      <c r="N46" s="30"/>
    </row>
    <row r="47" spans="1:14" ht="15.75" customHeight="1">
      <c r="A47" s="212">
        <v>11</v>
      </c>
      <c r="B47" s="222" t="s">
        <v>41</v>
      </c>
      <c r="C47" s="223" t="s">
        <v>156</v>
      </c>
      <c r="D47" s="222" t="s">
        <v>51</v>
      </c>
      <c r="E47" s="224">
        <v>1563.28</v>
      </c>
      <c r="F47" s="225">
        <f>SUM(E47*2/1000)</f>
        <v>3.12656</v>
      </c>
      <c r="G47" s="19">
        <v>579.48</v>
      </c>
      <c r="H47" s="226">
        <f t="shared" si="5"/>
        <v>1.8117789888</v>
      </c>
      <c r="I47" s="19">
        <f t="shared" si="6"/>
        <v>905.88949439999999</v>
      </c>
      <c r="J47" s="37"/>
      <c r="L47" s="28"/>
      <c r="M47" s="29"/>
      <c r="N47" s="30"/>
    </row>
    <row r="48" spans="1:14" ht="15.75" customHeight="1">
      <c r="A48" s="212">
        <v>12</v>
      </c>
      <c r="B48" s="222" t="s">
        <v>42</v>
      </c>
      <c r="C48" s="223" t="s">
        <v>156</v>
      </c>
      <c r="D48" s="222" t="s">
        <v>51</v>
      </c>
      <c r="E48" s="224">
        <v>1619.6</v>
      </c>
      <c r="F48" s="225">
        <f>SUM(E48*2/1000)</f>
        <v>3.2391999999999999</v>
      </c>
      <c r="G48" s="19">
        <v>606.77</v>
      </c>
      <c r="H48" s="226">
        <f t="shared" si="5"/>
        <v>1.9654493839999998</v>
      </c>
      <c r="I48" s="19">
        <f t="shared" si="6"/>
        <v>982.72469199999989</v>
      </c>
      <c r="J48" s="37"/>
      <c r="L48" s="28"/>
      <c r="M48" s="29"/>
      <c r="N48" s="30"/>
    </row>
    <row r="49" spans="1:14" ht="15.75" customHeight="1">
      <c r="A49" s="212">
        <v>13</v>
      </c>
      <c r="B49" s="222" t="s">
        <v>38</v>
      </c>
      <c r="C49" s="223" t="s">
        <v>39</v>
      </c>
      <c r="D49" s="222" t="s">
        <v>51</v>
      </c>
      <c r="E49" s="224">
        <v>85.84</v>
      </c>
      <c r="F49" s="225">
        <f>SUM(E49*2/100)</f>
        <v>1.7168000000000001</v>
      </c>
      <c r="G49" s="19">
        <v>72.81</v>
      </c>
      <c r="H49" s="226">
        <f t="shared" si="5"/>
        <v>0.125000208</v>
      </c>
      <c r="I49" s="19">
        <f>F49/2*G49</f>
        <v>62.500104000000007</v>
      </c>
      <c r="J49" s="37"/>
      <c r="L49" s="28"/>
      <c r="M49" s="29"/>
      <c r="N49" s="30"/>
    </row>
    <row r="50" spans="1:14" ht="31.5" customHeight="1">
      <c r="A50" s="212">
        <v>14</v>
      </c>
      <c r="B50" s="222" t="s">
        <v>71</v>
      </c>
      <c r="C50" s="223" t="s">
        <v>156</v>
      </c>
      <c r="D50" s="222" t="s">
        <v>253</v>
      </c>
      <c r="E50" s="224">
        <v>902</v>
      </c>
      <c r="F50" s="225">
        <f>SUM(E50*5/1000)</f>
        <v>4.51</v>
      </c>
      <c r="G50" s="19">
        <v>1213.55</v>
      </c>
      <c r="H50" s="226">
        <f t="shared" si="5"/>
        <v>5.4731104999999998</v>
      </c>
      <c r="I50" s="19">
        <f>F50/5*G50</f>
        <v>1094.6220999999998</v>
      </c>
      <c r="J50" s="37"/>
      <c r="L50" s="28"/>
      <c r="M50" s="29"/>
      <c r="N50" s="30"/>
    </row>
    <row r="51" spans="1:14" ht="31.5" customHeight="1">
      <c r="A51" s="212">
        <v>15</v>
      </c>
      <c r="B51" s="222" t="s">
        <v>163</v>
      </c>
      <c r="C51" s="223" t="s">
        <v>156</v>
      </c>
      <c r="D51" s="222" t="s">
        <v>51</v>
      </c>
      <c r="E51" s="224">
        <v>902</v>
      </c>
      <c r="F51" s="225">
        <f>SUM(E51*2/1000)</f>
        <v>1.804</v>
      </c>
      <c r="G51" s="19">
        <v>1213.55</v>
      </c>
      <c r="H51" s="226">
        <f t="shared" si="5"/>
        <v>2.1892442000000001</v>
      </c>
      <c r="I51" s="19">
        <f>F51/2*G51</f>
        <v>1094.6221</v>
      </c>
      <c r="J51" s="37"/>
      <c r="L51" s="28"/>
      <c r="M51" s="29"/>
      <c r="N51" s="30"/>
    </row>
    <row r="52" spans="1:14" ht="31.5" customHeight="1">
      <c r="A52" s="212">
        <v>16</v>
      </c>
      <c r="B52" s="222" t="s">
        <v>164</v>
      </c>
      <c r="C52" s="223" t="s">
        <v>45</v>
      </c>
      <c r="D52" s="222" t="s">
        <v>51</v>
      </c>
      <c r="E52" s="224">
        <v>16</v>
      </c>
      <c r="F52" s="225">
        <f>SUM(E52*2/100)</f>
        <v>0.32</v>
      </c>
      <c r="G52" s="19">
        <v>2730.49</v>
      </c>
      <c r="H52" s="226">
        <f t="shared" si="5"/>
        <v>0.8737568</v>
      </c>
      <c r="I52" s="19">
        <f t="shared" ref="I52:I53" si="7">F52/2*G52</f>
        <v>436.8784</v>
      </c>
      <c r="J52" s="37"/>
      <c r="L52" s="28"/>
      <c r="M52" s="29"/>
      <c r="N52" s="30"/>
    </row>
    <row r="53" spans="1:14" ht="15.75" customHeight="1">
      <c r="A53" s="212">
        <v>17</v>
      </c>
      <c r="B53" s="222" t="s">
        <v>46</v>
      </c>
      <c r="C53" s="223" t="s">
        <v>47</v>
      </c>
      <c r="D53" s="222" t="s">
        <v>51</v>
      </c>
      <c r="E53" s="224">
        <v>1</v>
      </c>
      <c r="F53" s="225">
        <v>0.02</v>
      </c>
      <c r="G53" s="19">
        <v>5652.13</v>
      </c>
      <c r="H53" s="226">
        <f t="shared" si="5"/>
        <v>0.11304260000000001</v>
      </c>
      <c r="I53" s="19">
        <f t="shared" si="7"/>
        <v>56.521300000000004</v>
      </c>
      <c r="J53" s="37"/>
      <c r="L53" s="28"/>
      <c r="M53" s="29"/>
      <c r="N53" s="30"/>
    </row>
    <row r="54" spans="1:14" ht="15.75" hidden="1" customHeight="1">
      <c r="A54" s="212">
        <v>14</v>
      </c>
      <c r="B54" s="222" t="s">
        <v>50</v>
      </c>
      <c r="C54" s="223" t="s">
        <v>165</v>
      </c>
      <c r="D54" s="222" t="s">
        <v>91</v>
      </c>
      <c r="E54" s="224">
        <v>128</v>
      </c>
      <c r="F54" s="225">
        <f>SUM(E54)*3</f>
        <v>384</v>
      </c>
      <c r="G54" s="19">
        <v>65.67</v>
      </c>
      <c r="H54" s="226">
        <f t="shared" si="5"/>
        <v>25.217279999999999</v>
      </c>
      <c r="I54" s="19">
        <f>G54*E54</f>
        <v>8405.76</v>
      </c>
      <c r="J54" s="37"/>
      <c r="L54" s="28"/>
      <c r="M54" s="29"/>
      <c r="N54" s="30"/>
    </row>
    <row r="55" spans="1:14" ht="15.75" customHeight="1">
      <c r="A55" s="252" t="s">
        <v>254</v>
      </c>
      <c r="B55" s="255"/>
      <c r="C55" s="255"/>
      <c r="D55" s="255"/>
      <c r="E55" s="255"/>
      <c r="F55" s="255"/>
      <c r="G55" s="255"/>
      <c r="H55" s="255"/>
      <c r="I55" s="256"/>
      <c r="J55" s="37"/>
      <c r="L55" s="28"/>
      <c r="M55" s="29"/>
      <c r="N55" s="30"/>
    </row>
    <row r="56" spans="1:14" ht="15.75" hidden="1" customHeight="1">
      <c r="A56" s="212"/>
      <c r="B56" s="247" t="s">
        <v>52</v>
      </c>
      <c r="C56" s="223"/>
      <c r="D56" s="222"/>
      <c r="E56" s="224"/>
      <c r="F56" s="225"/>
      <c r="G56" s="225"/>
      <c r="H56" s="226"/>
      <c r="I56" s="19"/>
      <c r="J56" s="37"/>
      <c r="L56" s="28"/>
      <c r="M56" s="29"/>
      <c r="N56" s="30"/>
    </row>
    <row r="57" spans="1:14" ht="31.5" hidden="1" customHeight="1">
      <c r="A57" s="212">
        <v>15</v>
      </c>
      <c r="B57" s="222" t="s">
        <v>192</v>
      </c>
      <c r="C57" s="223" t="s">
        <v>146</v>
      </c>
      <c r="D57" s="222" t="s">
        <v>193</v>
      </c>
      <c r="E57" s="224">
        <v>123.31</v>
      </c>
      <c r="F57" s="225">
        <f>SUM(E57*6/100)</f>
        <v>7.3986000000000001</v>
      </c>
      <c r="G57" s="19">
        <v>1547.28</v>
      </c>
      <c r="H57" s="226">
        <f>SUM(F57*G57/1000)</f>
        <v>11.447705808</v>
      </c>
      <c r="I57" s="19">
        <f>F57/6*G57</f>
        <v>1907.9509680000001</v>
      </c>
      <c r="J57" s="37"/>
      <c r="L57" s="28"/>
      <c r="M57" s="29"/>
      <c r="N57" s="30"/>
    </row>
    <row r="58" spans="1:14" ht="15.75" hidden="1" customHeight="1">
      <c r="A58" s="213"/>
      <c r="B58" s="248" t="s">
        <v>53</v>
      </c>
      <c r="C58" s="234"/>
      <c r="D58" s="235"/>
      <c r="E58" s="236"/>
      <c r="F58" s="237"/>
      <c r="G58" s="19"/>
      <c r="H58" s="238"/>
      <c r="I58" s="19"/>
      <c r="J58" s="37"/>
      <c r="L58" s="28"/>
      <c r="M58" s="29"/>
      <c r="N58" s="30"/>
    </row>
    <row r="59" spans="1:14" ht="15.75" hidden="1" customHeight="1">
      <c r="A59" s="213"/>
      <c r="B59" s="235" t="s">
        <v>226</v>
      </c>
      <c r="C59" s="234" t="s">
        <v>64</v>
      </c>
      <c r="D59" s="235" t="s">
        <v>65</v>
      </c>
      <c r="E59" s="236">
        <v>902</v>
      </c>
      <c r="F59" s="237">
        <v>8.9</v>
      </c>
      <c r="G59" s="19">
        <v>793.61</v>
      </c>
      <c r="H59" s="238">
        <f>F59*G59/1000</f>
        <v>7.0631290000000009</v>
      </c>
      <c r="I59" s="19">
        <v>0</v>
      </c>
      <c r="J59" s="37"/>
      <c r="L59" s="28"/>
      <c r="M59" s="29"/>
      <c r="N59" s="30"/>
    </row>
    <row r="60" spans="1:14" ht="15.75" customHeight="1">
      <c r="A60" s="213"/>
      <c r="B60" s="248" t="s">
        <v>55</v>
      </c>
      <c r="C60" s="234"/>
      <c r="D60" s="235"/>
      <c r="E60" s="236"/>
      <c r="F60" s="239"/>
      <c r="G60" s="239"/>
      <c r="H60" s="237" t="s">
        <v>223</v>
      </c>
      <c r="I60" s="19"/>
      <c r="J60" s="37"/>
      <c r="L60" s="28"/>
      <c r="M60" s="29"/>
      <c r="N60" s="30"/>
    </row>
    <row r="61" spans="1:14" ht="15.75" hidden="1" customHeight="1">
      <c r="A61" s="23"/>
      <c r="B61" s="21" t="s">
        <v>56</v>
      </c>
      <c r="C61" s="23" t="s">
        <v>165</v>
      </c>
      <c r="D61" s="222" t="s">
        <v>87</v>
      </c>
      <c r="E61" s="26">
        <v>5</v>
      </c>
      <c r="F61" s="225">
        <v>5</v>
      </c>
      <c r="G61" s="19">
        <v>222.4</v>
      </c>
      <c r="H61" s="220">
        <f t="shared" ref="H61:H74" si="8">SUM(F61*G61/1000)</f>
        <v>1.1120000000000001</v>
      </c>
      <c r="I61" s="19">
        <v>0</v>
      </c>
      <c r="J61" s="37"/>
      <c r="L61" s="28"/>
    </row>
    <row r="62" spans="1:14" ht="15.75" hidden="1" customHeight="1">
      <c r="A62" s="23"/>
      <c r="B62" s="21" t="s">
        <v>57</v>
      </c>
      <c r="C62" s="23" t="s">
        <v>165</v>
      </c>
      <c r="D62" s="222" t="s">
        <v>87</v>
      </c>
      <c r="E62" s="26">
        <v>5</v>
      </c>
      <c r="F62" s="225">
        <v>5</v>
      </c>
      <c r="G62" s="19">
        <v>76.25</v>
      </c>
      <c r="H62" s="220">
        <f t="shared" si="8"/>
        <v>0.38124999999999998</v>
      </c>
      <c r="I62" s="19">
        <v>0</v>
      </c>
      <c r="J62" s="37"/>
      <c r="L62" s="28"/>
    </row>
    <row r="63" spans="1:14" ht="15.75" hidden="1" customHeight="1">
      <c r="A63" s="23"/>
      <c r="B63" s="21" t="s">
        <v>58</v>
      </c>
      <c r="C63" s="23" t="s">
        <v>166</v>
      </c>
      <c r="D63" s="21" t="s">
        <v>65</v>
      </c>
      <c r="E63" s="224">
        <v>13447</v>
      </c>
      <c r="F63" s="19">
        <f>SUM(E63/100)</f>
        <v>134.47</v>
      </c>
      <c r="G63" s="19">
        <v>212.15</v>
      </c>
      <c r="H63" s="220">
        <f t="shared" si="8"/>
        <v>28.527810500000001</v>
      </c>
      <c r="I63" s="19">
        <v>0</v>
      </c>
      <c r="J63" s="37"/>
      <c r="L63" s="28"/>
    </row>
    <row r="64" spans="1:14" ht="15.75" hidden="1" customHeight="1">
      <c r="A64" s="23"/>
      <c r="B64" s="21" t="s">
        <v>59</v>
      </c>
      <c r="C64" s="23" t="s">
        <v>167</v>
      </c>
      <c r="D64" s="21"/>
      <c r="E64" s="224">
        <v>13447</v>
      </c>
      <c r="F64" s="19">
        <f>SUM(E64/1000)</f>
        <v>13.446999999999999</v>
      </c>
      <c r="G64" s="19">
        <v>165.21</v>
      </c>
      <c r="H64" s="220">
        <f t="shared" si="8"/>
        <v>2.2215788699999997</v>
      </c>
      <c r="I64" s="19">
        <v>0</v>
      </c>
    </row>
    <row r="65" spans="1:22" ht="15.75" hidden="1" customHeight="1">
      <c r="A65" s="23"/>
      <c r="B65" s="21" t="s">
        <v>60</v>
      </c>
      <c r="C65" s="23" t="s">
        <v>98</v>
      </c>
      <c r="D65" s="21" t="s">
        <v>65</v>
      </c>
      <c r="E65" s="224">
        <v>2200</v>
      </c>
      <c r="F65" s="19">
        <f>SUM(E65/100)</f>
        <v>22</v>
      </c>
      <c r="G65" s="19">
        <v>2074.63</v>
      </c>
      <c r="H65" s="220">
        <f t="shared" si="8"/>
        <v>45.641860000000001</v>
      </c>
      <c r="I65" s="19">
        <v>0</v>
      </c>
    </row>
    <row r="66" spans="1:22" ht="15.75" hidden="1" customHeight="1">
      <c r="A66" s="23"/>
      <c r="B66" s="240" t="s">
        <v>168</v>
      </c>
      <c r="C66" s="23" t="s">
        <v>36</v>
      </c>
      <c r="D66" s="21"/>
      <c r="E66" s="224">
        <v>12</v>
      </c>
      <c r="F66" s="19">
        <f>SUM(E66)</f>
        <v>12</v>
      </c>
      <c r="G66" s="19">
        <v>42.67</v>
      </c>
      <c r="H66" s="220">
        <f t="shared" si="8"/>
        <v>0.51203999999999994</v>
      </c>
      <c r="I66" s="19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</row>
    <row r="67" spans="1:22" ht="15.75" hidden="1" customHeight="1">
      <c r="A67" s="214"/>
      <c r="B67" s="240" t="s">
        <v>169</v>
      </c>
      <c r="C67" s="23" t="s">
        <v>36</v>
      </c>
      <c r="D67" s="21"/>
      <c r="E67" s="224">
        <v>12</v>
      </c>
      <c r="F67" s="19">
        <f>SUM(E67)</f>
        <v>12</v>
      </c>
      <c r="G67" s="19">
        <v>39.81</v>
      </c>
      <c r="H67" s="220">
        <f t="shared" si="8"/>
        <v>0.47772000000000003</v>
      </c>
      <c r="I67" s="19">
        <v>0</v>
      </c>
      <c r="J67" s="41"/>
      <c r="K67" s="41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customHeight="1">
      <c r="A68" s="23">
        <v>18</v>
      </c>
      <c r="B68" s="21" t="s">
        <v>72</v>
      </c>
      <c r="C68" s="23" t="s">
        <v>73</v>
      </c>
      <c r="D68" s="21" t="s">
        <v>65</v>
      </c>
      <c r="E68" s="26">
        <v>5</v>
      </c>
      <c r="F68" s="225">
        <v>5</v>
      </c>
      <c r="G68" s="19">
        <v>49.88</v>
      </c>
      <c r="H68" s="220">
        <f t="shared" si="8"/>
        <v>0.24940000000000001</v>
      </c>
      <c r="I68" s="19">
        <f>F68*G68</f>
        <v>249.4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214"/>
      <c r="B69" s="199" t="s">
        <v>92</v>
      </c>
      <c r="C69" s="23"/>
      <c r="D69" s="21"/>
      <c r="E69" s="26"/>
      <c r="F69" s="19"/>
      <c r="G69" s="19"/>
      <c r="H69" s="220" t="s">
        <v>223</v>
      </c>
      <c r="I69" s="19"/>
      <c r="J69" s="6"/>
      <c r="K69" s="6"/>
      <c r="L69" s="6"/>
      <c r="M69" s="6"/>
      <c r="N69" s="6"/>
      <c r="O69" s="6"/>
      <c r="P69" s="6"/>
      <c r="Q69" s="6"/>
      <c r="R69" s="260"/>
      <c r="S69" s="260"/>
      <c r="T69" s="260"/>
      <c r="U69" s="260"/>
    </row>
    <row r="70" spans="1:22" ht="15.75" hidden="1" customHeight="1">
      <c r="A70" s="23"/>
      <c r="B70" s="21" t="s">
        <v>93</v>
      </c>
      <c r="C70" s="23" t="s">
        <v>95</v>
      </c>
      <c r="D70" s="21"/>
      <c r="E70" s="26">
        <v>10</v>
      </c>
      <c r="F70" s="19">
        <v>0.1</v>
      </c>
      <c r="G70" s="19">
        <v>501.62</v>
      </c>
      <c r="H70" s="220">
        <f t="shared" si="8"/>
        <v>5.0162000000000005E-2</v>
      </c>
      <c r="I70" s="1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2" ht="15.75" hidden="1" customHeight="1">
      <c r="A71" s="23"/>
      <c r="B71" s="21" t="s">
        <v>94</v>
      </c>
      <c r="C71" s="23" t="s">
        <v>34</v>
      </c>
      <c r="D71" s="21"/>
      <c r="E71" s="26">
        <v>1</v>
      </c>
      <c r="F71" s="208">
        <v>1</v>
      </c>
      <c r="G71" s="19">
        <v>852.99</v>
      </c>
      <c r="H71" s="220">
        <f>F71*G71/1000</f>
        <v>0.85299000000000003</v>
      </c>
      <c r="I71" s="19">
        <v>0</v>
      </c>
    </row>
    <row r="72" spans="1:22" ht="15.75" hidden="1" customHeight="1">
      <c r="A72" s="23"/>
      <c r="B72" s="21" t="s">
        <v>227</v>
      </c>
      <c r="C72" s="23" t="s">
        <v>34</v>
      </c>
      <c r="D72" s="21"/>
      <c r="E72" s="26">
        <v>1</v>
      </c>
      <c r="F72" s="19">
        <v>1</v>
      </c>
      <c r="G72" s="19">
        <v>358.51</v>
      </c>
      <c r="H72" s="220">
        <f>G72*F72/1000</f>
        <v>0.35851</v>
      </c>
      <c r="I72" s="19">
        <v>0</v>
      </c>
    </row>
    <row r="73" spans="1:22" ht="15.75" hidden="1" customHeight="1">
      <c r="A73" s="214"/>
      <c r="B73" s="242" t="s">
        <v>96</v>
      </c>
      <c r="C73" s="23"/>
      <c r="D73" s="21"/>
      <c r="E73" s="26"/>
      <c r="F73" s="19"/>
      <c r="G73" s="19" t="s">
        <v>223</v>
      </c>
      <c r="H73" s="220" t="s">
        <v>223</v>
      </c>
      <c r="I73" s="19"/>
    </row>
    <row r="74" spans="1:22" ht="15.75" hidden="1" customHeight="1">
      <c r="A74" s="23"/>
      <c r="B74" s="83" t="s">
        <v>97</v>
      </c>
      <c r="C74" s="23" t="s">
        <v>98</v>
      </c>
      <c r="D74" s="21"/>
      <c r="E74" s="26"/>
      <c r="F74" s="19">
        <v>0.1</v>
      </c>
      <c r="G74" s="19">
        <v>2759.44</v>
      </c>
      <c r="H74" s="220">
        <f t="shared" si="8"/>
        <v>0.27594400000000002</v>
      </c>
      <c r="I74" s="19">
        <v>0</v>
      </c>
    </row>
    <row r="75" spans="1:22" ht="15.75" hidden="1" customHeight="1">
      <c r="A75" s="214"/>
      <c r="B75" s="199" t="s">
        <v>170</v>
      </c>
      <c r="C75" s="242"/>
      <c r="D75" s="54"/>
      <c r="E75" s="55"/>
      <c r="F75" s="231"/>
      <c r="G75" s="231"/>
      <c r="H75" s="243">
        <f>SUM(H57:H74)</f>
        <v>99.172100178000008</v>
      </c>
      <c r="I75" s="231"/>
    </row>
    <row r="76" spans="1:22" ht="15.75" hidden="1" customHeight="1">
      <c r="A76" s="215"/>
      <c r="B76" s="222" t="s">
        <v>171</v>
      </c>
      <c r="C76" s="23"/>
      <c r="D76" s="21"/>
      <c r="E76" s="244"/>
      <c r="F76" s="19">
        <v>1</v>
      </c>
      <c r="G76" s="19">
        <v>12960</v>
      </c>
      <c r="H76" s="220">
        <f>G76*F76/1000</f>
        <v>12.96</v>
      </c>
      <c r="I76" s="19">
        <v>0</v>
      </c>
    </row>
    <row r="77" spans="1:22" ht="15.75" customHeight="1">
      <c r="A77" s="252" t="s">
        <v>256</v>
      </c>
      <c r="B77" s="255"/>
      <c r="C77" s="255"/>
      <c r="D77" s="255"/>
      <c r="E77" s="255"/>
      <c r="F77" s="255"/>
      <c r="G77" s="255"/>
      <c r="H77" s="255"/>
      <c r="I77" s="256"/>
    </row>
    <row r="78" spans="1:22" ht="15.75" customHeight="1">
      <c r="A78" s="23">
        <v>19</v>
      </c>
      <c r="B78" s="222" t="s">
        <v>175</v>
      </c>
      <c r="C78" s="23" t="s">
        <v>68</v>
      </c>
      <c r="D78" s="245" t="s">
        <v>69</v>
      </c>
      <c r="E78" s="19">
        <v>3216.2</v>
      </c>
      <c r="F78" s="19">
        <f>SUM(E78*12)</f>
        <v>38594.399999999994</v>
      </c>
      <c r="G78" s="19">
        <v>2.1</v>
      </c>
      <c r="H78" s="220">
        <f>SUM(F78*G78/1000)</f>
        <v>81.048239999999993</v>
      </c>
      <c r="I78" s="19">
        <f>F78/12*G78</f>
        <v>6754.0199999999986</v>
      </c>
    </row>
    <row r="79" spans="1:22" ht="31.5" customHeight="1">
      <c r="A79" s="246">
        <v>20</v>
      </c>
      <c r="B79" s="21" t="s">
        <v>99</v>
      </c>
      <c r="C79" s="23"/>
      <c r="D79" s="245" t="s">
        <v>69</v>
      </c>
      <c r="E79" s="224">
        <f>E78</f>
        <v>3216.2</v>
      </c>
      <c r="F79" s="19">
        <f>E79*12</f>
        <v>38594.399999999994</v>
      </c>
      <c r="G79" s="19">
        <v>1.63</v>
      </c>
      <c r="H79" s="220">
        <f>F79*G79/1000</f>
        <v>62.908871999999988</v>
      </c>
      <c r="I79" s="19">
        <f>F79/12*G79</f>
        <v>5242.405999999999</v>
      </c>
    </row>
    <row r="80" spans="1:22" ht="15.75" customHeight="1">
      <c r="A80" s="216"/>
      <c r="B80" s="70" t="s">
        <v>103</v>
      </c>
      <c r="C80" s="242"/>
      <c r="D80" s="241"/>
      <c r="E80" s="231"/>
      <c r="F80" s="231"/>
      <c r="G80" s="231"/>
      <c r="H80" s="243">
        <f>H79</f>
        <v>62.908871999999988</v>
      </c>
      <c r="I80" s="231">
        <f>I16+I17+I18+I26+I27+I29+I30+I32+I45+I46+I47+I48+I49+I50+I51+I52+I53+I68+I78+I79</f>
        <v>41747.601827288876</v>
      </c>
    </row>
    <row r="81" spans="1:9" ht="15.75" customHeight="1">
      <c r="A81" s="246"/>
      <c r="B81" s="185" t="s">
        <v>76</v>
      </c>
      <c r="C81" s="23"/>
      <c r="D81" s="83"/>
      <c r="E81" s="19"/>
      <c r="F81" s="19"/>
      <c r="G81" s="19"/>
      <c r="H81" s="243" t="e">
        <f>SUM(H80+#REF!+#REF!+#REF!+#REF!+#REF!+#REF!)</f>
        <v>#REF!</v>
      </c>
      <c r="I81" s="19"/>
    </row>
    <row r="82" spans="1:9" ht="15.75" customHeight="1">
      <c r="A82" s="194">
        <v>21</v>
      </c>
      <c r="B82" s="186" t="s">
        <v>203</v>
      </c>
      <c r="C82" s="194" t="s">
        <v>174</v>
      </c>
      <c r="D82" s="83"/>
      <c r="E82" s="19"/>
      <c r="F82" s="19">
        <f>12/3</f>
        <v>4</v>
      </c>
      <c r="G82" s="19">
        <v>1063.47</v>
      </c>
      <c r="H82" s="220">
        <v>3.54</v>
      </c>
      <c r="I82" s="19">
        <f>G82</f>
        <v>1063.47</v>
      </c>
    </row>
    <row r="83" spans="1:9" ht="15.75" customHeight="1">
      <c r="A83" s="219">
        <v>22</v>
      </c>
      <c r="B83" s="186" t="s">
        <v>242</v>
      </c>
      <c r="C83" s="194" t="s">
        <v>283</v>
      </c>
      <c r="D83" s="83"/>
      <c r="E83" s="19"/>
      <c r="F83" s="19">
        <v>3.1</v>
      </c>
      <c r="G83" s="19">
        <v>3210.77</v>
      </c>
      <c r="H83" s="220">
        <f t="shared" ref="H83" si="9">G83*F83/1000</f>
        <v>9.9533870000000011</v>
      </c>
      <c r="I83" s="19">
        <f>G83*0.1</f>
        <v>321.077</v>
      </c>
    </row>
    <row r="84" spans="1:9" ht="15.75" customHeight="1">
      <c r="A84" s="49"/>
      <c r="B84" s="77" t="s">
        <v>62</v>
      </c>
      <c r="C84" s="73"/>
      <c r="D84" s="93"/>
      <c r="E84" s="73">
        <v>1</v>
      </c>
      <c r="F84" s="73"/>
      <c r="G84" s="73"/>
      <c r="H84" s="73"/>
      <c r="I84" s="55">
        <f>SUM(I82:I83)</f>
        <v>1384.547</v>
      </c>
    </row>
    <row r="85" spans="1:9" ht="15.75" customHeight="1">
      <c r="A85" s="49"/>
      <c r="B85" s="83" t="s">
        <v>100</v>
      </c>
      <c r="C85" s="22"/>
      <c r="D85" s="22"/>
      <c r="E85" s="74"/>
      <c r="F85" s="74"/>
      <c r="G85" s="75"/>
      <c r="H85" s="75"/>
      <c r="I85" s="25">
        <v>0</v>
      </c>
    </row>
    <row r="86" spans="1:9" ht="15.75" customHeight="1">
      <c r="A86" s="94"/>
      <c r="B86" s="78" t="s">
        <v>63</v>
      </c>
      <c r="C86" s="61"/>
      <c r="D86" s="61"/>
      <c r="E86" s="61"/>
      <c r="F86" s="61"/>
      <c r="G86" s="61"/>
      <c r="H86" s="61"/>
      <c r="I86" s="76">
        <f>I80+I84</f>
        <v>43132.148827288875</v>
      </c>
    </row>
    <row r="87" spans="1:9" ht="15.75" customHeight="1">
      <c r="A87" s="269" t="s">
        <v>284</v>
      </c>
      <c r="B87" s="269"/>
      <c r="C87" s="269"/>
      <c r="D87" s="269"/>
      <c r="E87" s="269"/>
      <c r="F87" s="269"/>
      <c r="G87" s="269"/>
      <c r="H87" s="269"/>
      <c r="I87" s="269"/>
    </row>
    <row r="88" spans="1:9" ht="15.75" customHeight="1">
      <c r="A88" s="201"/>
      <c r="B88" s="262" t="s">
        <v>285</v>
      </c>
      <c r="C88" s="262"/>
      <c r="D88" s="262"/>
      <c r="E88" s="262"/>
      <c r="F88" s="262"/>
      <c r="G88" s="262"/>
      <c r="H88" s="211"/>
      <c r="I88" s="4"/>
    </row>
    <row r="89" spans="1:9" ht="15.75" customHeight="1">
      <c r="A89" s="195"/>
      <c r="B89" s="258" t="s">
        <v>6</v>
      </c>
      <c r="C89" s="258"/>
      <c r="D89" s="258"/>
      <c r="E89" s="258"/>
      <c r="F89" s="258"/>
      <c r="G89" s="258"/>
      <c r="H89" s="40"/>
      <c r="I89" s="6"/>
    </row>
    <row r="90" spans="1:9" ht="15.75" customHeight="1">
      <c r="A90" s="12"/>
      <c r="B90" s="12"/>
      <c r="C90" s="12"/>
      <c r="D90" s="12"/>
      <c r="E90" s="12"/>
      <c r="F90" s="12"/>
      <c r="G90" s="12"/>
      <c r="H90" s="12"/>
      <c r="I90" s="12"/>
    </row>
    <row r="91" spans="1:9" ht="15.75" customHeight="1">
      <c r="A91" s="263" t="s">
        <v>7</v>
      </c>
      <c r="B91" s="263"/>
      <c r="C91" s="263"/>
      <c r="D91" s="263"/>
      <c r="E91" s="263"/>
      <c r="F91" s="263"/>
      <c r="G91" s="263"/>
      <c r="H91" s="263"/>
      <c r="I91" s="263"/>
    </row>
    <row r="92" spans="1:9" ht="15.75" customHeight="1">
      <c r="A92" s="263" t="s">
        <v>8</v>
      </c>
      <c r="B92" s="263"/>
      <c r="C92" s="263"/>
      <c r="D92" s="263"/>
      <c r="E92" s="263"/>
      <c r="F92" s="263"/>
      <c r="G92" s="263"/>
      <c r="H92" s="263"/>
      <c r="I92" s="263"/>
    </row>
    <row r="93" spans="1:9" ht="15.75" customHeight="1">
      <c r="A93" s="264" t="s">
        <v>79</v>
      </c>
      <c r="B93" s="264"/>
      <c r="C93" s="264"/>
      <c r="D93" s="264"/>
      <c r="E93" s="264"/>
      <c r="F93" s="264"/>
      <c r="G93" s="264"/>
      <c r="H93" s="264"/>
      <c r="I93" s="264"/>
    </row>
    <row r="94" spans="1:9" ht="15.75" customHeight="1">
      <c r="A94" s="13"/>
    </row>
    <row r="95" spans="1:9" ht="15.75" customHeight="1">
      <c r="A95" s="265" t="s">
        <v>10</v>
      </c>
      <c r="B95" s="265"/>
      <c r="C95" s="265"/>
      <c r="D95" s="265"/>
      <c r="E95" s="265"/>
      <c r="F95" s="265"/>
      <c r="G95" s="265"/>
      <c r="H95" s="265"/>
      <c r="I95" s="265"/>
    </row>
    <row r="96" spans="1:9" ht="15.75" customHeight="1">
      <c r="A96" s="5"/>
    </row>
    <row r="97" spans="1:9" ht="15.75" customHeight="1">
      <c r="B97" s="200" t="s">
        <v>11</v>
      </c>
      <c r="C97" s="257" t="s">
        <v>176</v>
      </c>
      <c r="D97" s="257"/>
      <c r="E97" s="257"/>
      <c r="F97" s="209"/>
      <c r="I97" s="197"/>
    </row>
    <row r="98" spans="1:9" ht="15.75" customHeight="1">
      <c r="A98" s="195"/>
      <c r="C98" s="258" t="s">
        <v>12</v>
      </c>
      <c r="D98" s="258"/>
      <c r="E98" s="258"/>
      <c r="F98" s="40"/>
      <c r="I98" s="196" t="s">
        <v>13</v>
      </c>
    </row>
    <row r="99" spans="1:9" ht="15.75" customHeight="1">
      <c r="A99" s="41"/>
      <c r="C99" s="14"/>
      <c r="D99" s="14"/>
      <c r="G99" s="14"/>
      <c r="H99" s="14"/>
    </row>
    <row r="100" spans="1:9" ht="15.75" customHeight="1">
      <c r="B100" s="200" t="s">
        <v>14</v>
      </c>
      <c r="C100" s="259"/>
      <c r="D100" s="259"/>
      <c r="E100" s="259"/>
      <c r="F100" s="210"/>
      <c r="I100" s="197"/>
    </row>
    <row r="101" spans="1:9" ht="15.75" customHeight="1">
      <c r="A101" s="195"/>
      <c r="C101" s="260" t="s">
        <v>12</v>
      </c>
      <c r="D101" s="260"/>
      <c r="E101" s="260"/>
      <c r="F101" s="195"/>
      <c r="I101" s="196" t="s">
        <v>13</v>
      </c>
    </row>
    <row r="102" spans="1:9" ht="15.75" customHeight="1">
      <c r="A102" s="5" t="s">
        <v>15</v>
      </c>
    </row>
    <row r="103" spans="1:9" ht="15.75" customHeight="1">
      <c r="A103" s="261" t="s">
        <v>16</v>
      </c>
      <c r="B103" s="261"/>
      <c r="C103" s="261"/>
      <c r="D103" s="261"/>
      <c r="E103" s="261"/>
      <c r="F103" s="261"/>
      <c r="G103" s="261"/>
      <c r="H103" s="261"/>
      <c r="I103" s="261"/>
    </row>
    <row r="104" spans="1:9" ht="47.25" customHeight="1">
      <c r="A104" s="251" t="s">
        <v>17</v>
      </c>
      <c r="B104" s="251"/>
      <c r="C104" s="251"/>
      <c r="D104" s="251"/>
      <c r="E104" s="251"/>
      <c r="F104" s="251"/>
      <c r="G104" s="251"/>
      <c r="H104" s="251"/>
      <c r="I104" s="251"/>
    </row>
    <row r="105" spans="1:9" ht="31.5" customHeight="1">
      <c r="A105" s="251" t="s">
        <v>18</v>
      </c>
      <c r="B105" s="251"/>
      <c r="C105" s="251"/>
      <c r="D105" s="251"/>
      <c r="E105" s="251"/>
      <c r="F105" s="251"/>
      <c r="G105" s="251"/>
      <c r="H105" s="251"/>
      <c r="I105" s="251"/>
    </row>
    <row r="106" spans="1:9" ht="31.5" customHeight="1">
      <c r="A106" s="251" t="s">
        <v>23</v>
      </c>
      <c r="B106" s="251"/>
      <c r="C106" s="251"/>
      <c r="D106" s="251"/>
      <c r="E106" s="251"/>
      <c r="F106" s="251"/>
      <c r="G106" s="251"/>
      <c r="H106" s="251"/>
      <c r="I106" s="251"/>
    </row>
    <row r="107" spans="1:9" ht="15.75" customHeight="1">
      <c r="A107" s="251" t="s">
        <v>22</v>
      </c>
      <c r="B107" s="251"/>
      <c r="C107" s="251"/>
      <c r="D107" s="251"/>
      <c r="E107" s="251"/>
      <c r="F107" s="251"/>
      <c r="G107" s="251"/>
      <c r="H107" s="251"/>
      <c r="I107" s="251"/>
    </row>
  </sheetData>
  <autoFilter ref="I14:I64"/>
  <mergeCells count="29">
    <mergeCell ref="R69:U69"/>
    <mergeCell ref="A3:I3"/>
    <mergeCell ref="A4:I4"/>
    <mergeCell ref="A5:I5"/>
    <mergeCell ref="A8:I8"/>
    <mergeCell ref="A10:I10"/>
    <mergeCell ref="A14:I14"/>
    <mergeCell ref="A15:I15"/>
    <mergeCell ref="A28:I28"/>
    <mergeCell ref="A35:I35"/>
    <mergeCell ref="A44:I44"/>
    <mergeCell ref="A55:I55"/>
    <mergeCell ref="C101:E101"/>
    <mergeCell ref="A77:I77"/>
    <mergeCell ref="A87:I87"/>
    <mergeCell ref="B88:G88"/>
    <mergeCell ref="B89:G89"/>
    <mergeCell ref="A91:I91"/>
    <mergeCell ref="A92:I92"/>
    <mergeCell ref="A93:I93"/>
    <mergeCell ref="A95:I95"/>
    <mergeCell ref="C97:E97"/>
    <mergeCell ref="C98:E98"/>
    <mergeCell ref="C100:E100"/>
    <mergeCell ref="A103:I103"/>
    <mergeCell ref="A104:I104"/>
    <mergeCell ref="A105:I105"/>
    <mergeCell ref="A106:I106"/>
    <mergeCell ref="A107:I10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2017-04-07T05:13:58Z</cp:lastPrinted>
  <dcterms:created xsi:type="dcterms:W3CDTF">2016-03-25T08:33:47Z</dcterms:created>
  <dcterms:modified xsi:type="dcterms:W3CDTF">2017-04-13T08:05:20Z</dcterms:modified>
</cp:coreProperties>
</file>