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10" sheetId="1" r:id="rId1"/>
  </sheets>
  <definedNames>
    <definedName name="_xlnm.Print_Area" localSheetId="0">Нефт.10!$A$1:$U$130</definedName>
  </definedNames>
  <calcPr calcId="124519"/>
</workbook>
</file>

<file path=xl/calcChain.xml><?xml version="1.0" encoding="utf-8"?>
<calcChain xmlns="http://schemas.openxmlformats.org/spreadsheetml/2006/main">
  <c r="H118" i="1"/>
  <c r="U118"/>
  <c r="S117"/>
  <c r="U117" s="1"/>
  <c r="H117"/>
  <c r="U116"/>
  <c r="S116"/>
  <c r="H116"/>
  <c r="U115"/>
  <c r="S115"/>
  <c r="H115"/>
  <c r="U114"/>
  <c r="S114"/>
  <c r="H114"/>
  <c r="S58"/>
  <c r="T101"/>
  <c r="T97"/>
  <c r="T96"/>
  <c r="T94"/>
  <c r="S94"/>
  <c r="S63"/>
  <c r="R63"/>
  <c r="U93"/>
  <c r="P112"/>
  <c r="U113"/>
  <c r="P113"/>
  <c r="H113"/>
  <c r="U112"/>
  <c r="H112"/>
  <c r="P105" l="1"/>
  <c r="U111"/>
  <c r="Q111"/>
  <c r="H111"/>
  <c r="R107"/>
  <c r="U110"/>
  <c r="Q110"/>
  <c r="H110"/>
  <c r="U109"/>
  <c r="H109"/>
  <c r="O108" l="1"/>
  <c r="U108" s="1"/>
  <c r="H108"/>
  <c r="U107"/>
  <c r="H107"/>
  <c r="U106"/>
  <c r="O106"/>
  <c r="H106"/>
  <c r="Q94"/>
  <c r="O103"/>
  <c r="Q96"/>
  <c r="R94"/>
  <c r="Q100"/>
  <c r="R95"/>
  <c r="N93"/>
  <c r="U105"/>
  <c r="R105"/>
  <c r="H105"/>
  <c r="R77"/>
  <c r="O63"/>
  <c r="P63"/>
  <c r="K38"/>
  <c r="T71"/>
  <c r="S71"/>
  <c r="T42"/>
  <c r="S42"/>
  <c r="S38"/>
  <c r="T36"/>
  <c r="S36"/>
  <c r="T33"/>
  <c r="Q33"/>
  <c r="R71"/>
  <c r="Q71"/>
  <c r="P71"/>
  <c r="O71"/>
  <c r="N71"/>
  <c r="P53"/>
  <c r="N52"/>
  <c r="N33"/>
  <c r="K33"/>
  <c r="U104"/>
  <c r="M104"/>
  <c r="H104"/>
  <c r="M71"/>
  <c r="L71"/>
  <c r="K71"/>
  <c r="J71"/>
  <c r="L53"/>
  <c r="F28"/>
  <c r="Q28" s="1"/>
  <c r="L99"/>
  <c r="L103"/>
  <c r="U103" s="1"/>
  <c r="L102"/>
  <c r="U102" s="1"/>
  <c r="H103"/>
  <c r="H102"/>
  <c r="L93"/>
  <c r="L98"/>
  <c r="L94"/>
  <c r="L101"/>
  <c r="L42"/>
  <c r="L36"/>
  <c r="F33"/>
  <c r="M28" l="1"/>
  <c r="P28"/>
  <c r="R28"/>
  <c r="N28"/>
  <c r="O28"/>
  <c r="U33"/>
  <c r="H33"/>
  <c r="U101"/>
  <c r="K101"/>
  <c r="H101"/>
  <c r="K100"/>
  <c r="U100" s="1"/>
  <c r="H100"/>
  <c r="K93"/>
  <c r="K58"/>
  <c r="K42"/>
  <c r="K36"/>
  <c r="F83"/>
  <c r="N83" s="1"/>
  <c r="U83"/>
  <c r="H83"/>
  <c r="J99"/>
  <c r="U99" s="1"/>
  <c r="H99"/>
  <c r="J98"/>
  <c r="U98" s="1"/>
  <c r="H98"/>
  <c r="J97" l="1"/>
  <c r="U97" s="1"/>
  <c r="H97"/>
  <c r="U96"/>
  <c r="J96"/>
  <c r="H96"/>
  <c r="J95"/>
  <c r="U95" s="1"/>
  <c r="H95"/>
  <c r="J93"/>
  <c r="J53"/>
  <c r="J42"/>
  <c r="J36"/>
  <c r="J63"/>
  <c r="I93"/>
  <c r="I63"/>
  <c r="U81"/>
  <c r="U79"/>
  <c r="U77"/>
  <c r="U76"/>
  <c r="U64"/>
  <c r="U63"/>
  <c r="U60"/>
  <c r="U58"/>
  <c r="U53"/>
  <c r="U31"/>
  <c r="U30"/>
  <c r="U28"/>
  <c r="I71"/>
  <c r="U71" s="1"/>
  <c r="I52"/>
  <c r="U52" s="1"/>
  <c r="I42"/>
  <c r="U42" s="1"/>
  <c r="I38"/>
  <c r="U38" s="1"/>
  <c r="I36"/>
  <c r="U36" s="1"/>
  <c r="I94"/>
  <c r="U94" s="1"/>
  <c r="H94"/>
  <c r="H93"/>
  <c r="F61"/>
  <c r="F56"/>
  <c r="F53"/>
  <c r="F40"/>
  <c r="I40" l="1"/>
  <c r="T40"/>
  <c r="L40"/>
  <c r="S40"/>
  <c r="K40"/>
  <c r="I56"/>
  <c r="S56"/>
  <c r="T56"/>
  <c r="L56"/>
  <c r="K56"/>
  <c r="J40"/>
  <c r="H61"/>
  <c r="S61"/>
  <c r="Q61"/>
  <c r="O61"/>
  <c r="M61"/>
  <c r="T61"/>
  <c r="R61"/>
  <c r="P61"/>
  <c r="N61"/>
  <c r="L61"/>
  <c r="K61"/>
  <c r="J56"/>
  <c r="J61"/>
  <c r="I61"/>
  <c r="F37"/>
  <c r="F27"/>
  <c r="F19"/>
  <c r="N19" s="1"/>
  <c r="U19" s="1"/>
  <c r="F16"/>
  <c r="I37" l="1"/>
  <c r="S37"/>
  <c r="L37"/>
  <c r="T37"/>
  <c r="K37"/>
  <c r="J37"/>
  <c r="I16"/>
  <c r="N16"/>
  <c r="H27"/>
  <c r="Q27"/>
  <c r="O27"/>
  <c r="M27"/>
  <c r="R27"/>
  <c r="P27"/>
  <c r="N27"/>
  <c r="U61"/>
  <c r="U56"/>
  <c r="U40"/>
  <c r="F20"/>
  <c r="N20" s="1"/>
  <c r="U20" s="1"/>
  <c r="U16" l="1"/>
  <c r="U37"/>
  <c r="U27"/>
  <c r="F60"/>
  <c r="H60" s="1"/>
  <c r="F57"/>
  <c r="I57" l="1"/>
  <c r="S57"/>
  <c r="L57"/>
  <c r="T57"/>
  <c r="K57"/>
  <c r="J57"/>
  <c r="H56"/>
  <c r="F49"/>
  <c r="H19"/>
  <c r="H20"/>
  <c r="H57"/>
  <c r="U57" l="1"/>
  <c r="I49"/>
  <c r="U49" s="1"/>
  <c r="Q49"/>
  <c r="M49"/>
  <c r="T49"/>
  <c r="J49"/>
  <c r="H38"/>
  <c r="H79" l="1"/>
  <c r="C127" l="1"/>
  <c r="H120"/>
  <c r="F121"/>
  <c r="E86"/>
  <c r="H89" s="1"/>
  <c r="F84"/>
  <c r="H81"/>
  <c r="H78"/>
  <c r="F77"/>
  <c r="H77" s="1"/>
  <c r="H75"/>
  <c r="H74"/>
  <c r="F70"/>
  <c r="F69"/>
  <c r="F68"/>
  <c r="F67"/>
  <c r="F66"/>
  <c r="F65"/>
  <c r="H64"/>
  <c r="H63"/>
  <c r="H53"/>
  <c r="H52"/>
  <c r="F51"/>
  <c r="Q51" s="1"/>
  <c r="F50"/>
  <c r="Q50" s="1"/>
  <c r="F48"/>
  <c r="F47"/>
  <c r="F46"/>
  <c r="F45"/>
  <c r="H42"/>
  <c r="F41"/>
  <c r="H40"/>
  <c r="F39"/>
  <c r="H37"/>
  <c r="H36"/>
  <c r="F32"/>
  <c r="H31"/>
  <c r="H30"/>
  <c r="F29"/>
  <c r="H28"/>
  <c r="F26"/>
  <c r="F25"/>
  <c r="F24"/>
  <c r="F21"/>
  <c r="F18"/>
  <c r="F17"/>
  <c r="F15"/>
  <c r="F14"/>
  <c r="E13"/>
  <c r="F13" s="1"/>
  <c r="F12"/>
  <c r="F11"/>
  <c r="I13" l="1"/>
  <c r="S13"/>
  <c r="Q13"/>
  <c r="O13"/>
  <c r="M13"/>
  <c r="T13"/>
  <c r="R13"/>
  <c r="P13"/>
  <c r="N13"/>
  <c r="L13"/>
  <c r="K13"/>
  <c r="J13"/>
  <c r="H18"/>
  <c r="N18"/>
  <c r="U18" s="1"/>
  <c r="H26"/>
  <c r="M26"/>
  <c r="U26" s="1"/>
  <c r="I12"/>
  <c r="S12"/>
  <c r="R12"/>
  <c r="P12"/>
  <c r="N12"/>
  <c r="L12"/>
  <c r="T12"/>
  <c r="Q12"/>
  <c r="O12"/>
  <c r="M12"/>
  <c r="K12"/>
  <c r="J12"/>
  <c r="H14"/>
  <c r="N14"/>
  <c r="U14" s="1"/>
  <c r="H17"/>
  <c r="N17"/>
  <c r="U17" s="1"/>
  <c r="H21"/>
  <c r="N21"/>
  <c r="U21" s="1"/>
  <c r="H25"/>
  <c r="Q25"/>
  <c r="O25"/>
  <c r="R25"/>
  <c r="P25"/>
  <c r="N25"/>
  <c r="M25"/>
  <c r="S32"/>
  <c r="Q32"/>
  <c r="O32"/>
  <c r="L32"/>
  <c r="T32"/>
  <c r="R32"/>
  <c r="P32"/>
  <c r="N32"/>
  <c r="M32"/>
  <c r="K32"/>
  <c r="J32"/>
  <c r="H46"/>
  <c r="L46"/>
  <c r="U46" s="1"/>
  <c r="R46"/>
  <c r="H48"/>
  <c r="L48"/>
  <c r="R48"/>
  <c r="H66"/>
  <c r="M66"/>
  <c r="U66" s="1"/>
  <c r="H68"/>
  <c r="M68"/>
  <c r="U68" s="1"/>
  <c r="H70"/>
  <c r="Q70"/>
  <c r="U70" s="1"/>
  <c r="I84"/>
  <c r="S84"/>
  <c r="Q84"/>
  <c r="O84"/>
  <c r="M84"/>
  <c r="L84"/>
  <c r="T84"/>
  <c r="R84"/>
  <c r="P84"/>
  <c r="N84"/>
  <c r="K84"/>
  <c r="J84"/>
  <c r="I11"/>
  <c r="S11"/>
  <c r="Q11"/>
  <c r="O11"/>
  <c r="M11"/>
  <c r="T11"/>
  <c r="R11"/>
  <c r="P11"/>
  <c r="N11"/>
  <c r="L11"/>
  <c r="K11"/>
  <c r="J11"/>
  <c r="I15"/>
  <c r="S15"/>
  <c r="Q15"/>
  <c r="O15"/>
  <c r="L15"/>
  <c r="T15"/>
  <c r="R15"/>
  <c r="P15"/>
  <c r="N15"/>
  <c r="M15"/>
  <c r="K15"/>
  <c r="J15"/>
  <c r="H24"/>
  <c r="R24"/>
  <c r="P24"/>
  <c r="N24"/>
  <c r="M24"/>
  <c r="Q24"/>
  <c r="O24"/>
  <c r="I29"/>
  <c r="S29"/>
  <c r="R29"/>
  <c r="P29"/>
  <c r="N29"/>
  <c r="M29"/>
  <c r="T29"/>
  <c r="Q29"/>
  <c r="O29"/>
  <c r="L29"/>
  <c r="K29"/>
  <c r="J29"/>
  <c r="T39"/>
  <c r="S39"/>
  <c r="L39"/>
  <c r="K39"/>
  <c r="J39"/>
  <c r="T41"/>
  <c r="S41"/>
  <c r="L41"/>
  <c r="K41"/>
  <c r="J41"/>
  <c r="H45"/>
  <c r="R45"/>
  <c r="L45"/>
  <c r="U45" s="1"/>
  <c r="H47"/>
  <c r="R47"/>
  <c r="L47"/>
  <c r="H65"/>
  <c r="M65"/>
  <c r="U65" s="1"/>
  <c r="H67"/>
  <c r="M67"/>
  <c r="U67" s="1"/>
  <c r="H69"/>
  <c r="M69"/>
  <c r="U69" s="1"/>
  <c r="U11"/>
  <c r="H32"/>
  <c r="I32"/>
  <c r="U32" s="1"/>
  <c r="H51"/>
  <c r="I51"/>
  <c r="U51" s="1"/>
  <c r="H39"/>
  <c r="I39"/>
  <c r="U39" s="1"/>
  <c r="H41"/>
  <c r="I41"/>
  <c r="U41" s="1"/>
  <c r="H50"/>
  <c r="I50"/>
  <c r="U50" s="1"/>
  <c r="H84"/>
  <c r="H29"/>
  <c r="H49"/>
  <c r="H54" s="1"/>
  <c r="H11"/>
  <c r="H16"/>
  <c r="H13"/>
  <c r="H15"/>
  <c r="H34"/>
  <c r="H85"/>
  <c r="F86"/>
  <c r="H43"/>
  <c r="H82"/>
  <c r="I86" l="1"/>
  <c r="S86"/>
  <c r="R86"/>
  <c r="P86"/>
  <c r="N86"/>
  <c r="T86"/>
  <c r="Q86"/>
  <c r="O86"/>
  <c r="M86"/>
  <c r="L86"/>
  <c r="K86"/>
  <c r="J86"/>
  <c r="U82"/>
  <c r="U47"/>
  <c r="U24"/>
  <c r="U15"/>
  <c r="N121"/>
  <c r="R121"/>
  <c r="M121"/>
  <c r="Q121"/>
  <c r="U84"/>
  <c r="U85" s="1"/>
  <c r="U48"/>
  <c r="U25"/>
  <c r="K121"/>
  <c r="U12"/>
  <c r="U13"/>
  <c r="U22" s="1"/>
  <c r="U54"/>
  <c r="U29"/>
  <c r="U34" s="1"/>
  <c r="J121"/>
  <c r="L121"/>
  <c r="P121"/>
  <c r="T121"/>
  <c r="O121"/>
  <c r="S121"/>
  <c r="U43"/>
  <c r="I121"/>
  <c r="H22"/>
  <c r="H86"/>
  <c r="H87" s="1"/>
  <c r="U86" l="1"/>
  <c r="U87" s="1"/>
  <c r="U88" s="1"/>
  <c r="U121" s="1"/>
  <c r="H88"/>
  <c r="H90" s="1"/>
  <c r="G121" s="1"/>
  <c r="H121" s="1"/>
  <c r="C130" l="1"/>
  <c r="C126"/>
</calcChain>
</file>

<file path=xl/sharedStrings.xml><?xml version="1.0" encoding="utf-8"?>
<sst xmlns="http://schemas.openxmlformats.org/spreadsheetml/2006/main" count="362" uniqueCount="263">
  <si>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</si>
  <si>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</si>
  <si>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</si>
  <si>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</si>
  <si>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</si>
  <si>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</si>
  <si>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</si>
  <si>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</si>
  <si>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</si>
  <si>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</si>
  <si>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</si>
  <si>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</si>
  <si>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</si>
  <si>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</si>
  <si>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</si>
  <si>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</si>
  <si>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</si>
  <si>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</si>
  <si>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</si>
  <si>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</si>
  <si>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</si>
  <si>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</si>
  <si>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</si>
  <si>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</si>
  <si>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</si>
  <si>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</si>
  <si>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</si>
  <si>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</si>
  <si>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</si>
  <si>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</si>
  <si>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</si>
  <si>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</si>
  <si>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</si>
  <si>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</si>
  <si>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</si>
  <si>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</si>
  <si>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</si>
  <si>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</si>
  <si>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</si>
  <si>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</si>
  <si>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</si>
  <si>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</si>
  <si>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</si>
  <si>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</si>
  <si>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</si>
  <si>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</si>
  <si>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</si>
  <si>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</si>
  <si>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</si>
  <si>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</si>
  <si>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</si>
  <si>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</si>
  <si>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</si>
  <si>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</si>
  <si>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</si>
  <si>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</si>
  <si>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</si>
  <si>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</si>
  <si>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</si>
  <si>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</si>
  <si>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</si>
  <si>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</si>
  <si>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</si>
  <si>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</si>
  <si>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</si>
  <si>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</si>
  <si>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</si>
  <si>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</si>
  <si>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</si>
  <si>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</si>
  <si>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</si>
  <si>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</si>
  <si>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</si>
  <si>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</si>
  <si>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</si>
  <si>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</si>
  <si>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</si>
  <si>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</si>
  <si>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</si>
  <si>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</si>
  <si>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</si>
  <si>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</si>
  <si>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</si>
  <si>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</si>
  <si>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</si>
  <si>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</si>
  <si>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</si>
  <si>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</si>
  <si>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</si>
  <si>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</si>
  <si>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</si>
  <si>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</si>
  <si>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</si>
  <si>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</si>
  <si>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</si>
  <si>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</si>
  <si>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</si>
  <si>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</si>
  <si>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</si>
  <si>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</si>
  <si>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</si>
  <si>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пр.ТЭР 54-041 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</si>
  <si>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</si>
  <si>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</si>
  <si>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</si>
  <si>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</si>
  <si>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</si>
  <si>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</si>
  <si>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</si>
  <si>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</si>
  <si>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</si>
  <si>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</si>
  <si>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</si>
  <si>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</si>
  <si>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</si>
  <si>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</si>
  <si>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</si>
  <si>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</si>
  <si>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</si>
  <si>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</si>
  <si>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</si>
  <si>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</si>
  <si>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</si>
  <si>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</si>
  <si>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33-021</t>
  </si>
  <si>
    <t>Смена магнитных пускателей</t>
  </si>
  <si>
    <t>ТЭР 33-025</t>
  </si>
  <si>
    <t>Смена выключателей</t>
  </si>
  <si>
    <t>ТЭР 33-028</t>
  </si>
  <si>
    <t>Смена патронов</t>
  </si>
  <si>
    <t>ТЭР 33-049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</si>
  <si>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</si>
  <si>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</si>
  <si>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</si>
  <si>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</si>
  <si>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</si>
  <si>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</si>
  <si>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</si>
  <si>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</si>
  <si>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</si>
  <si>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</si>
  <si>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</si>
  <si>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</si>
  <si>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</si>
  <si>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</si>
  <si>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</si>
  <si>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</si>
  <si>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</si>
  <si>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</si>
  <si>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</si>
  <si>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</si>
  <si>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</si>
  <si>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</si>
  <si>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</si>
  <si>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</si>
  <si>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</si>
  <si>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</si>
  <si>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</si>
  <si>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</si>
  <si>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</si>
  <si>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ТЭР 51-022</t>
  </si>
  <si>
    <t>ТЭР 51-020</t>
  </si>
  <si>
    <t>Влажная протирка подоконников</t>
  </si>
  <si>
    <t>Влажная протирка шкафов для щитов и слаботочн.устройств</t>
  </si>
  <si>
    <t>Очистка оголовков дымоходов и вентканалов от наледи и снега (по необходимости) зимой</t>
  </si>
  <si>
    <t xml:space="preserve">ТЭР 54-041 </t>
  </si>
  <si>
    <t xml:space="preserve"> Очистка края кровли от слежавшегося снега со сбрасыванием сосулек (10% от S кровли) и козырьки</t>
  </si>
  <si>
    <t>6 раз за сезон</t>
  </si>
  <si>
    <t>Очистка от мусора</t>
  </si>
  <si>
    <t>10 шт.</t>
  </si>
  <si>
    <t>Смена ламп накаливания</t>
  </si>
  <si>
    <t>ТЭР 55-003</t>
  </si>
  <si>
    <t>Очистка урн от мусора</t>
  </si>
  <si>
    <t>155 раз в год</t>
  </si>
  <si>
    <t>1 раз в 2 месяца</t>
  </si>
  <si>
    <t>30 раз за сезон</t>
  </si>
  <si>
    <t>35 раз за сезон</t>
  </si>
  <si>
    <t>ТЭР 42-002</t>
  </si>
  <si>
    <t>Осмотр рулонной  кровли</t>
  </si>
  <si>
    <t xml:space="preserve">ТЭР 31-066 </t>
  </si>
  <si>
    <t>Очистка внутреннего водостока</t>
  </si>
  <si>
    <t>Дератизация</t>
  </si>
  <si>
    <t>договор</t>
  </si>
  <si>
    <t>Обслуживание прибора тепловой энергии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</si>
  <si>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</si>
  <si>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</si>
  <si>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</si>
  <si>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</si>
  <si>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</si>
  <si>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</si>
  <si>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</si>
  <si>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</si>
  <si>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</si>
  <si>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</si>
  <si>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</si>
  <si>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Ремонт групповых щитков на лестничной клетке без ремонта автоматов</t>
  </si>
  <si>
    <t>ТЭР 33-030</t>
  </si>
  <si>
    <t>место</t>
  </si>
  <si>
    <t>ТЭР 32-098</t>
  </si>
  <si>
    <t>Устройство хомута</t>
  </si>
  <si>
    <t>Ремонт силового предохранительного шкафа (без стоимости материалов)</t>
  </si>
  <si>
    <t>ТЭР 33-032</t>
  </si>
  <si>
    <t>Подключение и отключение сварочного аппарата</t>
  </si>
  <si>
    <t>ТЭР 33-060</t>
  </si>
  <si>
    <t>Смена арматуры - вентилей и клапанов обратных муфтовых диаметром до 20 мм</t>
  </si>
  <si>
    <t>1 шт</t>
  </si>
  <si>
    <t>ТЭР 32-027</t>
  </si>
  <si>
    <t>ТЭР 33-023</t>
  </si>
  <si>
    <t>Смена светильников ( со стоим-ю светильника)</t>
  </si>
  <si>
    <t>Ремонт вентильных кранов д=40 со снятием с места</t>
  </si>
  <si>
    <t>ТЭР 32-071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</si>
  <si>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Нефтяников,10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</si>
  <si>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Стоимость (руб.)</t>
  </si>
  <si>
    <t>ТО внутридомового газ.оборудования</t>
  </si>
  <si>
    <t>10 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</si>
  <si>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</si>
  <si>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</si>
  <si>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прим.ТЭР 2-2-1-2-7</t>
  </si>
  <si>
    <t>прим. ТЭР 53-021</t>
  </si>
  <si>
    <t>Дополнительная подборка мусора</t>
  </si>
  <si>
    <t>5 этажей, 5 подъездов</t>
  </si>
  <si>
    <t>Внеплановый осмотр электросетей, арматуры и электрооборудования на лестничных клетках</t>
  </si>
  <si>
    <t>калькуляция</t>
  </si>
  <si>
    <t>Ремонт и регулировка доводчика (без стоимости доводчика)</t>
  </si>
  <si>
    <t>1шт.</t>
  </si>
  <si>
    <t>Ремонт и регулировка доводчика (со стоимостью доводчика)</t>
  </si>
  <si>
    <t>Выполнение        май</t>
  </si>
  <si>
    <t>Установка заглушек диаметром трубопроводов до 100 мм</t>
  </si>
  <si>
    <t>заглушка</t>
  </si>
  <si>
    <t>ТЭР 31-012</t>
  </si>
  <si>
    <t>Выполне ние     июнь</t>
  </si>
  <si>
    <t>Начислено за содержание и текущий ремонт за  2015  г.</t>
  </si>
  <si>
    <t>Выполнено работ по содержанию за 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</si>
  <si>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</si>
  <si>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</si>
  <si>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</si>
  <si>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</si>
  <si>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Работа автовышки</t>
  </si>
  <si>
    <t>маш/час</t>
  </si>
  <si>
    <t>ТЭР 2-2-2-2-30</t>
  </si>
  <si>
    <t>Заделка стыков соединений стояков внутренних водостоков (герметизация ливневки)</t>
  </si>
  <si>
    <t>ТЭР 2-2-1-2-7</t>
  </si>
  <si>
    <t>Герметизация швов</t>
  </si>
  <si>
    <t>Смена оконных приборов - петли</t>
  </si>
  <si>
    <t>пара</t>
  </si>
  <si>
    <t>ТЭР 15-021</t>
  </si>
  <si>
    <t>створка</t>
  </si>
  <si>
    <t>прим. ТЭР 15-005</t>
  </si>
  <si>
    <t>Ремонт окна (2 под.)</t>
  </si>
  <si>
    <t>Материалы для ремонта кровли (гидроизол, пропан)</t>
  </si>
  <si>
    <t>счет-фактура</t>
  </si>
  <si>
    <t>тыс. руб.</t>
  </si>
  <si>
    <t>Полная смена существующего рулонного покрытия кровли на покрытие из наплавляемых материалов в 1 слой (без стоимости наплавляемых материалов)</t>
  </si>
  <si>
    <t>прим. ТЭР 17-013</t>
  </si>
  <si>
    <t>10 шт</t>
  </si>
  <si>
    <t>прим.ТЭР 15-028</t>
  </si>
  <si>
    <t>Укрепление оконных и дверных коробок с конопаткой (герметизация окна, 2 под.)</t>
  </si>
  <si>
    <t>прим.ТЭР 11-013</t>
  </si>
  <si>
    <t>Ремонт ящика под песок ( 2 под.)</t>
  </si>
  <si>
    <t>Заделка подвальных окон фанерой (продухи)</t>
  </si>
  <si>
    <t>прим. ТЭР 11-013</t>
  </si>
  <si>
    <t>смета</t>
  </si>
  <si>
    <t>Ремонт кирпичной стены ( кв. 17) + монтажная пена 2 б.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</si>
</sst>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1" fillId="8" borderId="7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horizontal="center" vertical="center"/>
    </xf>
    <xf numFmtId="0" fontId="1" fillId="8" borderId="3" xfId="0" applyFont="1" applyFill="1" applyBorder="1"/>
    <xf numFmtId="0" fontId="1" fillId="12" borderId="3" xfId="0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/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8" fillId="12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8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34"/>
  <sheetViews>
    <sheetView tabSelected="1" view="pageBreakPreview" topLeftCell="E1" zoomScaleNormal="75" zoomScaleSheetLayoutView="100" workbookViewId="0">
      <pane ySplit="7" topLeftCell="A103" activePane="bottomLeft" state="frozen"/>
      <selection activeCell="B1" sqref="B1"/>
      <selection pane="bottomLeft" activeCell="I120" sqref="I120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10.42578125" customWidth="1"/>
    <col min="11" max="11" width="10.140625" customWidth="1"/>
    <col min="12" max="12" width="10.28515625" customWidth="1"/>
    <col min="13" max="13" width="10.42578125" customWidth="1"/>
    <col min="14" max="14" width="11" customWidth="1"/>
    <col min="15" max="15" width="9.85546875" customWidth="1"/>
    <col min="16" max="16" width="11.140625" customWidth="1"/>
    <col min="17" max="20" width="9.85546875" customWidth="1"/>
    <col min="21" max="21" width="12.28515625" customWidth="1"/>
  </cols>
  <sheetData>
    <row r="1" spans="1:21" ht="14.25" customHeight="1"/>
    <row r="3" spans="1:21" ht="18">
      <c r="A3" s="144"/>
      <c r="B3" s="152" t="s">
        <v>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34"/>
      <c r="N3" s="34"/>
      <c r="O3" s="34"/>
      <c r="P3" s="34"/>
      <c r="Q3" s="34"/>
      <c r="R3" s="34"/>
      <c r="S3" s="34"/>
      <c r="T3" s="34"/>
      <c r="U3" s="34"/>
    </row>
    <row r="4" spans="1:21" ht="34.5" customHeight="1">
      <c r="A4" s="34"/>
      <c r="B4" s="153" t="s">
        <v>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34"/>
      <c r="N4" s="34"/>
      <c r="O4" s="34"/>
      <c r="P4" s="34"/>
      <c r="Q4" s="34"/>
      <c r="R4" s="34"/>
      <c r="S4" s="34"/>
      <c r="T4" s="34"/>
      <c r="U4" s="34"/>
    </row>
    <row r="5" spans="1:21" ht="18">
      <c r="A5" s="34"/>
      <c r="B5" s="153" t="s">
        <v>211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34"/>
      <c r="N5" s="34"/>
      <c r="O5" s="34"/>
      <c r="P5" s="34"/>
      <c r="Q5" s="34"/>
      <c r="R5" s="34"/>
      <c r="S5" s="34"/>
      <c r="T5" s="34"/>
      <c r="U5" s="34"/>
    </row>
    <row r="6" spans="1:21" ht="14.25">
      <c r="A6" s="34"/>
      <c r="B6" s="154" t="s">
        <v>220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34"/>
      <c r="N6" s="34"/>
      <c r="O6" s="34"/>
      <c r="P6" s="34"/>
      <c r="Q6" s="34"/>
      <c r="R6" s="34"/>
      <c r="S6" s="34"/>
      <c r="T6" s="34"/>
      <c r="U6" s="34"/>
    </row>
    <row r="7" spans="1:21" ht="54" customHeight="1">
      <c r="A7" s="28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9" t="s">
        <v>9</v>
      </c>
      <c r="I7" s="27" t="s">
        <v>184</v>
      </c>
      <c r="J7" s="27" t="s">
        <v>185</v>
      </c>
      <c r="K7" s="27" t="s">
        <v>186</v>
      </c>
      <c r="L7" s="27" t="s">
        <v>187</v>
      </c>
      <c r="M7" s="27" t="s">
        <v>226</v>
      </c>
      <c r="N7" s="27" t="s">
        <v>230</v>
      </c>
      <c r="O7" s="27" t="s">
        <v>188</v>
      </c>
      <c r="P7" s="27" t="s">
        <v>189</v>
      </c>
      <c r="Q7" s="27" t="s">
        <v>190</v>
      </c>
      <c r="R7" s="27" t="s">
        <v>191</v>
      </c>
      <c r="S7" s="27" t="s">
        <v>192</v>
      </c>
      <c r="T7" s="27" t="s">
        <v>193</v>
      </c>
      <c r="U7" s="27" t="s">
        <v>212</v>
      </c>
    </row>
    <row r="8" spans="1:21">
      <c r="A8" s="30">
        <v>1</v>
      </c>
      <c r="B8" s="8">
        <v>2</v>
      </c>
      <c r="C8" s="30">
        <v>3</v>
      </c>
      <c r="D8" s="8">
        <v>4</v>
      </c>
      <c r="E8" s="8">
        <v>5</v>
      </c>
      <c r="F8" s="30">
        <v>6</v>
      </c>
      <c r="G8" s="30">
        <v>7</v>
      </c>
      <c r="H8" s="31">
        <v>8</v>
      </c>
      <c r="I8" s="32">
        <v>10</v>
      </c>
      <c r="J8" s="32">
        <v>11</v>
      </c>
      <c r="K8" s="32">
        <v>12</v>
      </c>
      <c r="L8" s="32">
        <v>13</v>
      </c>
      <c r="M8" s="130">
        <v>14</v>
      </c>
      <c r="N8" s="32">
        <v>15</v>
      </c>
      <c r="O8" s="32">
        <v>16</v>
      </c>
      <c r="P8" s="32">
        <v>17</v>
      </c>
      <c r="Q8" s="32">
        <v>18</v>
      </c>
      <c r="R8" s="32">
        <v>19</v>
      </c>
      <c r="S8" s="32">
        <v>20</v>
      </c>
      <c r="T8" s="32">
        <v>21</v>
      </c>
      <c r="U8" s="32">
        <v>22</v>
      </c>
    </row>
    <row r="9" spans="1:21" ht="38.25">
      <c r="A9" s="30"/>
      <c r="B9" s="10" t="s">
        <v>10</v>
      </c>
      <c r="C9" s="30"/>
      <c r="D9" s="11"/>
      <c r="E9" s="11"/>
      <c r="F9" s="30"/>
      <c r="G9" s="30"/>
      <c r="H9" s="35"/>
      <c r="I9" s="36"/>
      <c r="J9" s="36"/>
      <c r="K9" s="36"/>
      <c r="L9" s="36"/>
      <c r="M9" s="131"/>
      <c r="N9" s="133"/>
      <c r="O9" s="133"/>
      <c r="P9" s="133"/>
      <c r="Q9" s="133"/>
      <c r="R9" s="133"/>
      <c r="S9" s="133"/>
      <c r="T9" s="133"/>
      <c r="U9" s="133"/>
    </row>
    <row r="10" spans="1:21">
      <c r="A10" s="30"/>
      <c r="B10" s="10" t="s">
        <v>11</v>
      </c>
      <c r="C10" s="30"/>
      <c r="D10" s="11"/>
      <c r="E10" s="11"/>
      <c r="F10" s="30"/>
      <c r="G10" s="30"/>
      <c r="H10" s="35"/>
      <c r="I10" s="36"/>
      <c r="J10" s="36"/>
      <c r="K10" s="36"/>
      <c r="L10" s="36"/>
      <c r="M10" s="131"/>
      <c r="N10" s="133"/>
      <c r="O10" s="133"/>
      <c r="P10" s="133"/>
      <c r="Q10" s="133"/>
      <c r="R10" s="133"/>
      <c r="S10" s="133"/>
      <c r="T10" s="133"/>
      <c r="U10" s="133"/>
    </row>
    <row r="11" spans="1:21" ht="25.5">
      <c r="A11" s="30" t="s">
        <v>12</v>
      </c>
      <c r="B11" s="11" t="s">
        <v>13</v>
      </c>
      <c r="C11" s="30" t="s">
        <v>14</v>
      </c>
      <c r="D11" s="11" t="s">
        <v>15</v>
      </c>
      <c r="E11" s="37">
        <v>176.24</v>
      </c>
      <c r="F11" s="38">
        <f>SUM(E11*156/100)</f>
        <v>274.93440000000004</v>
      </c>
      <c r="G11" s="38">
        <v>187.48</v>
      </c>
      <c r="H11" s="39">
        <f t="shared" ref="H11:H21" si="0">SUM(F11*G11/1000)</f>
        <v>51.544701312000008</v>
      </c>
      <c r="I11" s="33">
        <f>F11/12*G11</f>
        <v>4295.3917760000004</v>
      </c>
      <c r="J11" s="33">
        <f>F11/12*G11</f>
        <v>4295.3917760000004</v>
      </c>
      <c r="K11" s="33">
        <f>F11/12*G11</f>
        <v>4295.3917760000004</v>
      </c>
      <c r="L11" s="33">
        <f>F11/12*G11</f>
        <v>4295.3917760000004</v>
      </c>
      <c r="M11" s="33">
        <f>F11/12*G11</f>
        <v>4295.3917760000004</v>
      </c>
      <c r="N11" s="33">
        <f>F11/12*G11</f>
        <v>4295.3917760000004</v>
      </c>
      <c r="O11" s="33">
        <f>F11/12*G11</f>
        <v>4295.3917760000004</v>
      </c>
      <c r="P11" s="33">
        <f>F11/12*G11</f>
        <v>4295.3917760000004</v>
      </c>
      <c r="Q11" s="33">
        <f>F11/12*G11</f>
        <v>4295.3917760000004</v>
      </c>
      <c r="R11" s="33">
        <f>F11/12*G11</f>
        <v>4295.3917760000004</v>
      </c>
      <c r="S11" s="33">
        <f>F11/12*G11</f>
        <v>4295.3917760000004</v>
      </c>
      <c r="T11" s="33">
        <f>F11/12*G11</f>
        <v>4295.3917760000004</v>
      </c>
      <c r="U11" s="33">
        <f t="shared" ref="U11:U21" si="1">SUM(I11:T11)</f>
        <v>51544.701312000019</v>
      </c>
    </row>
    <row r="12" spans="1:21" ht="25.5">
      <c r="A12" s="30" t="s">
        <v>12</v>
      </c>
      <c r="B12" s="11" t="s">
        <v>16</v>
      </c>
      <c r="C12" s="30" t="s">
        <v>14</v>
      </c>
      <c r="D12" s="11" t="s">
        <v>17</v>
      </c>
      <c r="E12" s="37">
        <v>704.96</v>
      </c>
      <c r="F12" s="38">
        <f>SUM(E12*104/100)</f>
        <v>733.15839999999992</v>
      </c>
      <c r="G12" s="38">
        <v>187.48</v>
      </c>
      <c r="H12" s="39">
        <v>137.453</v>
      </c>
      <c r="I12" s="33">
        <f>F12/12*G12</f>
        <v>11454.378069333332</v>
      </c>
      <c r="J12" s="33">
        <f>F12/12*G12</f>
        <v>11454.378069333332</v>
      </c>
      <c r="K12" s="33">
        <f>F12/12*G12</f>
        <v>11454.378069333332</v>
      </c>
      <c r="L12" s="33">
        <f>F12/12*G12</f>
        <v>11454.378069333332</v>
      </c>
      <c r="M12" s="33">
        <f>F12/12*G12</f>
        <v>11454.378069333332</v>
      </c>
      <c r="N12" s="33">
        <f>F12/12*G12</f>
        <v>11454.378069333332</v>
      </c>
      <c r="O12" s="33">
        <f>F12/12*G12</f>
        <v>11454.378069333332</v>
      </c>
      <c r="P12" s="33">
        <f>F12/12*G12</f>
        <v>11454.378069333332</v>
      </c>
      <c r="Q12" s="33">
        <f>F12/12*G12</f>
        <v>11454.378069333332</v>
      </c>
      <c r="R12" s="33">
        <f>F12/12*G12</f>
        <v>11454.378069333332</v>
      </c>
      <c r="S12" s="33">
        <f>F12/12*G12</f>
        <v>11454.378069333332</v>
      </c>
      <c r="T12" s="33">
        <f>F12/12*G12</f>
        <v>11454.378069333332</v>
      </c>
      <c r="U12" s="33">
        <f t="shared" si="1"/>
        <v>137452.53683199995</v>
      </c>
    </row>
    <row r="13" spans="1:21" ht="25.5">
      <c r="A13" s="30" t="s">
        <v>18</v>
      </c>
      <c r="B13" s="11" t="s">
        <v>19</v>
      </c>
      <c r="C13" s="30" t="s">
        <v>14</v>
      </c>
      <c r="D13" s="11" t="s">
        <v>20</v>
      </c>
      <c r="E13" s="37">
        <f>SUM(E11+E12)</f>
        <v>881.2</v>
      </c>
      <c r="F13" s="38">
        <f>SUM(E13*24/100)</f>
        <v>211.48800000000003</v>
      </c>
      <c r="G13" s="38">
        <v>539.30999999999995</v>
      </c>
      <c r="H13" s="39">
        <f t="shared" si="0"/>
        <v>114.05759328000001</v>
      </c>
      <c r="I13" s="33">
        <f>F13/12*G13</f>
        <v>9504.7994400000007</v>
      </c>
      <c r="J13" s="33">
        <f>F13/12*G13</f>
        <v>9504.7994400000007</v>
      </c>
      <c r="K13" s="33">
        <f>F13/12*G13</f>
        <v>9504.7994400000007</v>
      </c>
      <c r="L13" s="33">
        <f>F13/12*G13</f>
        <v>9504.7994400000007</v>
      </c>
      <c r="M13" s="33">
        <f>F13/12*G13</f>
        <v>9504.7994400000007</v>
      </c>
      <c r="N13" s="33">
        <f>F13/12*G13</f>
        <v>9504.7994400000007</v>
      </c>
      <c r="O13" s="33">
        <f>F13/12*G13</f>
        <v>9504.7994400000007</v>
      </c>
      <c r="P13" s="33">
        <f>F13/12*G13</f>
        <v>9504.7994400000007</v>
      </c>
      <c r="Q13" s="33">
        <f>F13/12*G13</f>
        <v>9504.7994400000007</v>
      </c>
      <c r="R13" s="33">
        <f>F13/12*G13</f>
        <v>9504.7994400000007</v>
      </c>
      <c r="S13" s="33">
        <f>F13/12*G13</f>
        <v>9504.7994400000007</v>
      </c>
      <c r="T13" s="33">
        <f>F13/12*G13</f>
        <v>9504.7994400000007</v>
      </c>
      <c r="U13" s="33">
        <f t="shared" si="1"/>
        <v>114057.59328000002</v>
      </c>
    </row>
    <row r="14" spans="1:21">
      <c r="A14" s="30" t="s">
        <v>21</v>
      </c>
      <c r="B14" s="11" t="s">
        <v>22</v>
      </c>
      <c r="C14" s="30" t="s">
        <v>23</v>
      </c>
      <c r="D14" s="11" t="s">
        <v>150</v>
      </c>
      <c r="E14" s="37">
        <v>28.8</v>
      </c>
      <c r="F14" s="38">
        <f>SUM(E14/10)</f>
        <v>2.88</v>
      </c>
      <c r="G14" s="38">
        <v>181.91</v>
      </c>
      <c r="H14" s="39">
        <f t="shared" si="0"/>
        <v>0.52390080000000006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F14*G14</f>
        <v>523.9008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f t="shared" si="1"/>
        <v>523.9008</v>
      </c>
    </row>
    <row r="15" spans="1:21">
      <c r="A15" s="30" t="s">
        <v>24</v>
      </c>
      <c r="B15" s="11" t="s">
        <v>25</v>
      </c>
      <c r="C15" s="30" t="s">
        <v>14</v>
      </c>
      <c r="D15" s="11" t="s">
        <v>151</v>
      </c>
      <c r="E15" s="37">
        <v>17.5</v>
      </c>
      <c r="F15" s="38">
        <f>SUM(E15*12/100)</f>
        <v>2.1</v>
      </c>
      <c r="G15" s="38">
        <v>232.92</v>
      </c>
      <c r="H15" s="39">
        <f t="shared" si="0"/>
        <v>0.48913200000000001</v>
      </c>
      <c r="I15" s="33">
        <f>F15/12*G15</f>
        <v>40.761000000000003</v>
      </c>
      <c r="J15" s="33">
        <f>F15/12*G15</f>
        <v>40.761000000000003</v>
      </c>
      <c r="K15" s="33">
        <f>F15/12*G15</f>
        <v>40.761000000000003</v>
      </c>
      <c r="L15" s="33">
        <f>F15/12*G15</f>
        <v>40.761000000000003</v>
      </c>
      <c r="M15" s="33">
        <f>F15/12*G15</f>
        <v>40.761000000000003</v>
      </c>
      <c r="N15" s="33">
        <f>F15/12*G15</f>
        <v>40.761000000000003</v>
      </c>
      <c r="O15" s="33">
        <f>F15/12*G15</f>
        <v>40.761000000000003</v>
      </c>
      <c r="P15" s="33">
        <f>F15/12*G15</f>
        <v>40.761000000000003</v>
      </c>
      <c r="Q15" s="33">
        <f>F15/12*G15</f>
        <v>40.761000000000003</v>
      </c>
      <c r="R15" s="33">
        <f>F15/12*G15</f>
        <v>40.761000000000003</v>
      </c>
      <c r="S15" s="33">
        <f>F15/12*G15</f>
        <v>40.761000000000003</v>
      </c>
      <c r="T15" s="33">
        <f>F15/12*G15</f>
        <v>40.761000000000003</v>
      </c>
      <c r="U15" s="33">
        <f t="shared" si="1"/>
        <v>489.13200000000012</v>
      </c>
    </row>
    <row r="16" spans="1:21">
      <c r="A16" s="30" t="s">
        <v>26</v>
      </c>
      <c r="B16" s="11" t="s">
        <v>27</v>
      </c>
      <c r="C16" s="30" t="s">
        <v>14</v>
      </c>
      <c r="D16" s="11" t="s">
        <v>174</v>
      </c>
      <c r="E16" s="37">
        <v>5.94</v>
      </c>
      <c r="F16" s="38">
        <f>SUM(E16*6/100)</f>
        <v>0.35639999999999999</v>
      </c>
      <c r="G16" s="38">
        <v>231.03</v>
      </c>
      <c r="H16" s="39">
        <f t="shared" si="0"/>
        <v>8.2339091999999989E-2</v>
      </c>
      <c r="I16" s="33">
        <f>F16/12*G16</f>
        <v>6.8615909999999998</v>
      </c>
      <c r="J16" s="33">
        <v>0</v>
      </c>
      <c r="K16" s="33">
        <v>0</v>
      </c>
      <c r="L16" s="33">
        <v>0</v>
      </c>
      <c r="M16" s="33">
        <v>0</v>
      </c>
      <c r="N16" s="33">
        <f t="shared" ref="N16:N21" si="2">F16*G16</f>
        <v>82.339091999999994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f t="shared" si="1"/>
        <v>89.200682999999998</v>
      </c>
    </row>
    <row r="17" spans="1:21">
      <c r="A17" s="30" t="s">
        <v>28</v>
      </c>
      <c r="B17" s="11" t="s">
        <v>29</v>
      </c>
      <c r="C17" s="30" t="s">
        <v>30</v>
      </c>
      <c r="D17" s="11" t="s">
        <v>150</v>
      </c>
      <c r="E17" s="37">
        <v>376</v>
      </c>
      <c r="F17" s="38">
        <f>SUM(E17/100)</f>
        <v>3.76</v>
      </c>
      <c r="G17" s="38">
        <v>287.83999999999997</v>
      </c>
      <c r="H17" s="39">
        <f t="shared" si="0"/>
        <v>1.0822783999999999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f t="shared" si="2"/>
        <v>1082.2783999999999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f t="shared" si="1"/>
        <v>1082.2783999999999</v>
      </c>
    </row>
    <row r="18" spans="1:21">
      <c r="A18" s="30" t="s">
        <v>31</v>
      </c>
      <c r="B18" s="11" t="s">
        <v>32</v>
      </c>
      <c r="C18" s="30" t="s">
        <v>30</v>
      </c>
      <c r="D18" s="11" t="s">
        <v>150</v>
      </c>
      <c r="E18" s="40">
        <v>60.4</v>
      </c>
      <c r="F18" s="38">
        <f>SUM(E18/100)</f>
        <v>0.60399999999999998</v>
      </c>
      <c r="G18" s="38">
        <v>47.34</v>
      </c>
      <c r="H18" s="39">
        <f t="shared" si="0"/>
        <v>2.8593360000000002E-2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f t="shared" si="2"/>
        <v>28.593360000000001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f t="shared" si="1"/>
        <v>28.593360000000001</v>
      </c>
    </row>
    <row r="19" spans="1:21">
      <c r="A19" s="30" t="s">
        <v>161</v>
      </c>
      <c r="B19" s="11" t="s">
        <v>162</v>
      </c>
      <c r="C19" s="30" t="s">
        <v>30</v>
      </c>
      <c r="D19" s="11" t="s">
        <v>46</v>
      </c>
      <c r="E19" s="41">
        <v>25</v>
      </c>
      <c r="F19" s="42">
        <f>E19/100</f>
        <v>0.25</v>
      </c>
      <c r="G19" s="38">
        <v>416.62</v>
      </c>
      <c r="H19" s="39">
        <f>F19*G19/1000</f>
        <v>0.104155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f t="shared" si="2"/>
        <v>104.155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f t="shared" si="1"/>
        <v>104.155</v>
      </c>
    </row>
    <row r="20" spans="1:21" ht="25.5">
      <c r="A20" s="30" t="s">
        <v>160</v>
      </c>
      <c r="B20" s="11" t="s">
        <v>163</v>
      </c>
      <c r="C20" s="30" t="s">
        <v>30</v>
      </c>
      <c r="D20" s="11" t="s">
        <v>150</v>
      </c>
      <c r="E20" s="40">
        <v>23.75</v>
      </c>
      <c r="F20" s="38">
        <f>E20/100</f>
        <v>0.23749999999999999</v>
      </c>
      <c r="G20" s="38">
        <v>231.03</v>
      </c>
      <c r="H20" s="39">
        <f>F20*G20/1000</f>
        <v>5.4869624999999998E-2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f t="shared" si="2"/>
        <v>54.869624999999999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f t="shared" si="1"/>
        <v>54.869624999999999</v>
      </c>
    </row>
    <row r="21" spans="1:21">
      <c r="A21" s="30" t="s">
        <v>33</v>
      </c>
      <c r="B21" s="11" t="s">
        <v>34</v>
      </c>
      <c r="C21" s="30" t="s">
        <v>30</v>
      </c>
      <c r="D21" s="11" t="s">
        <v>150</v>
      </c>
      <c r="E21" s="37">
        <v>10.63</v>
      </c>
      <c r="F21" s="38">
        <f>SUM(E21/100)</f>
        <v>0.10630000000000001</v>
      </c>
      <c r="G21" s="38">
        <v>556.74</v>
      </c>
      <c r="H21" s="39">
        <f t="shared" si="0"/>
        <v>5.9181462000000004E-2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f t="shared" si="2"/>
        <v>59.181462000000003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f t="shared" si="1"/>
        <v>59.181462000000003</v>
      </c>
    </row>
    <row r="22" spans="1:21" s="19" customFormat="1">
      <c r="A22" s="43"/>
      <c r="B22" s="20" t="s">
        <v>35</v>
      </c>
      <c r="C22" s="44"/>
      <c r="D22" s="20"/>
      <c r="E22" s="45"/>
      <c r="F22" s="46"/>
      <c r="G22" s="46"/>
      <c r="H22" s="47">
        <f>SUM(H11:H21)</f>
        <v>305.47974433099995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>
        <f>SUM(U11:U21)</f>
        <v>305486.14275399997</v>
      </c>
    </row>
    <row r="23" spans="1:21">
      <c r="A23" s="30"/>
      <c r="B23" s="12" t="s">
        <v>36</v>
      </c>
      <c r="C23" s="30"/>
      <c r="D23" s="11"/>
      <c r="E23" s="37"/>
      <c r="F23" s="38"/>
      <c r="G23" s="38"/>
      <c r="H23" s="39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25.5" customHeight="1">
      <c r="A24" s="30" t="s">
        <v>37</v>
      </c>
      <c r="B24" s="11" t="s">
        <v>38</v>
      </c>
      <c r="C24" s="30" t="s">
        <v>42</v>
      </c>
      <c r="D24" s="11" t="s">
        <v>39</v>
      </c>
      <c r="E24" s="38">
        <v>357.22</v>
      </c>
      <c r="F24" s="38">
        <f>SUM(E24*52/1000)</f>
        <v>18.575440000000004</v>
      </c>
      <c r="G24" s="38">
        <v>166.65</v>
      </c>
      <c r="H24" s="39">
        <f t="shared" ref="H24:H32" si="3">SUM(F24*G24/1000)</f>
        <v>3.0955970760000011</v>
      </c>
      <c r="I24" s="33">
        <v>0</v>
      </c>
      <c r="J24" s="33">
        <v>0</v>
      </c>
      <c r="K24" s="33">
        <v>0</v>
      </c>
      <c r="L24" s="33">
        <v>0</v>
      </c>
      <c r="M24" s="33">
        <f>F24/6*G24</f>
        <v>515.93284600000015</v>
      </c>
      <c r="N24" s="33">
        <f>F24/6*G24</f>
        <v>515.93284600000015</v>
      </c>
      <c r="O24" s="33">
        <f>F24/6*G24</f>
        <v>515.93284600000015</v>
      </c>
      <c r="P24" s="33">
        <f>F24/6*G24</f>
        <v>515.93284600000015</v>
      </c>
      <c r="Q24" s="33">
        <f>F24/6*G24</f>
        <v>515.93284600000015</v>
      </c>
      <c r="R24" s="33">
        <f>F24/6*G24</f>
        <v>515.93284600000015</v>
      </c>
      <c r="S24" s="33">
        <v>0</v>
      </c>
      <c r="T24" s="33">
        <v>0</v>
      </c>
      <c r="U24" s="33">
        <f t="shared" ref="U24:U32" si="4">SUM(I24:T24)</f>
        <v>3095.5970760000009</v>
      </c>
    </row>
    <row r="25" spans="1:21" ht="38.25" customHeight="1">
      <c r="A25" s="30" t="s">
        <v>40</v>
      </c>
      <c r="B25" s="11" t="s">
        <v>41</v>
      </c>
      <c r="C25" s="30" t="s">
        <v>42</v>
      </c>
      <c r="D25" s="11" t="s">
        <v>43</v>
      </c>
      <c r="E25" s="38">
        <v>475.06</v>
      </c>
      <c r="F25" s="38">
        <f>SUM(E25*78/1000)</f>
        <v>37.054679999999998</v>
      </c>
      <c r="G25" s="38">
        <v>276.48</v>
      </c>
      <c r="H25" s="39">
        <f t="shared" si="3"/>
        <v>10.244877926400001</v>
      </c>
      <c r="I25" s="33">
        <v>0</v>
      </c>
      <c r="J25" s="33">
        <v>0</v>
      </c>
      <c r="K25" s="33">
        <v>0</v>
      </c>
      <c r="L25" s="33">
        <v>0</v>
      </c>
      <c r="M25" s="33">
        <f>F25/6*G25</f>
        <v>1707.4796544000001</v>
      </c>
      <c r="N25" s="33">
        <f>F25/6*G25</f>
        <v>1707.4796544000001</v>
      </c>
      <c r="O25" s="33">
        <f>F25/6*G25</f>
        <v>1707.4796544000001</v>
      </c>
      <c r="P25" s="33">
        <f>F25/6*G25</f>
        <v>1707.4796544000001</v>
      </c>
      <c r="Q25" s="33">
        <f>F25/6*G25</f>
        <v>1707.4796544000001</v>
      </c>
      <c r="R25" s="33">
        <f>F25/6*G25</f>
        <v>1707.4796544000001</v>
      </c>
      <c r="S25" s="33">
        <v>0</v>
      </c>
      <c r="T25" s="33">
        <v>0</v>
      </c>
      <c r="U25" s="33">
        <f t="shared" si="4"/>
        <v>10244.8779264</v>
      </c>
    </row>
    <row r="26" spans="1:21">
      <c r="A26" s="30" t="s">
        <v>44</v>
      </c>
      <c r="B26" s="11" t="s">
        <v>45</v>
      </c>
      <c r="C26" s="30" t="s">
        <v>42</v>
      </c>
      <c r="D26" s="11" t="s">
        <v>46</v>
      </c>
      <c r="E26" s="38">
        <v>357.22</v>
      </c>
      <c r="F26" s="38">
        <f>SUM(E26/1000)</f>
        <v>0.35722000000000004</v>
      </c>
      <c r="G26" s="38">
        <v>3228.73</v>
      </c>
      <c r="H26" s="39">
        <f t="shared" si="3"/>
        <v>1.1533669306000001</v>
      </c>
      <c r="I26" s="33">
        <v>0</v>
      </c>
      <c r="J26" s="33">
        <v>0</v>
      </c>
      <c r="K26" s="33">
        <v>0</v>
      </c>
      <c r="L26" s="33">
        <v>0</v>
      </c>
      <c r="M26" s="33">
        <f>F26*G26</f>
        <v>1153.3669306000002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f t="shared" si="4"/>
        <v>1153.3669306000002</v>
      </c>
    </row>
    <row r="27" spans="1:21">
      <c r="A27" s="30" t="s">
        <v>171</v>
      </c>
      <c r="B27" s="11" t="s">
        <v>172</v>
      </c>
      <c r="C27" s="30" t="s">
        <v>96</v>
      </c>
      <c r="D27" s="11" t="s">
        <v>173</v>
      </c>
      <c r="E27" s="38">
        <v>5</v>
      </c>
      <c r="F27" s="38">
        <f>E27*155/100</f>
        <v>7.75</v>
      </c>
      <c r="G27" s="38">
        <v>1391.86</v>
      </c>
      <c r="H27" s="39">
        <f>G27*F27/1000</f>
        <v>10.786914999999999</v>
      </c>
      <c r="I27" s="33">
        <v>0</v>
      </c>
      <c r="J27" s="33">
        <v>0</v>
      </c>
      <c r="K27" s="33">
        <v>0</v>
      </c>
      <c r="L27" s="33">
        <v>0</v>
      </c>
      <c r="M27" s="33">
        <f>F27/6*G27</f>
        <v>1797.8191666666667</v>
      </c>
      <c r="N27" s="33">
        <f>F27/6*G27</f>
        <v>1797.8191666666667</v>
      </c>
      <c r="O27" s="33">
        <f>F27/6*G27</f>
        <v>1797.8191666666667</v>
      </c>
      <c r="P27" s="33">
        <f>F27/6*G27</f>
        <v>1797.8191666666667</v>
      </c>
      <c r="Q27" s="33">
        <f>F27/6*G27</f>
        <v>1797.8191666666667</v>
      </c>
      <c r="R27" s="33">
        <f>F27/6*G27</f>
        <v>1797.8191666666667</v>
      </c>
      <c r="S27" s="33">
        <v>0</v>
      </c>
      <c r="T27" s="33">
        <v>0</v>
      </c>
      <c r="U27" s="33">
        <f t="shared" si="4"/>
        <v>10786.914999999999</v>
      </c>
    </row>
    <row r="28" spans="1:21">
      <c r="A28" s="30" t="s">
        <v>47</v>
      </c>
      <c r="B28" s="11" t="s">
        <v>48</v>
      </c>
      <c r="C28" s="30" t="s">
        <v>49</v>
      </c>
      <c r="D28" s="11" t="s">
        <v>50</v>
      </c>
      <c r="E28" s="49">
        <v>0.33333333333333331</v>
      </c>
      <c r="F28" s="38">
        <f>155/3</f>
        <v>51.666666666666664</v>
      </c>
      <c r="G28" s="38">
        <v>60.6</v>
      </c>
      <c r="H28" s="39">
        <f>SUM(G28*155/3/1000)</f>
        <v>3.1309999999999998</v>
      </c>
      <c r="I28" s="33">
        <v>0</v>
      </c>
      <c r="J28" s="33">
        <v>0</v>
      </c>
      <c r="K28" s="33">
        <v>0</v>
      </c>
      <c r="L28" s="33">
        <v>0</v>
      </c>
      <c r="M28" s="33">
        <f>F28/6*G28</f>
        <v>521.83333333333337</v>
      </c>
      <c r="N28" s="33">
        <f>F28/6*G28</f>
        <v>521.83333333333337</v>
      </c>
      <c r="O28" s="33">
        <f>F28/6*G28</f>
        <v>521.83333333333337</v>
      </c>
      <c r="P28" s="33">
        <f>F28/6*G28</f>
        <v>521.83333333333337</v>
      </c>
      <c r="Q28" s="33">
        <f>F28/6*G28</f>
        <v>521.83333333333337</v>
      </c>
      <c r="R28" s="33">
        <f>F28/6*G28</f>
        <v>521.83333333333337</v>
      </c>
      <c r="S28" s="33">
        <v>0</v>
      </c>
      <c r="T28" s="33">
        <v>0</v>
      </c>
      <c r="U28" s="33">
        <f t="shared" si="4"/>
        <v>3131.0000000000005</v>
      </c>
    </row>
    <row r="29" spans="1:21" ht="12.75" customHeight="1">
      <c r="A29" s="30" t="s">
        <v>51</v>
      </c>
      <c r="B29" s="11" t="s">
        <v>52</v>
      </c>
      <c r="C29" s="30" t="s">
        <v>53</v>
      </c>
      <c r="D29" s="11" t="s">
        <v>54</v>
      </c>
      <c r="E29" s="50">
        <v>0.1</v>
      </c>
      <c r="F29" s="38">
        <f>SUM(E29*365)</f>
        <v>36.5</v>
      </c>
      <c r="G29" s="38">
        <v>157.18</v>
      </c>
      <c r="H29" s="39">
        <f t="shared" si="3"/>
        <v>5.737070000000001</v>
      </c>
      <c r="I29" s="33">
        <f>F29/12*G29</f>
        <v>478.08916666666664</v>
      </c>
      <c r="J29" s="33">
        <f>F29/12*G29</f>
        <v>478.08916666666664</v>
      </c>
      <c r="K29" s="33">
        <f>F29/12*G29</f>
        <v>478.08916666666664</v>
      </c>
      <c r="L29" s="33">
        <f>F29/12*G29</f>
        <v>478.08916666666664</v>
      </c>
      <c r="M29" s="33">
        <f>F29/12*G29</f>
        <v>478.08916666666664</v>
      </c>
      <c r="N29" s="33">
        <f>F29/12*G29</f>
        <v>478.08916666666664</v>
      </c>
      <c r="O29" s="33">
        <f>F29/12*G29</f>
        <v>478.08916666666664</v>
      </c>
      <c r="P29" s="33">
        <f>F29/12*G29</f>
        <v>478.08916666666664</v>
      </c>
      <c r="Q29" s="33">
        <f>F29/12*G29</f>
        <v>478.08916666666664</v>
      </c>
      <c r="R29" s="33">
        <f>F29/12*G29</f>
        <v>478.08916666666664</v>
      </c>
      <c r="S29" s="33">
        <f>F29/12*G29</f>
        <v>478.08916666666664</v>
      </c>
      <c r="T29" s="33">
        <f>F29/12*G29</f>
        <v>478.08916666666664</v>
      </c>
      <c r="U29" s="33">
        <f t="shared" si="4"/>
        <v>5737.07</v>
      </c>
    </row>
    <row r="30" spans="1:21" ht="12.75" customHeight="1">
      <c r="A30" s="30" t="s">
        <v>56</v>
      </c>
      <c r="B30" s="11" t="s">
        <v>57</v>
      </c>
      <c r="C30" s="30" t="s">
        <v>53</v>
      </c>
      <c r="D30" s="11" t="s">
        <v>55</v>
      </c>
      <c r="E30" s="37"/>
      <c r="F30" s="38">
        <v>3</v>
      </c>
      <c r="G30" s="38">
        <v>204.52</v>
      </c>
      <c r="H30" s="39">
        <f t="shared" si="3"/>
        <v>0.61356000000000011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f t="shared" si="4"/>
        <v>0</v>
      </c>
    </row>
    <row r="31" spans="1:21" ht="13.5" customHeight="1">
      <c r="A31" s="30" t="s">
        <v>58</v>
      </c>
      <c r="B31" s="11" t="s">
        <v>59</v>
      </c>
      <c r="C31" s="30" t="s">
        <v>60</v>
      </c>
      <c r="D31" s="11" t="s">
        <v>55</v>
      </c>
      <c r="E31" s="37"/>
      <c r="F31" s="38">
        <v>2</v>
      </c>
      <c r="G31" s="38">
        <v>1214.74</v>
      </c>
      <c r="H31" s="39">
        <f t="shared" si="3"/>
        <v>2.4294799999999999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f t="shared" si="4"/>
        <v>0</v>
      </c>
    </row>
    <row r="32" spans="1:21">
      <c r="A32" s="30"/>
      <c r="B32" s="51" t="s">
        <v>61</v>
      </c>
      <c r="C32" s="30" t="s">
        <v>62</v>
      </c>
      <c r="D32" s="51" t="s">
        <v>54</v>
      </c>
      <c r="E32" s="37">
        <v>5816.5</v>
      </c>
      <c r="F32" s="38">
        <f>SUM(E32*12)</f>
        <v>69798</v>
      </c>
      <c r="G32" s="38">
        <v>4.72</v>
      </c>
      <c r="H32" s="39">
        <f t="shared" si="3"/>
        <v>329.44655999999998</v>
      </c>
      <c r="I32" s="33">
        <f>F32/12*G32</f>
        <v>27453.879999999997</v>
      </c>
      <c r="J32" s="33">
        <f>F32/12*G32</f>
        <v>27453.879999999997</v>
      </c>
      <c r="K32" s="33">
        <f>F32/12*G32</f>
        <v>27453.879999999997</v>
      </c>
      <c r="L32" s="33">
        <f>F32/12*G32</f>
        <v>27453.879999999997</v>
      </c>
      <c r="M32" s="33">
        <f>F32/12*G32</f>
        <v>27453.879999999997</v>
      </c>
      <c r="N32" s="33">
        <f>F32/12*G32</f>
        <v>27453.879999999997</v>
      </c>
      <c r="O32" s="33">
        <f>F32/12*G32</f>
        <v>27453.879999999997</v>
      </c>
      <c r="P32" s="33">
        <f>F32/12*G32</f>
        <v>27453.879999999997</v>
      </c>
      <c r="Q32" s="33">
        <f>F32/12*G32</f>
        <v>27453.879999999997</v>
      </c>
      <c r="R32" s="33">
        <f>F32/12*G32</f>
        <v>27453.879999999997</v>
      </c>
      <c r="S32" s="33">
        <f>F32/12*G32</f>
        <v>27453.879999999997</v>
      </c>
      <c r="T32" s="33">
        <f>F32/12*G32</f>
        <v>27453.879999999997</v>
      </c>
      <c r="U32" s="33">
        <f t="shared" si="4"/>
        <v>329446.56</v>
      </c>
    </row>
    <row r="33" spans="1:21" ht="25.5">
      <c r="A33" s="142" t="s">
        <v>218</v>
      </c>
      <c r="B33" s="143" t="s">
        <v>219</v>
      </c>
      <c r="C33" s="142" t="s">
        <v>68</v>
      </c>
      <c r="D33" s="11"/>
      <c r="E33" s="37">
        <v>360.36</v>
      </c>
      <c r="F33" s="38">
        <f>E33*36/1000</f>
        <v>12.97296</v>
      </c>
      <c r="G33" s="38">
        <v>3228.73</v>
      </c>
      <c r="H33" s="39">
        <f t="shared" ref="H33" si="5">SUM(F33*G33/1000)</f>
        <v>41.886185140800002</v>
      </c>
      <c r="I33" s="33">
        <v>0</v>
      </c>
      <c r="J33" s="33">
        <v>0</v>
      </c>
      <c r="K33" s="33">
        <f>E33*9/1000*G33</f>
        <v>10471.5462852</v>
      </c>
      <c r="L33" s="33">
        <v>0</v>
      </c>
      <c r="M33" s="33">
        <v>0</v>
      </c>
      <c r="N33" s="33">
        <f>E33*9/1000*G33</f>
        <v>10471.5462852</v>
      </c>
      <c r="O33" s="33">
        <v>0</v>
      </c>
      <c r="P33" s="33">
        <v>0</v>
      </c>
      <c r="Q33" s="33">
        <f>E33*9/1000*G33</f>
        <v>10471.5462852</v>
      </c>
      <c r="R33" s="33">
        <v>0</v>
      </c>
      <c r="S33" s="33">
        <v>0</v>
      </c>
      <c r="T33" s="33">
        <f>E33*9/1000*G33</f>
        <v>10471.5462852</v>
      </c>
      <c r="U33" s="33">
        <f>SUM(I33:T33)</f>
        <v>41886.1851408</v>
      </c>
    </row>
    <row r="34" spans="1:21" s="19" customFormat="1">
      <c r="A34" s="43"/>
      <c r="B34" s="20" t="s">
        <v>35</v>
      </c>
      <c r="C34" s="44"/>
      <c r="D34" s="20"/>
      <c r="E34" s="45"/>
      <c r="F34" s="46"/>
      <c r="G34" s="46"/>
      <c r="H34" s="52">
        <f>SUM(H24:H32)</f>
        <v>366.63842693300001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>
        <f>SUM(U24:U33)</f>
        <v>405481.57207380002</v>
      </c>
    </row>
    <row r="35" spans="1:21">
      <c r="A35" s="30"/>
      <c r="B35" s="12" t="s">
        <v>64</v>
      </c>
      <c r="C35" s="30"/>
      <c r="D35" s="11"/>
      <c r="E35" s="37"/>
      <c r="F35" s="38"/>
      <c r="G35" s="38"/>
      <c r="H35" s="39" t="s">
        <v>63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25.5">
      <c r="A36" s="30" t="s">
        <v>58</v>
      </c>
      <c r="B36" s="13" t="s">
        <v>65</v>
      </c>
      <c r="C36" s="30" t="s">
        <v>60</v>
      </c>
      <c r="D36" s="11"/>
      <c r="E36" s="37"/>
      <c r="F36" s="38">
        <v>10</v>
      </c>
      <c r="G36" s="38">
        <v>1632.6</v>
      </c>
      <c r="H36" s="39">
        <f t="shared" ref="H36:H42" si="6">SUM(F36*G36/1000)</f>
        <v>16.326000000000001</v>
      </c>
      <c r="I36" s="33">
        <f>F36/6*G36</f>
        <v>2721</v>
      </c>
      <c r="J36" s="33">
        <f>F36/6*G36</f>
        <v>2721</v>
      </c>
      <c r="K36" s="33">
        <f>F36/6*G36</f>
        <v>2721</v>
      </c>
      <c r="L36" s="33">
        <f>F36/6*G36</f>
        <v>2721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f>F36/6*G36</f>
        <v>2721</v>
      </c>
      <c r="T36" s="33">
        <f>F36/6*G36</f>
        <v>2721</v>
      </c>
      <c r="U36" s="33">
        <f t="shared" ref="U36:U42" si="7">SUM(I36:T36)</f>
        <v>16326</v>
      </c>
    </row>
    <row r="37" spans="1:21" s="1" customFormat="1">
      <c r="A37" s="53" t="s">
        <v>66</v>
      </c>
      <c r="B37" s="13" t="s">
        <v>67</v>
      </c>
      <c r="C37" s="53" t="s">
        <v>68</v>
      </c>
      <c r="D37" s="13" t="s">
        <v>175</v>
      </c>
      <c r="E37" s="54">
        <v>469.73</v>
      </c>
      <c r="F37" s="54">
        <f>SUM(E37*30/1000)</f>
        <v>14.091900000000001</v>
      </c>
      <c r="G37" s="54">
        <v>2247.8000000000002</v>
      </c>
      <c r="H37" s="39">
        <f t="shared" si="6"/>
        <v>31.675772820000006</v>
      </c>
      <c r="I37" s="55">
        <f>F37/6*G37</f>
        <v>5279.2954700000009</v>
      </c>
      <c r="J37" s="55">
        <f>F37/6*G37</f>
        <v>5279.2954700000009</v>
      </c>
      <c r="K37" s="55">
        <f>F37/6*G37</f>
        <v>5279.2954700000009</v>
      </c>
      <c r="L37" s="55">
        <f>F37/6*G37</f>
        <v>5279.2954700000009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f>F37/6*G37</f>
        <v>5279.2954700000009</v>
      </c>
      <c r="T37" s="55">
        <f>F37/6*G37</f>
        <v>5279.2954700000009</v>
      </c>
      <c r="U37" s="33">
        <f t="shared" si="7"/>
        <v>31675.772820000006</v>
      </c>
    </row>
    <row r="38" spans="1:21">
      <c r="A38" s="30" t="s">
        <v>58</v>
      </c>
      <c r="B38" s="11" t="s">
        <v>158</v>
      </c>
      <c r="C38" s="30" t="s">
        <v>105</v>
      </c>
      <c r="D38" s="11" t="s">
        <v>55</v>
      </c>
      <c r="E38" s="37"/>
      <c r="F38" s="54">
        <v>120</v>
      </c>
      <c r="G38" s="38">
        <v>213.2</v>
      </c>
      <c r="H38" s="39">
        <f>G38*F38/1000</f>
        <v>25.584</v>
      </c>
      <c r="I38" s="33">
        <f>0</f>
        <v>0</v>
      </c>
      <c r="J38" s="33">
        <v>0</v>
      </c>
      <c r="K38" s="33">
        <f>42*G38</f>
        <v>8954.4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f>0</f>
        <v>0</v>
      </c>
      <c r="T38" s="33">
        <v>0</v>
      </c>
      <c r="U38" s="33">
        <f t="shared" si="7"/>
        <v>8954.4</v>
      </c>
    </row>
    <row r="39" spans="1:21" ht="24.75" customHeight="1">
      <c r="A39" s="30" t="s">
        <v>69</v>
      </c>
      <c r="B39" s="11" t="s">
        <v>70</v>
      </c>
      <c r="C39" s="30" t="s">
        <v>68</v>
      </c>
      <c r="D39" s="11" t="s">
        <v>71</v>
      </c>
      <c r="E39" s="38">
        <v>475.06</v>
      </c>
      <c r="F39" s="54">
        <f>SUM(E39*155/1000)</f>
        <v>73.634299999999996</v>
      </c>
      <c r="G39" s="38">
        <v>374.95</v>
      </c>
      <c r="H39" s="39">
        <f t="shared" si="6"/>
        <v>27.609180784999996</v>
      </c>
      <c r="I39" s="33">
        <f>F39/6*G39</f>
        <v>4601.5301308333328</v>
      </c>
      <c r="J39" s="33">
        <f>F39/6*G39</f>
        <v>4601.5301308333328</v>
      </c>
      <c r="K39" s="33">
        <f>F39/6*G39</f>
        <v>4601.5301308333328</v>
      </c>
      <c r="L39" s="33">
        <f>F39/6*G39</f>
        <v>4601.5301308333328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f>F39/6*G39</f>
        <v>4601.5301308333328</v>
      </c>
      <c r="T39" s="33">
        <f>F39/6*G39</f>
        <v>4601.5301308333328</v>
      </c>
      <c r="U39" s="33">
        <f t="shared" si="7"/>
        <v>27609.180784999997</v>
      </c>
    </row>
    <row r="40" spans="1:21" ht="51" customHeight="1">
      <c r="A40" s="30" t="s">
        <v>72</v>
      </c>
      <c r="B40" s="11" t="s">
        <v>73</v>
      </c>
      <c r="C40" s="30" t="s">
        <v>42</v>
      </c>
      <c r="D40" s="11" t="s">
        <v>176</v>
      </c>
      <c r="E40" s="38">
        <v>40.6</v>
      </c>
      <c r="F40" s="54">
        <f>SUM(E40*35/1000)</f>
        <v>1.421</v>
      </c>
      <c r="G40" s="38">
        <v>6203.7</v>
      </c>
      <c r="H40" s="39">
        <f t="shared" si="6"/>
        <v>8.8154577000000014</v>
      </c>
      <c r="I40" s="33">
        <f>F40/6*G40</f>
        <v>1469.2429500000001</v>
      </c>
      <c r="J40" s="33">
        <f>F40/6*G40</f>
        <v>1469.2429500000001</v>
      </c>
      <c r="K40" s="33">
        <f>F40/6*G40</f>
        <v>1469.2429500000001</v>
      </c>
      <c r="L40" s="33">
        <f>F40/6*G40</f>
        <v>1469.2429500000001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f>F40/6*G40</f>
        <v>1469.2429500000001</v>
      </c>
      <c r="T40" s="33">
        <f>F40/6*G40</f>
        <v>1469.2429500000001</v>
      </c>
      <c r="U40" s="33">
        <f t="shared" si="7"/>
        <v>8815.4577000000008</v>
      </c>
    </row>
    <row r="41" spans="1:21" ht="12.75" customHeight="1">
      <c r="A41" s="30" t="s">
        <v>74</v>
      </c>
      <c r="B41" s="11" t="s">
        <v>75</v>
      </c>
      <c r="C41" s="30" t="s">
        <v>42</v>
      </c>
      <c r="D41" s="11" t="s">
        <v>76</v>
      </c>
      <c r="E41" s="38">
        <v>167.03</v>
      </c>
      <c r="F41" s="54">
        <f>SUM(E41*45/1000)</f>
        <v>7.5163500000000001</v>
      </c>
      <c r="G41" s="38">
        <v>458.28</v>
      </c>
      <c r="H41" s="39">
        <f t="shared" si="6"/>
        <v>3.4445928779999999</v>
      </c>
      <c r="I41" s="33">
        <f>F41/6*G41</f>
        <v>574.09881299999995</v>
      </c>
      <c r="J41" s="33">
        <f>F41/6*G41</f>
        <v>574.09881299999995</v>
      </c>
      <c r="K41" s="33">
        <f>F41/6*G41</f>
        <v>574.09881299999995</v>
      </c>
      <c r="L41" s="33">
        <f>F41/6*G41</f>
        <v>574.09881299999995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f>F41/6*G41</f>
        <v>574.09881299999995</v>
      </c>
      <c r="T41" s="33">
        <f>F41/6*G41</f>
        <v>574.09881299999995</v>
      </c>
      <c r="U41" s="33">
        <f t="shared" si="7"/>
        <v>3444.5928779999999</v>
      </c>
    </row>
    <row r="42" spans="1:21" s="2" customFormat="1">
      <c r="A42" s="53"/>
      <c r="B42" s="13" t="s">
        <v>77</v>
      </c>
      <c r="C42" s="53" t="s">
        <v>53</v>
      </c>
      <c r="D42" s="13"/>
      <c r="E42" s="50"/>
      <c r="F42" s="54">
        <v>1.2</v>
      </c>
      <c r="G42" s="54">
        <v>853.06</v>
      </c>
      <c r="H42" s="39">
        <f t="shared" si="6"/>
        <v>1.0236719999999999</v>
      </c>
      <c r="I42" s="55">
        <f>F42/6*G42</f>
        <v>170.61199999999997</v>
      </c>
      <c r="J42" s="55">
        <f>F42/6*G42</f>
        <v>170.61199999999997</v>
      </c>
      <c r="K42" s="55">
        <f>F42/6*G42</f>
        <v>170.61199999999997</v>
      </c>
      <c r="L42" s="55">
        <f>F42/6*G42</f>
        <v>170.61199999999997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f>F42/6*G42</f>
        <v>170.61199999999997</v>
      </c>
      <c r="T42" s="55">
        <f>F42/6*G42</f>
        <v>170.61199999999997</v>
      </c>
      <c r="U42" s="33">
        <f t="shared" si="7"/>
        <v>1023.6719999999998</v>
      </c>
    </row>
    <row r="43" spans="1:21" s="19" customFormat="1">
      <c r="A43" s="43"/>
      <c r="B43" s="20" t="s">
        <v>35</v>
      </c>
      <c r="C43" s="44"/>
      <c r="D43" s="20"/>
      <c r="E43" s="45"/>
      <c r="F43" s="46" t="s">
        <v>63</v>
      </c>
      <c r="G43" s="46"/>
      <c r="H43" s="52">
        <f>SUM(H36:H42)</f>
        <v>114.47867618299999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>
        <f>SUM(U36:U42)</f>
        <v>97849.076183000012</v>
      </c>
    </row>
    <row r="44" spans="1:21">
      <c r="A44" s="30"/>
      <c r="B44" s="14" t="s">
        <v>78</v>
      </c>
      <c r="C44" s="30"/>
      <c r="D44" s="11"/>
      <c r="E44" s="37"/>
      <c r="F44" s="38"/>
      <c r="G44" s="38"/>
      <c r="H44" s="39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>
      <c r="A45" s="30" t="s">
        <v>177</v>
      </c>
      <c r="B45" s="11" t="s">
        <v>178</v>
      </c>
      <c r="C45" s="30" t="s">
        <v>42</v>
      </c>
      <c r="D45" s="11" t="s">
        <v>79</v>
      </c>
      <c r="E45" s="37">
        <v>1603.6</v>
      </c>
      <c r="F45" s="38">
        <f>SUM(E45*2/1000)</f>
        <v>3.2071999999999998</v>
      </c>
      <c r="G45" s="56">
        <v>908.11</v>
      </c>
      <c r="H45" s="39">
        <f t="shared" ref="H45:H53" si="8">SUM(F45*G45/1000)</f>
        <v>2.9124903919999996</v>
      </c>
      <c r="I45" s="33">
        <v>0</v>
      </c>
      <c r="J45" s="33">
        <v>0</v>
      </c>
      <c r="K45" s="33">
        <v>0</v>
      </c>
      <c r="L45" s="33">
        <f>F45/2*G45</f>
        <v>1456.2451959999999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f>F45/2*G45</f>
        <v>1456.2451959999999</v>
      </c>
      <c r="S45" s="33">
        <v>0</v>
      </c>
      <c r="T45" s="33">
        <v>0</v>
      </c>
      <c r="U45" s="33">
        <f t="shared" ref="U45:U53" si="9">SUM(I45:T45)</f>
        <v>2912.4903919999997</v>
      </c>
    </row>
    <row r="46" spans="1:21">
      <c r="A46" s="30" t="s">
        <v>80</v>
      </c>
      <c r="B46" s="11" t="s">
        <v>81</v>
      </c>
      <c r="C46" s="30" t="s">
        <v>42</v>
      </c>
      <c r="D46" s="11" t="s">
        <v>79</v>
      </c>
      <c r="E46" s="37">
        <v>65</v>
      </c>
      <c r="F46" s="38">
        <f>SUM(E46*2/1000)</f>
        <v>0.13</v>
      </c>
      <c r="G46" s="56">
        <v>619.46</v>
      </c>
      <c r="H46" s="39">
        <f t="shared" si="8"/>
        <v>8.0529800000000012E-2</v>
      </c>
      <c r="I46" s="33">
        <v>0</v>
      </c>
      <c r="J46" s="33">
        <v>0</v>
      </c>
      <c r="K46" s="33">
        <v>0</v>
      </c>
      <c r="L46" s="33">
        <f>F46/2*G46</f>
        <v>40.264900000000004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f>F46/2*G46</f>
        <v>40.264900000000004</v>
      </c>
      <c r="S46" s="33">
        <v>0</v>
      </c>
      <c r="T46" s="33">
        <v>0</v>
      </c>
      <c r="U46" s="33">
        <f t="shared" si="9"/>
        <v>80.529800000000009</v>
      </c>
    </row>
    <row r="47" spans="1:21" ht="25.5">
      <c r="A47" s="30" t="s">
        <v>82</v>
      </c>
      <c r="B47" s="11" t="s">
        <v>83</v>
      </c>
      <c r="C47" s="30" t="s">
        <v>42</v>
      </c>
      <c r="D47" s="11" t="s">
        <v>79</v>
      </c>
      <c r="E47" s="37">
        <v>1825.8</v>
      </c>
      <c r="F47" s="38">
        <f>SUM(E47*2/1000)</f>
        <v>3.6515999999999997</v>
      </c>
      <c r="G47" s="56">
        <v>619.46</v>
      </c>
      <c r="H47" s="39">
        <f t="shared" si="8"/>
        <v>2.2620201360000003</v>
      </c>
      <c r="I47" s="33">
        <v>0</v>
      </c>
      <c r="J47" s="33">
        <v>0</v>
      </c>
      <c r="K47" s="33">
        <v>0</v>
      </c>
      <c r="L47" s="33">
        <f>F47/2*G47</f>
        <v>1131.010068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f>F47/2*G47</f>
        <v>1131.010068</v>
      </c>
      <c r="S47" s="33">
        <v>0</v>
      </c>
      <c r="T47" s="33">
        <v>0</v>
      </c>
      <c r="U47" s="33">
        <f t="shared" si="9"/>
        <v>2262.0201360000001</v>
      </c>
    </row>
    <row r="48" spans="1:21">
      <c r="A48" s="30" t="s">
        <v>84</v>
      </c>
      <c r="B48" s="11" t="s">
        <v>85</v>
      </c>
      <c r="C48" s="30" t="s">
        <v>42</v>
      </c>
      <c r="D48" s="11" t="s">
        <v>79</v>
      </c>
      <c r="E48" s="37">
        <v>3163.96</v>
      </c>
      <c r="F48" s="38">
        <f>SUM(E48*2/1000)</f>
        <v>6.3279199999999998</v>
      </c>
      <c r="G48" s="56">
        <v>648.64</v>
      </c>
      <c r="H48" s="39">
        <f t="shared" si="8"/>
        <v>4.1045420287999992</v>
      </c>
      <c r="I48" s="33">
        <v>0</v>
      </c>
      <c r="J48" s="33">
        <v>0</v>
      </c>
      <c r="K48" s="33">
        <v>0</v>
      </c>
      <c r="L48" s="33">
        <f>F48/2*G48</f>
        <v>2052.2710143999998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f>F48/2*G48</f>
        <v>2052.2710143999998</v>
      </c>
      <c r="S48" s="33">
        <v>0</v>
      </c>
      <c r="T48" s="33">
        <v>0</v>
      </c>
      <c r="U48" s="33">
        <f t="shared" si="9"/>
        <v>4104.5420287999996</v>
      </c>
    </row>
    <row r="49" spans="1:21" ht="25.5">
      <c r="A49" s="30" t="s">
        <v>86</v>
      </c>
      <c r="B49" s="11" t="s">
        <v>87</v>
      </c>
      <c r="C49" s="30" t="s">
        <v>42</v>
      </c>
      <c r="D49" s="11" t="s">
        <v>88</v>
      </c>
      <c r="E49" s="37">
        <v>1583</v>
      </c>
      <c r="F49" s="38">
        <f>SUM(E49*5/1000)</f>
        <v>7.915</v>
      </c>
      <c r="G49" s="56">
        <v>1297.28</v>
      </c>
      <c r="H49" s="39">
        <f t="shared" si="8"/>
        <v>10.2679712</v>
      </c>
      <c r="I49" s="33">
        <f>F49/5*G49</f>
        <v>2053.5942399999999</v>
      </c>
      <c r="J49" s="33">
        <f>F49/5*G49</f>
        <v>2053.5942399999999</v>
      </c>
      <c r="K49" s="33">
        <v>0</v>
      </c>
      <c r="L49" s="33">
        <v>0</v>
      </c>
      <c r="M49" s="33">
        <f>F49/5*G49</f>
        <v>2053.5942399999999</v>
      </c>
      <c r="N49" s="33">
        <v>0</v>
      </c>
      <c r="O49" s="33">
        <v>0</v>
      </c>
      <c r="P49" s="33">
        <v>0</v>
      </c>
      <c r="Q49" s="33">
        <f>F49/5*G49</f>
        <v>2053.5942399999999</v>
      </c>
      <c r="R49" s="33">
        <v>0</v>
      </c>
      <c r="S49" s="33">
        <v>0</v>
      </c>
      <c r="T49" s="33">
        <f>F49/5*G49</f>
        <v>2053.5942399999999</v>
      </c>
      <c r="U49" s="33">
        <f t="shared" si="9"/>
        <v>10267.9712</v>
      </c>
    </row>
    <row r="50" spans="1:21" ht="39.6" customHeight="1">
      <c r="A50" s="30" t="s">
        <v>89</v>
      </c>
      <c r="B50" s="11" t="s">
        <v>90</v>
      </c>
      <c r="C50" s="30" t="s">
        <v>42</v>
      </c>
      <c r="D50" s="11" t="s">
        <v>79</v>
      </c>
      <c r="E50" s="37">
        <v>1583</v>
      </c>
      <c r="F50" s="38">
        <f>SUM(E50*2/1000)</f>
        <v>3.1659999999999999</v>
      </c>
      <c r="G50" s="56">
        <v>1297.28</v>
      </c>
      <c r="H50" s="39">
        <f t="shared" si="8"/>
        <v>4.1071884799999996</v>
      </c>
      <c r="I50" s="33">
        <f>F50/2*G50</f>
        <v>2053.5942399999999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f>F50/2*G50</f>
        <v>2053.5942399999999</v>
      </c>
      <c r="R50" s="33">
        <v>0</v>
      </c>
      <c r="S50" s="33">
        <v>0</v>
      </c>
      <c r="T50" s="33">
        <v>0</v>
      </c>
      <c r="U50" s="33">
        <f t="shared" si="9"/>
        <v>4107.1884799999998</v>
      </c>
    </row>
    <row r="51" spans="1:21" ht="28.9" customHeight="1">
      <c r="A51" s="30" t="s">
        <v>91</v>
      </c>
      <c r="B51" s="11" t="s">
        <v>92</v>
      </c>
      <c r="C51" s="30" t="s">
        <v>93</v>
      </c>
      <c r="D51" s="11" t="s">
        <v>79</v>
      </c>
      <c r="E51" s="37">
        <v>25</v>
      </c>
      <c r="F51" s="38">
        <f>SUM(E51*2/100)</f>
        <v>0.5</v>
      </c>
      <c r="G51" s="56">
        <v>2918.89</v>
      </c>
      <c r="H51" s="39">
        <f t="shared" si="8"/>
        <v>1.4594449999999999</v>
      </c>
      <c r="I51" s="33">
        <f>F51/2*G51</f>
        <v>729.72249999999997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f>F51/2*G51</f>
        <v>729.72249999999997</v>
      </c>
      <c r="R51" s="33">
        <v>0</v>
      </c>
      <c r="S51" s="33">
        <v>0</v>
      </c>
      <c r="T51" s="33">
        <v>0</v>
      </c>
      <c r="U51" s="33">
        <f t="shared" si="9"/>
        <v>1459.4449999999999</v>
      </c>
    </row>
    <row r="52" spans="1:21">
      <c r="A52" s="30" t="s">
        <v>94</v>
      </c>
      <c r="B52" s="11" t="s">
        <v>95</v>
      </c>
      <c r="C52" s="30" t="s">
        <v>96</v>
      </c>
      <c r="D52" s="11" t="s">
        <v>79</v>
      </c>
      <c r="E52" s="37">
        <v>1</v>
      </c>
      <c r="F52" s="38">
        <v>0.02</v>
      </c>
      <c r="G52" s="56">
        <v>6042.12</v>
      </c>
      <c r="H52" s="39">
        <f t="shared" si="8"/>
        <v>0.1208424</v>
      </c>
      <c r="I52" s="33">
        <f>F52/2*G52</f>
        <v>60.421199999999999</v>
      </c>
      <c r="J52" s="33">
        <v>0</v>
      </c>
      <c r="K52" s="33">
        <v>0</v>
      </c>
      <c r="L52" s="33">
        <v>0</v>
      </c>
      <c r="M52" s="33">
        <v>0</v>
      </c>
      <c r="N52" s="33">
        <f>F52/2*G52</f>
        <v>60.421199999999999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f t="shared" si="9"/>
        <v>120.8424</v>
      </c>
    </row>
    <row r="53" spans="1:21" ht="13.5" customHeight="1">
      <c r="A53" s="30" t="s">
        <v>98</v>
      </c>
      <c r="B53" s="11" t="s">
        <v>99</v>
      </c>
      <c r="C53" s="30" t="s">
        <v>49</v>
      </c>
      <c r="D53" s="11" t="s">
        <v>152</v>
      </c>
      <c r="E53" s="37">
        <v>36</v>
      </c>
      <c r="F53" s="38">
        <f>SUM(E53)*3</f>
        <v>108</v>
      </c>
      <c r="G53" s="57">
        <v>70.209999999999994</v>
      </c>
      <c r="H53" s="39">
        <f t="shared" si="8"/>
        <v>7.582679999999999</v>
      </c>
      <c r="I53" s="33">
        <v>0</v>
      </c>
      <c r="J53" s="33">
        <f>E53*G53</f>
        <v>2527.56</v>
      </c>
      <c r="K53" s="33">
        <v>0</v>
      </c>
      <c r="L53" s="33">
        <f>E53*G53</f>
        <v>2527.56</v>
      </c>
      <c r="M53" s="33">
        <v>0</v>
      </c>
      <c r="N53" s="33">
        <v>0</v>
      </c>
      <c r="O53" s="33">
        <v>0</v>
      </c>
      <c r="P53" s="33">
        <f>E53*G53</f>
        <v>2527.56</v>
      </c>
      <c r="Q53" s="33">
        <v>0</v>
      </c>
      <c r="R53" s="33">
        <v>0</v>
      </c>
      <c r="S53" s="33">
        <v>0</v>
      </c>
      <c r="T53" s="33">
        <v>0</v>
      </c>
      <c r="U53" s="33">
        <f t="shared" si="9"/>
        <v>7582.68</v>
      </c>
    </row>
    <row r="54" spans="1:21" s="21" customFormat="1">
      <c r="A54" s="58"/>
      <c r="B54" s="20" t="s">
        <v>35</v>
      </c>
      <c r="C54" s="59"/>
      <c r="D54" s="20"/>
      <c r="E54" s="60"/>
      <c r="F54" s="61"/>
      <c r="G54" s="61"/>
      <c r="H54" s="52">
        <f>SUM(H45:H53)</f>
        <v>32.8977094368</v>
      </c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>
        <f>SUM(U45:U53)</f>
        <v>32897.709436799996</v>
      </c>
    </row>
    <row r="55" spans="1:21">
      <c r="A55" s="30"/>
      <c r="B55" s="12" t="s">
        <v>100</v>
      </c>
      <c r="C55" s="30"/>
      <c r="D55" s="11"/>
      <c r="E55" s="37"/>
      <c r="F55" s="38"/>
      <c r="G55" s="38"/>
      <c r="H55" s="39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ht="25.5">
      <c r="A56" s="30" t="s">
        <v>101</v>
      </c>
      <c r="B56" s="11" t="s">
        <v>164</v>
      </c>
      <c r="C56" s="30" t="s">
        <v>14</v>
      </c>
      <c r="D56" s="11" t="s">
        <v>167</v>
      </c>
      <c r="E56" s="63">
        <v>3.78</v>
      </c>
      <c r="F56" s="56">
        <f>E56*6/100</f>
        <v>0.2268</v>
      </c>
      <c r="G56" s="54">
        <v>1654.04</v>
      </c>
      <c r="H56" s="39">
        <f>SUM(F56*G56/1000)</f>
        <v>0.37513627199999999</v>
      </c>
      <c r="I56" s="33">
        <f>F56/6*G56</f>
        <v>62.522711999999999</v>
      </c>
      <c r="J56" s="33">
        <f>F56/6*G56</f>
        <v>62.522711999999999</v>
      </c>
      <c r="K56" s="33">
        <f>F56/6*G56</f>
        <v>62.522711999999999</v>
      </c>
      <c r="L56" s="33">
        <f>F56/6*G56</f>
        <v>62.522711999999999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f>F56/6*G56</f>
        <v>62.522711999999999</v>
      </c>
      <c r="T56" s="33">
        <f>F56/6*G56</f>
        <v>62.522711999999999</v>
      </c>
      <c r="U56" s="33">
        <f>SUM(I56:T56)</f>
        <v>375.13627200000002</v>
      </c>
    </row>
    <row r="57" spans="1:21" ht="38.25">
      <c r="A57" s="30" t="s">
        <v>165</v>
      </c>
      <c r="B57" s="11" t="s">
        <v>166</v>
      </c>
      <c r="C57" s="30" t="s">
        <v>14</v>
      </c>
      <c r="D57" s="11" t="s">
        <v>167</v>
      </c>
      <c r="E57" s="37">
        <v>185.36</v>
      </c>
      <c r="F57" s="38">
        <f>E57*6/100</f>
        <v>11.121600000000001</v>
      </c>
      <c r="G57" s="64">
        <v>1654.04</v>
      </c>
      <c r="H57" s="39">
        <f>F57*G57/1000</f>
        <v>18.395571264000001</v>
      </c>
      <c r="I57" s="33">
        <f>F57/6*G57</f>
        <v>3065.9285440000003</v>
      </c>
      <c r="J57" s="33">
        <f>F57/6*G57</f>
        <v>3065.9285440000003</v>
      </c>
      <c r="K57" s="33">
        <f>F57/6*G57</f>
        <v>3065.9285440000003</v>
      </c>
      <c r="L57" s="33">
        <f>F57/6*G57</f>
        <v>3065.9285440000003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f>F57/6*G57</f>
        <v>3065.9285440000003</v>
      </c>
      <c r="T57" s="33">
        <f>F57/6*G57</f>
        <v>3065.9285440000003</v>
      </c>
      <c r="U57" s="33">
        <f>SUM(I57:T57)</f>
        <v>18395.571264000002</v>
      </c>
    </row>
    <row r="58" spans="1:21" ht="12.75" customHeight="1">
      <c r="A58" s="30" t="s">
        <v>179</v>
      </c>
      <c r="B58" s="25" t="s">
        <v>180</v>
      </c>
      <c r="C58" s="30" t="s">
        <v>159</v>
      </c>
      <c r="D58" s="25" t="s">
        <v>79</v>
      </c>
      <c r="E58" s="65">
        <v>5</v>
      </c>
      <c r="F58" s="66">
        <v>10</v>
      </c>
      <c r="G58" s="64">
        <v>198.25</v>
      </c>
      <c r="H58" s="67">
        <v>0.99099999999999999</v>
      </c>
      <c r="I58" s="33">
        <v>0</v>
      </c>
      <c r="J58" s="33">
        <v>0</v>
      </c>
      <c r="K58" s="33">
        <f>F58/2*G58</f>
        <v>991.25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f>F58/2*G58</f>
        <v>991.25</v>
      </c>
      <c r="T58" s="33">
        <v>0</v>
      </c>
      <c r="U58" s="33">
        <f>SUM(I58:T58)</f>
        <v>1982.5</v>
      </c>
    </row>
    <row r="59" spans="1:21" ht="12.75" customHeight="1">
      <c r="A59" s="68"/>
      <c r="B59" s="26" t="s">
        <v>102</v>
      </c>
      <c r="C59" s="68"/>
      <c r="D59" s="25"/>
      <c r="E59" s="65"/>
      <c r="F59" s="66"/>
      <c r="G59" s="69"/>
      <c r="H59" s="6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ht="12.75" customHeight="1">
      <c r="A60" s="68" t="s">
        <v>103</v>
      </c>
      <c r="B60" s="25" t="s">
        <v>168</v>
      </c>
      <c r="C60" s="68" t="s">
        <v>30</v>
      </c>
      <c r="D60" s="25" t="s">
        <v>46</v>
      </c>
      <c r="E60" s="65">
        <v>1752</v>
      </c>
      <c r="F60" s="66">
        <f>E60/100</f>
        <v>17.52</v>
      </c>
      <c r="G60" s="70">
        <v>848.37</v>
      </c>
      <c r="H60" s="67">
        <f>G60*F60/1000</f>
        <v>14.8634424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f>SUM(I60:T60)</f>
        <v>0</v>
      </c>
    </row>
    <row r="61" spans="1:21" ht="12.75" customHeight="1">
      <c r="A61" s="68"/>
      <c r="B61" s="25" t="s">
        <v>181</v>
      </c>
      <c r="C61" s="68" t="s">
        <v>104</v>
      </c>
      <c r="D61" s="25" t="s">
        <v>182</v>
      </c>
      <c r="E61" s="65">
        <v>352</v>
      </c>
      <c r="F61" s="66">
        <f>E61*12</f>
        <v>4224</v>
      </c>
      <c r="G61" s="71">
        <v>2.6</v>
      </c>
      <c r="H61" s="67">
        <f>G61*F61/1000</f>
        <v>10.9824</v>
      </c>
      <c r="I61" s="33">
        <f>F61/12*G61</f>
        <v>915.2</v>
      </c>
      <c r="J61" s="33">
        <f>F61/12*G61</f>
        <v>915.2</v>
      </c>
      <c r="K61" s="33">
        <f>F61/12*G61</f>
        <v>915.2</v>
      </c>
      <c r="L61" s="33">
        <f>F61/12*G61</f>
        <v>915.2</v>
      </c>
      <c r="M61" s="33">
        <f>F61/12*G61</f>
        <v>915.2</v>
      </c>
      <c r="N61" s="33">
        <f>F61/12*G61</f>
        <v>915.2</v>
      </c>
      <c r="O61" s="33">
        <f>F61/12*G61</f>
        <v>915.2</v>
      </c>
      <c r="P61" s="33">
        <f>F61/12*G61</f>
        <v>915.2</v>
      </c>
      <c r="Q61" s="33">
        <f>F61/12*G61</f>
        <v>915.2</v>
      </c>
      <c r="R61" s="33">
        <f>F61/12*G61</f>
        <v>915.2</v>
      </c>
      <c r="S61" s="33">
        <f>F61/12*G61</f>
        <v>915.2</v>
      </c>
      <c r="T61" s="33">
        <f>F61/6*G61</f>
        <v>1830.4</v>
      </c>
      <c r="U61" s="33">
        <f>SUM(I61:T61)</f>
        <v>11897.6</v>
      </c>
    </row>
    <row r="62" spans="1:21">
      <c r="A62" s="68"/>
      <c r="B62" s="15" t="s">
        <v>106</v>
      </c>
      <c r="C62" s="68"/>
      <c r="D62" s="25"/>
      <c r="E62" s="65"/>
      <c r="F62" s="66"/>
      <c r="G62" s="66"/>
      <c r="H62" s="67" t="s">
        <v>63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ht="12.75" customHeight="1">
      <c r="A63" s="72" t="s">
        <v>107</v>
      </c>
      <c r="B63" s="16" t="s">
        <v>108</v>
      </c>
      <c r="C63" s="72" t="s">
        <v>97</v>
      </c>
      <c r="D63" s="9" t="s">
        <v>55</v>
      </c>
      <c r="E63" s="41">
        <v>10</v>
      </c>
      <c r="F63" s="38">
        <v>10</v>
      </c>
      <c r="G63" s="56">
        <v>237.74</v>
      </c>
      <c r="H63" s="73">
        <f t="shared" ref="H63:H81" si="10">SUM(F63*G63/1000)</f>
        <v>2.3774000000000002</v>
      </c>
      <c r="I63" s="33">
        <f>G63*3</f>
        <v>713.22</v>
      </c>
      <c r="J63" s="33">
        <f>G63</f>
        <v>237.74</v>
      </c>
      <c r="K63" s="33">
        <v>0</v>
      </c>
      <c r="L63" s="33">
        <v>0</v>
      </c>
      <c r="M63" s="33">
        <v>0</v>
      </c>
      <c r="N63" s="33">
        <v>0</v>
      </c>
      <c r="O63" s="33">
        <f>G63</f>
        <v>237.74</v>
      </c>
      <c r="P63" s="33">
        <f>G63*2</f>
        <v>475.48</v>
      </c>
      <c r="Q63" s="33">
        <v>0</v>
      </c>
      <c r="R63" s="33">
        <f>G63</f>
        <v>237.74</v>
      </c>
      <c r="S63" s="33">
        <f>G63</f>
        <v>237.74</v>
      </c>
      <c r="T63" s="33">
        <v>0</v>
      </c>
      <c r="U63" s="33">
        <f t="shared" ref="U63:U71" si="11">SUM(I63:T63)</f>
        <v>2139.66</v>
      </c>
    </row>
    <row r="64" spans="1:21" ht="12.75" customHeight="1">
      <c r="A64" s="72" t="s">
        <v>109</v>
      </c>
      <c r="B64" s="16" t="s">
        <v>110</v>
      </c>
      <c r="C64" s="72" t="s">
        <v>97</v>
      </c>
      <c r="D64" s="9" t="s">
        <v>55</v>
      </c>
      <c r="E64" s="41">
        <v>5</v>
      </c>
      <c r="F64" s="38">
        <v>5</v>
      </c>
      <c r="G64" s="56">
        <v>81.510000000000005</v>
      </c>
      <c r="H64" s="73">
        <f t="shared" si="10"/>
        <v>0.40755000000000002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f t="shared" si="11"/>
        <v>0</v>
      </c>
    </row>
    <row r="65" spans="1:21" s="2" customFormat="1">
      <c r="A65" s="74" t="s">
        <v>111</v>
      </c>
      <c r="B65" s="16" t="s">
        <v>112</v>
      </c>
      <c r="C65" s="74" t="s">
        <v>113</v>
      </c>
      <c r="D65" s="9" t="s">
        <v>46</v>
      </c>
      <c r="E65" s="37">
        <v>23808</v>
      </c>
      <c r="F65" s="57">
        <f>SUM(E65/100)</f>
        <v>238.08</v>
      </c>
      <c r="G65" s="56">
        <v>226.79</v>
      </c>
      <c r="H65" s="73">
        <f t="shared" si="10"/>
        <v>53.994163200000003</v>
      </c>
      <c r="I65" s="55">
        <v>0</v>
      </c>
      <c r="J65" s="55">
        <v>0</v>
      </c>
      <c r="K65" s="55">
        <v>0</v>
      </c>
      <c r="L65" s="55">
        <v>0</v>
      </c>
      <c r="M65" s="55">
        <f>F65*G65</f>
        <v>53994.163200000003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33">
        <f t="shared" si="11"/>
        <v>53994.163200000003</v>
      </c>
    </row>
    <row r="66" spans="1:21" ht="25.5">
      <c r="A66" s="72" t="s">
        <v>114</v>
      </c>
      <c r="B66" s="16" t="s">
        <v>115</v>
      </c>
      <c r="C66" s="72" t="s">
        <v>116</v>
      </c>
      <c r="D66" s="9"/>
      <c r="E66" s="37">
        <v>23808</v>
      </c>
      <c r="F66" s="56">
        <f>SUM(E66/1000)</f>
        <v>23.808</v>
      </c>
      <c r="G66" s="56">
        <v>176.61</v>
      </c>
      <c r="H66" s="73">
        <f t="shared" si="10"/>
        <v>4.2047308800000005</v>
      </c>
      <c r="I66" s="33">
        <v>0</v>
      </c>
      <c r="J66" s="33">
        <v>0</v>
      </c>
      <c r="K66" s="33">
        <v>0</v>
      </c>
      <c r="L66" s="33">
        <v>0</v>
      </c>
      <c r="M66" s="33">
        <f>F66*G66</f>
        <v>4204.7308800000001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f t="shared" si="11"/>
        <v>4204.7308800000001</v>
      </c>
    </row>
    <row r="67" spans="1:21">
      <c r="A67" s="72" t="s">
        <v>117</v>
      </c>
      <c r="B67" s="16" t="s">
        <v>118</v>
      </c>
      <c r="C67" s="72" t="s">
        <v>119</v>
      </c>
      <c r="D67" s="9" t="s">
        <v>46</v>
      </c>
      <c r="E67" s="37">
        <v>3810</v>
      </c>
      <c r="F67" s="56">
        <f>SUM(E67/100)</f>
        <v>38.1</v>
      </c>
      <c r="G67" s="56">
        <v>2217.7800000000002</v>
      </c>
      <c r="H67" s="73">
        <f t="shared" si="10"/>
        <v>84.49741800000001</v>
      </c>
      <c r="I67" s="33">
        <v>0</v>
      </c>
      <c r="J67" s="33">
        <v>0</v>
      </c>
      <c r="K67" s="33">
        <v>0</v>
      </c>
      <c r="L67" s="33">
        <v>0</v>
      </c>
      <c r="M67" s="33">
        <f>F67*G67</f>
        <v>84497.418000000005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f t="shared" si="11"/>
        <v>84497.418000000005</v>
      </c>
    </row>
    <row r="68" spans="1:21">
      <c r="A68" s="72"/>
      <c r="B68" s="17" t="s">
        <v>153</v>
      </c>
      <c r="C68" s="72" t="s">
        <v>53</v>
      </c>
      <c r="D68" s="9"/>
      <c r="E68" s="37">
        <v>23.4</v>
      </c>
      <c r="F68" s="56">
        <f>SUM(E68)</f>
        <v>23.4</v>
      </c>
      <c r="G68" s="56">
        <v>42.67</v>
      </c>
      <c r="H68" s="73">
        <f t="shared" si="10"/>
        <v>0.99847799999999998</v>
      </c>
      <c r="I68" s="33">
        <v>0</v>
      </c>
      <c r="J68" s="33">
        <v>0</v>
      </c>
      <c r="K68" s="33">
        <v>0</v>
      </c>
      <c r="L68" s="33">
        <v>0</v>
      </c>
      <c r="M68" s="33">
        <f>F68*G68</f>
        <v>998.47799999999995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f t="shared" si="11"/>
        <v>998.47799999999995</v>
      </c>
    </row>
    <row r="69" spans="1:21" ht="25.5">
      <c r="A69" s="72"/>
      <c r="B69" s="17" t="s">
        <v>154</v>
      </c>
      <c r="C69" s="72" t="s">
        <v>53</v>
      </c>
      <c r="D69" s="9"/>
      <c r="E69" s="37">
        <v>23.4</v>
      </c>
      <c r="F69" s="56">
        <f>SUM(E69)</f>
        <v>23.4</v>
      </c>
      <c r="G69" s="56">
        <v>39.81</v>
      </c>
      <c r="H69" s="73">
        <f t="shared" si="10"/>
        <v>0.93155399999999999</v>
      </c>
      <c r="I69" s="33">
        <v>0</v>
      </c>
      <c r="J69" s="33">
        <v>0</v>
      </c>
      <c r="K69" s="33">
        <v>0</v>
      </c>
      <c r="L69" s="33">
        <v>0</v>
      </c>
      <c r="M69" s="33">
        <f>F69*G69</f>
        <v>931.55399999999997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f t="shared" si="11"/>
        <v>931.55399999999997</v>
      </c>
    </row>
    <row r="70" spans="1:21">
      <c r="A70" s="72" t="s">
        <v>120</v>
      </c>
      <c r="B70" s="9" t="s">
        <v>121</v>
      </c>
      <c r="C70" s="72" t="s">
        <v>122</v>
      </c>
      <c r="D70" s="9" t="s">
        <v>46</v>
      </c>
      <c r="E70" s="41">
        <v>5</v>
      </c>
      <c r="F70" s="38">
        <f>SUM(E70)</f>
        <v>5</v>
      </c>
      <c r="G70" s="56">
        <v>53.32</v>
      </c>
      <c r="H70" s="73">
        <f t="shared" si="10"/>
        <v>0.2666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f>F70*G70</f>
        <v>266.60000000000002</v>
      </c>
      <c r="R70" s="33">
        <v>0</v>
      </c>
      <c r="S70" s="33">
        <v>0</v>
      </c>
      <c r="T70" s="33">
        <v>0</v>
      </c>
      <c r="U70" s="33">
        <f t="shared" si="11"/>
        <v>266.60000000000002</v>
      </c>
    </row>
    <row r="71" spans="1:21">
      <c r="A71" s="72"/>
      <c r="B71" s="9" t="s">
        <v>183</v>
      </c>
      <c r="C71" s="72" t="s">
        <v>122</v>
      </c>
      <c r="D71" s="9" t="s">
        <v>151</v>
      </c>
      <c r="E71" s="41">
        <v>1</v>
      </c>
      <c r="F71" s="69">
        <v>12</v>
      </c>
      <c r="G71" s="56">
        <v>711</v>
      </c>
      <c r="H71" s="73">
        <v>8.5310000000000006</v>
      </c>
      <c r="I71" s="33">
        <f>F71/12*G71</f>
        <v>711</v>
      </c>
      <c r="J71" s="33">
        <f>F71/12*G71</f>
        <v>711</v>
      </c>
      <c r="K71" s="33">
        <f>F71/12*G71</f>
        <v>711</v>
      </c>
      <c r="L71" s="33">
        <f>F71/12*G71</f>
        <v>711</v>
      </c>
      <c r="M71" s="33">
        <f>F71/12*G71</f>
        <v>711</v>
      </c>
      <c r="N71" s="33">
        <f>E71*G71</f>
        <v>711</v>
      </c>
      <c r="O71" s="33">
        <f>E71*G71</f>
        <v>711</v>
      </c>
      <c r="P71" s="33">
        <f>E71*G71</f>
        <v>711</v>
      </c>
      <c r="Q71" s="33">
        <f>E71*G71</f>
        <v>711</v>
      </c>
      <c r="R71" s="33">
        <f>E71*G71</f>
        <v>711</v>
      </c>
      <c r="S71" s="33">
        <f>F71/12*G71</f>
        <v>711</v>
      </c>
      <c r="T71" s="33">
        <f>F71/12*G71</f>
        <v>711</v>
      </c>
      <c r="U71" s="33">
        <f t="shared" si="11"/>
        <v>8532</v>
      </c>
    </row>
    <row r="72" spans="1:21">
      <c r="A72" s="72"/>
      <c r="B72" s="18" t="s">
        <v>123</v>
      </c>
      <c r="C72" s="72"/>
      <c r="D72" s="9"/>
      <c r="E72" s="41"/>
      <c r="F72" s="56"/>
      <c r="G72" s="56"/>
      <c r="H72" s="73" t="s">
        <v>63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1:21" hidden="1">
      <c r="A73" s="72" t="s">
        <v>124</v>
      </c>
      <c r="B73" s="9" t="s">
        <v>125</v>
      </c>
      <c r="C73" s="72" t="s">
        <v>97</v>
      </c>
      <c r="D73" s="9"/>
      <c r="E73" s="41"/>
      <c r="F73" s="56"/>
      <c r="G73" s="56" t="s">
        <v>63</v>
      </c>
      <c r="H73" s="73">
        <v>0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21" hidden="1">
      <c r="A74" s="72" t="s">
        <v>126</v>
      </c>
      <c r="B74" s="9" t="s">
        <v>127</v>
      </c>
      <c r="C74" s="72" t="s">
        <v>97</v>
      </c>
      <c r="D74" s="9"/>
      <c r="E74" s="41"/>
      <c r="F74" s="56"/>
      <c r="G74" s="56">
        <v>65.72</v>
      </c>
      <c r="H74" s="73">
        <f t="shared" si="10"/>
        <v>0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1" hidden="1">
      <c r="A75" s="72" t="s">
        <v>128</v>
      </c>
      <c r="B75" s="9" t="s">
        <v>129</v>
      </c>
      <c r="C75" s="72" t="s">
        <v>97</v>
      </c>
      <c r="D75" s="9"/>
      <c r="E75" s="41"/>
      <c r="F75" s="56"/>
      <c r="G75" s="56">
        <v>82.33</v>
      </c>
      <c r="H75" s="73">
        <f t="shared" si="10"/>
        <v>0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1:21">
      <c r="A76" s="72" t="s">
        <v>130</v>
      </c>
      <c r="B76" s="9" t="s">
        <v>170</v>
      </c>
      <c r="C76" s="72" t="s">
        <v>169</v>
      </c>
      <c r="D76" s="9" t="s">
        <v>55</v>
      </c>
      <c r="E76" s="41">
        <v>2</v>
      </c>
      <c r="F76" s="69">
        <v>0.2</v>
      </c>
      <c r="G76" s="56">
        <v>536.23</v>
      </c>
      <c r="H76" s="73">
        <v>0.107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f>SUM(I76:T76)</f>
        <v>0</v>
      </c>
    </row>
    <row r="77" spans="1:21">
      <c r="A77" s="72" t="s">
        <v>130</v>
      </c>
      <c r="B77" s="9" t="s">
        <v>131</v>
      </c>
      <c r="C77" s="72" t="s">
        <v>49</v>
      </c>
      <c r="D77" s="9"/>
      <c r="E77" s="41">
        <v>1</v>
      </c>
      <c r="F77" s="38">
        <f>SUM(E77)</f>
        <v>1</v>
      </c>
      <c r="G77" s="56">
        <v>383.25</v>
      </c>
      <c r="H77" s="73">
        <f t="shared" si="10"/>
        <v>0.38324999999999998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f>G77</f>
        <v>383.25</v>
      </c>
      <c r="S77" s="33">
        <v>0</v>
      </c>
      <c r="T77" s="33">
        <v>0</v>
      </c>
      <c r="U77" s="33">
        <f>SUM(I77:T77)</f>
        <v>383.25</v>
      </c>
    </row>
    <row r="78" spans="1:21" hidden="1">
      <c r="A78" s="72" t="s">
        <v>132</v>
      </c>
      <c r="B78" s="9" t="s">
        <v>133</v>
      </c>
      <c r="C78" s="72" t="s">
        <v>134</v>
      </c>
      <c r="D78" s="9"/>
      <c r="E78" s="41"/>
      <c r="F78" s="56"/>
      <c r="G78" s="56">
        <v>31.54</v>
      </c>
      <c r="H78" s="73">
        <f t="shared" si="10"/>
        <v>0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>
      <c r="A79" s="72" t="s">
        <v>155</v>
      </c>
      <c r="B79" s="9" t="s">
        <v>156</v>
      </c>
      <c r="C79" s="72" t="s">
        <v>49</v>
      </c>
      <c r="D79" s="9"/>
      <c r="E79" s="41">
        <v>1</v>
      </c>
      <c r="F79" s="56">
        <v>1</v>
      </c>
      <c r="G79" s="56">
        <v>911.85</v>
      </c>
      <c r="H79" s="73">
        <f>F79*G79/1000</f>
        <v>0.91185000000000005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f>SUM(I79:T79)</f>
        <v>0</v>
      </c>
    </row>
    <row r="80" spans="1:21">
      <c r="A80" s="72"/>
      <c r="B80" s="75" t="s">
        <v>135</v>
      </c>
      <c r="C80" s="72"/>
      <c r="D80" s="9"/>
      <c r="E80" s="41"/>
      <c r="F80" s="56"/>
      <c r="G80" s="56" t="s">
        <v>63</v>
      </c>
      <c r="H80" s="73" t="s">
        <v>63</v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1:21" s="2" customFormat="1">
      <c r="A81" s="74" t="s">
        <v>136</v>
      </c>
      <c r="B81" s="76" t="s">
        <v>137</v>
      </c>
      <c r="C81" s="74" t="s">
        <v>119</v>
      </c>
      <c r="D81" s="16"/>
      <c r="E81" s="77"/>
      <c r="F81" s="57">
        <v>0.6</v>
      </c>
      <c r="G81" s="57">
        <v>2949.85</v>
      </c>
      <c r="H81" s="73">
        <f t="shared" si="10"/>
        <v>1.7699099999999999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33">
        <f>SUM(I81:T81)</f>
        <v>0</v>
      </c>
    </row>
    <row r="82" spans="1:21" s="21" customFormat="1">
      <c r="A82" s="78"/>
      <c r="B82" s="20" t="s">
        <v>35</v>
      </c>
      <c r="C82" s="79"/>
      <c r="D82" s="80"/>
      <c r="E82" s="81"/>
      <c r="F82" s="62"/>
      <c r="G82" s="62"/>
      <c r="H82" s="82">
        <f>SUM(H56:H81)</f>
        <v>204.98845401600005</v>
      </c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>
        <f>SUM(U56:U81)</f>
        <v>188598.66161600003</v>
      </c>
    </row>
    <row r="83" spans="1:21">
      <c r="A83" s="140" t="s">
        <v>182</v>
      </c>
      <c r="B83" s="11" t="s">
        <v>213</v>
      </c>
      <c r="C83" s="84" t="s">
        <v>214</v>
      </c>
      <c r="D83" s="85"/>
      <c r="E83" s="141"/>
      <c r="F83" s="86">
        <f>108/10</f>
        <v>10.8</v>
      </c>
      <c r="G83" s="87">
        <v>9</v>
      </c>
      <c r="H83" s="73">
        <f>G83*F83/1000</f>
        <v>9.7200000000000009E-2</v>
      </c>
      <c r="I83" s="33">
        <v>0</v>
      </c>
      <c r="J83" s="33">
        <v>0</v>
      </c>
      <c r="K83" s="33">
        <v>0</v>
      </c>
      <c r="L83" s="33">
        <v>0</v>
      </c>
      <c r="M83" s="132">
        <v>0</v>
      </c>
      <c r="N83" s="33">
        <f>F83*G83</f>
        <v>97.2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f>SUM(I83:T83)</f>
        <v>97.2</v>
      </c>
    </row>
    <row r="84" spans="1:21" ht="12.75" customHeight="1">
      <c r="A84" s="88"/>
      <c r="B84" s="83" t="s">
        <v>138</v>
      </c>
      <c r="C84" s="72" t="s">
        <v>139</v>
      </c>
      <c r="D84" s="89"/>
      <c r="E84" s="56">
        <v>5816.5</v>
      </c>
      <c r="F84" s="56">
        <f>SUM(E84*12)</f>
        <v>69798</v>
      </c>
      <c r="G84" s="90">
        <v>2.54</v>
      </c>
      <c r="H84" s="73">
        <f>SUM(F84*G84/1000)</f>
        <v>177.28692000000001</v>
      </c>
      <c r="I84" s="33">
        <f>F84/12*G84</f>
        <v>14773.91</v>
      </c>
      <c r="J84" s="33">
        <f>F84/12*G84</f>
        <v>14773.91</v>
      </c>
      <c r="K84" s="33">
        <f>F84/12*G84</f>
        <v>14773.91</v>
      </c>
      <c r="L84" s="33">
        <f>F84/12*G84</f>
        <v>14773.91</v>
      </c>
      <c r="M84" s="33">
        <f>F84/12*G84</f>
        <v>14773.91</v>
      </c>
      <c r="N84" s="33">
        <f>F84/12*G84</f>
        <v>14773.91</v>
      </c>
      <c r="O84" s="33">
        <f>F84/12*G84</f>
        <v>14773.91</v>
      </c>
      <c r="P84" s="33">
        <f>F84/12*G84</f>
        <v>14773.91</v>
      </c>
      <c r="Q84" s="33">
        <f>F84/12*G84</f>
        <v>14773.91</v>
      </c>
      <c r="R84" s="33">
        <f>F84/12*G84</f>
        <v>14773.91</v>
      </c>
      <c r="S84" s="33">
        <f>F84/12*G84</f>
        <v>14773.91</v>
      </c>
      <c r="T84" s="33">
        <f>F84/12*G84</f>
        <v>14773.91</v>
      </c>
      <c r="U84" s="33">
        <f>SUM(I84:T84)</f>
        <v>177286.92</v>
      </c>
    </row>
    <row r="85" spans="1:21" s="19" customFormat="1">
      <c r="A85" s="91"/>
      <c r="B85" s="20" t="s">
        <v>35</v>
      </c>
      <c r="C85" s="92"/>
      <c r="D85" s="93"/>
      <c r="E85" s="94"/>
      <c r="F85" s="48"/>
      <c r="G85" s="95"/>
      <c r="H85" s="96">
        <f>SUM(H83:H84)</f>
        <v>177.38412</v>
      </c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>
        <f>SUM(U83:U84)</f>
        <v>177384.12000000002</v>
      </c>
    </row>
    <row r="86" spans="1:21" ht="32.25" customHeight="1">
      <c r="A86" s="97"/>
      <c r="B86" s="9" t="s">
        <v>140</v>
      </c>
      <c r="C86" s="72"/>
      <c r="D86" s="98"/>
      <c r="E86" s="37">
        <f>E84</f>
        <v>5816.5</v>
      </c>
      <c r="F86" s="56">
        <f>E86*12</f>
        <v>69798</v>
      </c>
      <c r="G86" s="56">
        <v>2.0499999999999998</v>
      </c>
      <c r="H86" s="73">
        <f>F86*G86/1000</f>
        <v>143.08589999999998</v>
      </c>
      <c r="I86" s="33">
        <f>F86/12*G86</f>
        <v>11923.824999999999</v>
      </c>
      <c r="J86" s="33">
        <f>F86/12*G86</f>
        <v>11923.824999999999</v>
      </c>
      <c r="K86" s="33">
        <f>F86/12*G86</f>
        <v>11923.824999999999</v>
      </c>
      <c r="L86" s="33">
        <f>F86/12*G86</f>
        <v>11923.824999999999</v>
      </c>
      <c r="M86" s="33">
        <f>F86/12*G86</f>
        <v>11923.824999999999</v>
      </c>
      <c r="N86" s="33">
        <f>F86/12*G86</f>
        <v>11923.824999999999</v>
      </c>
      <c r="O86" s="33">
        <f>F86/12*G86</f>
        <v>11923.824999999999</v>
      </c>
      <c r="P86" s="33">
        <f>F86/12*G86</f>
        <v>11923.824999999999</v>
      </c>
      <c r="Q86" s="33">
        <f>F86/12*G86</f>
        <v>11923.824999999999</v>
      </c>
      <c r="R86" s="33">
        <f>F86/12*G86</f>
        <v>11923.824999999999</v>
      </c>
      <c r="S86" s="33">
        <f>F86/12*G86</f>
        <v>11923.824999999999</v>
      </c>
      <c r="T86" s="33">
        <f>F86/12*G86</f>
        <v>11923.824999999999</v>
      </c>
      <c r="U86" s="33">
        <f>SUM(I86:T86)</f>
        <v>143085.9</v>
      </c>
    </row>
    <row r="87" spans="1:21" s="19" customFormat="1">
      <c r="A87" s="91"/>
      <c r="B87" s="99" t="s">
        <v>141</v>
      </c>
      <c r="C87" s="100"/>
      <c r="D87" s="99"/>
      <c r="E87" s="48"/>
      <c r="F87" s="48"/>
      <c r="G87" s="48"/>
      <c r="H87" s="82">
        <f>H86</f>
        <v>143.08589999999998</v>
      </c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136">
        <f>U86</f>
        <v>143085.9</v>
      </c>
    </row>
    <row r="88" spans="1:21" s="19" customFormat="1">
      <c r="A88" s="91"/>
      <c r="B88" s="99" t="s">
        <v>142</v>
      </c>
      <c r="C88" s="101"/>
      <c r="D88" s="102"/>
      <c r="E88" s="103"/>
      <c r="F88" s="103"/>
      <c r="G88" s="103"/>
      <c r="H88" s="82">
        <f>SUM(H87+H85+H82+H54+H43+H34+H22)</f>
        <v>1344.9530308998001</v>
      </c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36">
        <f>SUM(U87+U85+U82+U54+U43+U34+U22)</f>
        <v>1350783.1820636</v>
      </c>
    </row>
    <row r="89" spans="1:21">
      <c r="A89" s="97"/>
      <c r="B89" s="98" t="s">
        <v>143</v>
      </c>
      <c r="C89" s="72"/>
      <c r="D89" s="98"/>
      <c r="E89" s="56"/>
      <c r="F89" s="56"/>
      <c r="G89" s="56" t="s">
        <v>144</v>
      </c>
      <c r="H89" s="104">
        <f>E86</f>
        <v>5816.5</v>
      </c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</row>
    <row r="90" spans="1:21" s="19" customFormat="1">
      <c r="A90" s="91"/>
      <c r="B90" s="102" t="s">
        <v>145</v>
      </c>
      <c r="C90" s="101"/>
      <c r="D90" s="102"/>
      <c r="E90" s="103"/>
      <c r="F90" s="103"/>
      <c r="G90" s="103"/>
      <c r="H90" s="105">
        <f>SUM(H88/H89/12*1000)</f>
        <v>19.269220191120091</v>
      </c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37"/>
    </row>
    <row r="91" spans="1:21">
      <c r="A91" s="97"/>
      <c r="B91" s="98"/>
      <c r="C91" s="72"/>
      <c r="D91" s="98"/>
      <c r="E91" s="56"/>
      <c r="F91" s="56"/>
      <c r="G91" s="56"/>
      <c r="H91" s="106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138"/>
    </row>
    <row r="92" spans="1:21">
      <c r="A92" s="97"/>
      <c r="B92" s="75" t="s">
        <v>146</v>
      </c>
      <c r="C92" s="72"/>
      <c r="D92" s="98"/>
      <c r="E92" s="56"/>
      <c r="F92" s="56"/>
      <c r="G92" s="56"/>
      <c r="H92" s="56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25.5">
      <c r="A93" s="134" t="s">
        <v>196</v>
      </c>
      <c r="B93" s="22" t="s">
        <v>195</v>
      </c>
      <c r="C93" s="107" t="s">
        <v>97</v>
      </c>
      <c r="D93" s="98"/>
      <c r="E93" s="56"/>
      <c r="F93" s="56">
        <v>8</v>
      </c>
      <c r="G93" s="56">
        <v>72.290000000000006</v>
      </c>
      <c r="H93" s="73">
        <f t="shared" ref="H93:H117" si="12">G93*F93/1000</f>
        <v>0.57832000000000006</v>
      </c>
      <c r="I93" s="33">
        <f>G93*3</f>
        <v>216.87</v>
      </c>
      <c r="J93" s="33">
        <f>G93</f>
        <v>72.290000000000006</v>
      </c>
      <c r="K93" s="33">
        <f>G93</f>
        <v>72.290000000000006</v>
      </c>
      <c r="L93" s="33">
        <f>G93</f>
        <v>72.290000000000006</v>
      </c>
      <c r="M93" s="33">
        <v>0</v>
      </c>
      <c r="N93" s="33">
        <f>G93*2</f>
        <v>144.58000000000001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f>SUM(I93:T93)</f>
        <v>578.32000000000005</v>
      </c>
    </row>
    <row r="94" spans="1:21">
      <c r="A94" s="107" t="s">
        <v>198</v>
      </c>
      <c r="B94" s="22" t="s">
        <v>199</v>
      </c>
      <c r="C94" s="107" t="s">
        <v>197</v>
      </c>
      <c r="D94" s="98"/>
      <c r="E94" s="56"/>
      <c r="F94" s="56">
        <v>6</v>
      </c>
      <c r="G94" s="56">
        <v>169.85</v>
      </c>
      <c r="H94" s="73">
        <f t="shared" si="12"/>
        <v>1.0190999999999999</v>
      </c>
      <c r="I94" s="33">
        <f>G94*1</f>
        <v>169.85</v>
      </c>
      <c r="J94" s="33">
        <v>0</v>
      </c>
      <c r="K94" s="33">
        <v>0</v>
      </c>
      <c r="L94" s="33">
        <f>G94</f>
        <v>169.85</v>
      </c>
      <c r="M94" s="33">
        <v>0</v>
      </c>
      <c r="N94" s="33">
        <v>0</v>
      </c>
      <c r="O94" s="33">
        <v>0</v>
      </c>
      <c r="P94" s="33">
        <v>0</v>
      </c>
      <c r="Q94" s="33">
        <f>G94</f>
        <v>169.85</v>
      </c>
      <c r="R94" s="33">
        <f>G94</f>
        <v>169.85</v>
      </c>
      <c r="S94" s="33">
        <f>G94</f>
        <v>169.85</v>
      </c>
      <c r="T94" s="33">
        <f>G94</f>
        <v>169.85</v>
      </c>
      <c r="U94" s="33">
        <f t="shared" ref="U94:U98" si="13">SUM(I94:T94)</f>
        <v>1019.1</v>
      </c>
    </row>
    <row r="95" spans="1:21" ht="25.5">
      <c r="A95" s="134" t="s">
        <v>201</v>
      </c>
      <c r="B95" s="22" t="s">
        <v>200</v>
      </c>
      <c r="C95" s="107" t="s">
        <v>97</v>
      </c>
      <c r="D95" s="98"/>
      <c r="E95" s="56"/>
      <c r="F95" s="56">
        <v>2</v>
      </c>
      <c r="G95" s="56">
        <v>1992.08</v>
      </c>
      <c r="H95" s="73">
        <f t="shared" si="12"/>
        <v>3.9841599999999997</v>
      </c>
      <c r="I95" s="33">
        <v>0</v>
      </c>
      <c r="J95" s="33">
        <f>G95</f>
        <v>1992.08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f>G95</f>
        <v>1992.08</v>
      </c>
      <c r="S95" s="33">
        <v>0</v>
      </c>
      <c r="T95" s="33">
        <v>0</v>
      </c>
      <c r="U95" s="33">
        <f t="shared" si="13"/>
        <v>3984.16</v>
      </c>
    </row>
    <row r="96" spans="1:21" ht="25.5">
      <c r="A96" s="107" t="s">
        <v>203</v>
      </c>
      <c r="B96" s="22" t="s">
        <v>202</v>
      </c>
      <c r="C96" s="107" t="s">
        <v>97</v>
      </c>
      <c r="D96" s="98"/>
      <c r="E96" s="56"/>
      <c r="F96" s="56">
        <v>3</v>
      </c>
      <c r="G96" s="56">
        <v>164.67</v>
      </c>
      <c r="H96" s="73">
        <f t="shared" si="12"/>
        <v>0.49401</v>
      </c>
      <c r="I96" s="33">
        <v>0</v>
      </c>
      <c r="J96" s="33">
        <f>G96</f>
        <v>164.67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f>G96</f>
        <v>164.67</v>
      </c>
      <c r="R96" s="33">
        <v>0</v>
      </c>
      <c r="S96" s="33">
        <v>0</v>
      </c>
      <c r="T96" s="33">
        <f>G96</f>
        <v>164.67</v>
      </c>
      <c r="U96" s="33">
        <f t="shared" si="13"/>
        <v>494.01</v>
      </c>
    </row>
    <row r="97" spans="1:21" ht="25.5">
      <c r="A97" s="134" t="s">
        <v>206</v>
      </c>
      <c r="B97" s="22" t="s">
        <v>204</v>
      </c>
      <c r="C97" s="107" t="s">
        <v>205</v>
      </c>
      <c r="D97" s="98"/>
      <c r="E97" s="56"/>
      <c r="F97" s="56">
        <v>2</v>
      </c>
      <c r="G97" s="56">
        <v>561.67999999999995</v>
      </c>
      <c r="H97" s="73">
        <f t="shared" si="12"/>
        <v>1.1233599999999999</v>
      </c>
      <c r="I97" s="33">
        <v>0</v>
      </c>
      <c r="J97" s="33">
        <f>G97</f>
        <v>561.67999999999995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f>G97</f>
        <v>561.67999999999995</v>
      </c>
      <c r="U97" s="33">
        <f t="shared" si="13"/>
        <v>1123.3599999999999</v>
      </c>
    </row>
    <row r="98" spans="1:21" ht="25.5">
      <c r="A98" s="134" t="s">
        <v>207</v>
      </c>
      <c r="B98" s="22" t="s">
        <v>208</v>
      </c>
      <c r="C98" s="107" t="s">
        <v>97</v>
      </c>
      <c r="D98" s="98"/>
      <c r="E98" s="56"/>
      <c r="F98" s="56">
        <v>2</v>
      </c>
      <c r="G98" s="56">
        <v>1023.97</v>
      </c>
      <c r="H98" s="73">
        <f t="shared" si="12"/>
        <v>2.0479400000000001</v>
      </c>
      <c r="I98" s="33">
        <v>0</v>
      </c>
      <c r="J98" s="33">
        <f>G98*1</f>
        <v>1023.97</v>
      </c>
      <c r="K98" s="33">
        <v>0</v>
      </c>
      <c r="L98" s="33">
        <f>G98</f>
        <v>1023.97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f t="shared" si="13"/>
        <v>2047.94</v>
      </c>
    </row>
    <row r="99" spans="1:21" ht="25.5">
      <c r="A99" s="107" t="s">
        <v>210</v>
      </c>
      <c r="B99" s="22" t="s">
        <v>209</v>
      </c>
      <c r="C99" s="107" t="s">
        <v>205</v>
      </c>
      <c r="D99" s="98"/>
      <c r="E99" s="56"/>
      <c r="F99" s="56">
        <v>2</v>
      </c>
      <c r="G99" s="56">
        <v>455.31</v>
      </c>
      <c r="H99" s="73">
        <f t="shared" si="12"/>
        <v>0.91061999999999999</v>
      </c>
      <c r="I99" s="33">
        <v>0</v>
      </c>
      <c r="J99" s="33">
        <f>G99</f>
        <v>455.31</v>
      </c>
      <c r="K99" s="33">
        <v>0</v>
      </c>
      <c r="L99" s="33">
        <f>G99</f>
        <v>455.31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f t="shared" ref="U99:U104" si="14">SUM(I99:T99)</f>
        <v>910.62</v>
      </c>
    </row>
    <row r="100" spans="1:21" ht="38.25">
      <c r="A100" s="142" t="s">
        <v>91</v>
      </c>
      <c r="B100" s="143" t="s">
        <v>221</v>
      </c>
      <c r="C100" s="142" t="s">
        <v>93</v>
      </c>
      <c r="D100" s="98"/>
      <c r="E100" s="56"/>
      <c r="F100" s="56">
        <v>0.02</v>
      </c>
      <c r="G100" s="56">
        <v>3105.72</v>
      </c>
      <c r="H100" s="73">
        <f t="shared" si="12"/>
        <v>6.2114399999999993E-2</v>
      </c>
      <c r="I100" s="33">
        <v>0</v>
      </c>
      <c r="J100" s="33">
        <v>0</v>
      </c>
      <c r="K100" s="33">
        <f>G100*0.01</f>
        <v>31.057199999999998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f>G100*0.01</f>
        <v>31.057199999999998</v>
      </c>
      <c r="R100" s="33">
        <v>0</v>
      </c>
      <c r="S100" s="33">
        <v>0</v>
      </c>
      <c r="T100" s="33">
        <v>0</v>
      </c>
      <c r="U100" s="33">
        <f t="shared" si="14"/>
        <v>62.114399999999996</v>
      </c>
    </row>
    <row r="101" spans="1:21" ht="38.25">
      <c r="A101" s="107" t="s">
        <v>217</v>
      </c>
      <c r="B101" s="22" t="s">
        <v>215</v>
      </c>
      <c r="C101" s="107" t="s">
        <v>216</v>
      </c>
      <c r="D101" s="98"/>
      <c r="E101" s="56"/>
      <c r="F101" s="56">
        <v>3</v>
      </c>
      <c r="G101" s="56">
        <v>46.98</v>
      </c>
      <c r="H101" s="73">
        <f t="shared" si="12"/>
        <v>0.14094000000000001</v>
      </c>
      <c r="I101" s="33">
        <v>0</v>
      </c>
      <c r="J101" s="33">
        <v>0</v>
      </c>
      <c r="K101" s="33">
        <f>G101</f>
        <v>46.98</v>
      </c>
      <c r="L101" s="33">
        <f>G101</f>
        <v>46.98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f>G101</f>
        <v>46.98</v>
      </c>
      <c r="U101" s="33">
        <f t="shared" si="14"/>
        <v>140.94</v>
      </c>
    </row>
    <row r="102" spans="1:21" ht="25.5">
      <c r="A102" s="145" t="s">
        <v>222</v>
      </c>
      <c r="B102" s="146" t="s">
        <v>223</v>
      </c>
      <c r="C102" s="147" t="s">
        <v>224</v>
      </c>
      <c r="D102" s="98"/>
      <c r="E102" s="56"/>
      <c r="F102" s="56">
        <v>1</v>
      </c>
      <c r="G102" s="56">
        <v>350.1</v>
      </c>
      <c r="H102" s="73">
        <f t="shared" si="12"/>
        <v>0.35010000000000002</v>
      </c>
      <c r="I102" s="33">
        <v>0</v>
      </c>
      <c r="J102" s="33">
        <v>0</v>
      </c>
      <c r="K102" s="33">
        <v>0</v>
      </c>
      <c r="L102" s="33">
        <f>G102</f>
        <v>350.1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f t="shared" si="14"/>
        <v>350.1</v>
      </c>
    </row>
    <row r="103" spans="1:21" ht="25.5">
      <c r="A103" s="145" t="s">
        <v>222</v>
      </c>
      <c r="B103" s="146" t="s">
        <v>225</v>
      </c>
      <c r="C103" s="147" t="s">
        <v>224</v>
      </c>
      <c r="D103" s="98"/>
      <c r="E103" s="56"/>
      <c r="F103" s="56">
        <v>2</v>
      </c>
      <c r="G103" s="56">
        <v>1678.06</v>
      </c>
      <c r="H103" s="73">
        <f t="shared" si="12"/>
        <v>3.3561199999999998</v>
      </c>
      <c r="I103" s="33">
        <v>0</v>
      </c>
      <c r="J103" s="33">
        <v>0</v>
      </c>
      <c r="K103" s="33">
        <v>0</v>
      </c>
      <c r="L103" s="33">
        <f>G103</f>
        <v>1678.06</v>
      </c>
      <c r="M103" s="33">
        <v>0</v>
      </c>
      <c r="N103" s="33">
        <v>0</v>
      </c>
      <c r="O103" s="33">
        <f>G103</f>
        <v>1678.06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f t="shared" si="14"/>
        <v>3356.12</v>
      </c>
    </row>
    <row r="104" spans="1:21" ht="25.5">
      <c r="A104" s="107" t="s">
        <v>229</v>
      </c>
      <c r="B104" s="22" t="s">
        <v>227</v>
      </c>
      <c r="C104" s="107" t="s">
        <v>228</v>
      </c>
      <c r="D104" s="98"/>
      <c r="E104" s="56"/>
      <c r="F104" s="56">
        <v>1</v>
      </c>
      <c r="G104" s="56">
        <v>575.31500000000005</v>
      </c>
      <c r="H104" s="73">
        <f t="shared" si="12"/>
        <v>0.57531500000000002</v>
      </c>
      <c r="I104" s="33">
        <v>0</v>
      </c>
      <c r="J104" s="33">
        <v>0</v>
      </c>
      <c r="K104" s="33">
        <v>0</v>
      </c>
      <c r="L104" s="33">
        <v>0</v>
      </c>
      <c r="M104" s="33">
        <f>G104</f>
        <v>575.31500000000005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f t="shared" si="14"/>
        <v>575.31500000000005</v>
      </c>
    </row>
    <row r="105" spans="1:21">
      <c r="A105" s="107" t="s">
        <v>222</v>
      </c>
      <c r="B105" s="22" t="s">
        <v>237</v>
      </c>
      <c r="C105" s="107" t="s">
        <v>238</v>
      </c>
      <c r="D105" s="98"/>
      <c r="E105" s="56"/>
      <c r="F105" s="56">
        <v>4.5999999999999996</v>
      </c>
      <c r="G105" s="56">
        <v>1372</v>
      </c>
      <c r="H105" s="73">
        <f t="shared" si="12"/>
        <v>6.3111999999999995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f>G105*4</f>
        <v>5488</v>
      </c>
      <c r="Q105" s="33">
        <v>0</v>
      </c>
      <c r="R105" s="33">
        <f>G105*0.6</f>
        <v>823.19999999999993</v>
      </c>
      <c r="S105" s="33">
        <v>0</v>
      </c>
      <c r="T105" s="33">
        <v>0</v>
      </c>
      <c r="U105" s="33">
        <f t="shared" ref="U105:U113" si="15">SUM(I105:T105)</f>
        <v>6311.2</v>
      </c>
    </row>
    <row r="106" spans="1:21" ht="38.25">
      <c r="A106" s="142" t="s">
        <v>239</v>
      </c>
      <c r="B106" s="143" t="s">
        <v>240</v>
      </c>
      <c r="C106" s="142" t="s">
        <v>216</v>
      </c>
      <c r="D106" s="98"/>
      <c r="E106" s="56"/>
      <c r="F106" s="56">
        <v>1</v>
      </c>
      <c r="G106" s="56">
        <v>112.02</v>
      </c>
      <c r="H106" s="73">
        <f t="shared" si="12"/>
        <v>0.11201999999999999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f>G106</f>
        <v>112.02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f t="shared" si="15"/>
        <v>112.02</v>
      </c>
    </row>
    <row r="107" spans="1:21" ht="25.5">
      <c r="A107" s="134" t="s">
        <v>206</v>
      </c>
      <c r="B107" s="22" t="s">
        <v>204</v>
      </c>
      <c r="C107" s="107" t="s">
        <v>205</v>
      </c>
      <c r="D107" s="98"/>
      <c r="E107" s="56"/>
      <c r="F107" s="56">
        <v>2</v>
      </c>
      <c r="G107" s="56">
        <v>511.54</v>
      </c>
      <c r="H107" s="73">
        <f t="shared" si="12"/>
        <v>1.02308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f>G107*2</f>
        <v>1023.08</v>
      </c>
      <c r="S107" s="33">
        <v>0</v>
      </c>
      <c r="T107" s="33">
        <v>0</v>
      </c>
      <c r="U107" s="33">
        <f t="shared" si="15"/>
        <v>1023.08</v>
      </c>
    </row>
    <row r="108" spans="1:21" ht="38.25">
      <c r="A108" s="107" t="s">
        <v>241</v>
      </c>
      <c r="B108" s="22" t="s">
        <v>215</v>
      </c>
      <c r="C108" s="107" t="s">
        <v>216</v>
      </c>
      <c r="D108" s="98"/>
      <c r="E108" s="56"/>
      <c r="F108" s="56">
        <v>1</v>
      </c>
      <c r="G108" s="56">
        <v>46.98</v>
      </c>
      <c r="H108" s="73">
        <f t="shared" si="12"/>
        <v>4.6979999999999994E-2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f>G108</f>
        <v>46.98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f t="shared" si="15"/>
        <v>46.98</v>
      </c>
    </row>
    <row r="109" spans="1:21">
      <c r="A109" s="149" t="s">
        <v>222</v>
      </c>
      <c r="B109" s="22" t="s">
        <v>242</v>
      </c>
      <c r="C109" s="107"/>
      <c r="D109" s="98"/>
      <c r="E109" s="56"/>
      <c r="F109" s="56">
        <v>10</v>
      </c>
      <c r="G109" s="57">
        <v>3551.42</v>
      </c>
      <c r="H109" s="73">
        <f t="shared" si="12"/>
        <v>35.514199999999995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33">
        <f t="shared" si="15"/>
        <v>0</v>
      </c>
    </row>
    <row r="110" spans="1:21">
      <c r="A110" s="150" t="s">
        <v>245</v>
      </c>
      <c r="B110" s="151" t="s">
        <v>243</v>
      </c>
      <c r="C110" s="148" t="s">
        <v>244</v>
      </c>
      <c r="D110" s="98"/>
      <c r="E110" s="56"/>
      <c r="F110" s="56">
        <v>1</v>
      </c>
      <c r="G110" s="57">
        <v>412.98</v>
      </c>
      <c r="H110" s="73">
        <f t="shared" si="12"/>
        <v>0.41298000000000001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f>G110</f>
        <v>412.98</v>
      </c>
      <c r="R110" s="33">
        <v>0</v>
      </c>
      <c r="S110" s="33">
        <v>0</v>
      </c>
      <c r="T110" s="33">
        <v>0</v>
      </c>
      <c r="U110" s="33">
        <f t="shared" si="15"/>
        <v>412.98</v>
      </c>
    </row>
    <row r="111" spans="1:21" ht="25.5">
      <c r="A111" s="149" t="s">
        <v>247</v>
      </c>
      <c r="B111" s="22" t="s">
        <v>248</v>
      </c>
      <c r="C111" s="134" t="s">
        <v>246</v>
      </c>
      <c r="D111" s="98"/>
      <c r="E111" s="56"/>
      <c r="F111" s="56">
        <v>1</v>
      </c>
      <c r="G111" s="57">
        <v>1185.2</v>
      </c>
      <c r="H111" s="73">
        <f t="shared" si="12"/>
        <v>1.1852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f>G111</f>
        <v>1185.2</v>
      </c>
      <c r="R111" s="33">
        <v>0</v>
      </c>
      <c r="S111" s="33">
        <v>0</v>
      </c>
      <c r="T111" s="33">
        <v>0</v>
      </c>
      <c r="U111" s="33">
        <f t="shared" si="15"/>
        <v>1185.2</v>
      </c>
    </row>
    <row r="112" spans="1:21" ht="51">
      <c r="A112" s="107" t="s">
        <v>253</v>
      </c>
      <c r="B112" s="22" t="s">
        <v>252</v>
      </c>
      <c r="C112" s="107" t="s">
        <v>30</v>
      </c>
      <c r="D112" s="98"/>
      <c r="E112" s="56"/>
      <c r="F112" s="56">
        <v>0.25</v>
      </c>
      <c r="G112" s="57">
        <v>70978.41</v>
      </c>
      <c r="H112" s="73">
        <f t="shared" si="12"/>
        <v>17.744602499999999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f>G112*0.25</f>
        <v>17744.602500000001</v>
      </c>
      <c r="Q112" s="33">
        <v>0</v>
      </c>
      <c r="R112" s="33">
        <v>0</v>
      </c>
      <c r="S112" s="33">
        <v>0</v>
      </c>
      <c r="T112" s="33">
        <v>0</v>
      </c>
      <c r="U112" s="33">
        <f t="shared" si="15"/>
        <v>17744.602500000001</v>
      </c>
    </row>
    <row r="113" spans="1:21" ht="24" customHeight="1">
      <c r="A113" s="107" t="s">
        <v>250</v>
      </c>
      <c r="B113" s="22" t="s">
        <v>249</v>
      </c>
      <c r="C113" s="107" t="s">
        <v>251</v>
      </c>
      <c r="D113" s="98"/>
      <c r="E113" s="56"/>
      <c r="F113" s="56">
        <v>1</v>
      </c>
      <c r="G113" s="57">
        <v>3890</v>
      </c>
      <c r="H113" s="73">
        <f t="shared" si="12"/>
        <v>3.89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f>G113</f>
        <v>3890</v>
      </c>
      <c r="Q113" s="33">
        <v>0</v>
      </c>
      <c r="R113" s="33">
        <v>0</v>
      </c>
      <c r="S113" s="33">
        <v>0</v>
      </c>
      <c r="T113" s="33">
        <v>0</v>
      </c>
      <c r="U113" s="33">
        <f t="shared" si="15"/>
        <v>3890</v>
      </c>
    </row>
    <row r="114" spans="1:21" ht="27.75" customHeight="1">
      <c r="A114" s="149" t="s">
        <v>255</v>
      </c>
      <c r="B114" s="22" t="s">
        <v>256</v>
      </c>
      <c r="C114" s="134" t="s">
        <v>254</v>
      </c>
      <c r="D114" s="98"/>
      <c r="E114" s="56"/>
      <c r="F114" s="56">
        <v>0.1</v>
      </c>
      <c r="G114" s="57">
        <v>8928.25</v>
      </c>
      <c r="H114" s="73">
        <f t="shared" si="12"/>
        <v>0.89282500000000009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f>G114*0.1</f>
        <v>892.82500000000005</v>
      </c>
      <c r="T114" s="33">
        <v>0</v>
      </c>
      <c r="U114" s="33">
        <f>SUM(I114:T114)</f>
        <v>892.82500000000005</v>
      </c>
    </row>
    <row r="115" spans="1:21" ht="24.75" customHeight="1">
      <c r="A115" s="149" t="s">
        <v>257</v>
      </c>
      <c r="B115" s="165" t="s">
        <v>258</v>
      </c>
      <c r="C115" s="166" t="s">
        <v>23</v>
      </c>
      <c r="D115" s="98"/>
      <c r="E115" s="56"/>
      <c r="F115" s="56">
        <v>3.3599999999999998E-2</v>
      </c>
      <c r="G115" s="57">
        <v>2846.41</v>
      </c>
      <c r="H115" s="73">
        <f t="shared" si="12"/>
        <v>9.5639375999999984E-2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f>G115*0.0336</f>
        <v>95.639375999999984</v>
      </c>
      <c r="T115" s="33">
        <v>0</v>
      </c>
      <c r="U115" s="33">
        <f>SUM(I115:T115)</f>
        <v>95.639375999999984</v>
      </c>
    </row>
    <row r="116" spans="1:21" ht="26.25" customHeight="1">
      <c r="A116" s="149" t="s">
        <v>260</v>
      </c>
      <c r="B116" s="165" t="s">
        <v>259</v>
      </c>
      <c r="C116" s="166" t="s">
        <v>23</v>
      </c>
      <c r="D116" s="98"/>
      <c r="E116" s="56"/>
      <c r="F116" s="56">
        <v>0.25</v>
      </c>
      <c r="G116" s="57">
        <v>2846.41</v>
      </c>
      <c r="H116" s="73">
        <f t="shared" si="12"/>
        <v>0.71160249999999992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f>G116*0.25</f>
        <v>711.60249999999996</v>
      </c>
      <c r="T116" s="33">
        <v>0</v>
      </c>
      <c r="U116" s="33">
        <f>SUM(I116:T116)</f>
        <v>711.60249999999996</v>
      </c>
    </row>
    <row r="117" spans="1:21" ht="26.25" customHeight="1">
      <c r="A117" s="149" t="s">
        <v>261</v>
      </c>
      <c r="B117" s="165" t="s">
        <v>262</v>
      </c>
      <c r="C117" s="166" t="s">
        <v>104</v>
      </c>
      <c r="D117" s="98"/>
      <c r="E117" s="56"/>
      <c r="F117" s="56">
        <v>2.3E-2</v>
      </c>
      <c r="G117" s="57">
        <v>3402</v>
      </c>
      <c r="H117" s="73">
        <f t="shared" si="12"/>
        <v>7.8245999999999996E-2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f>G117*0.023+565</f>
        <v>643.24599999999998</v>
      </c>
      <c r="T117" s="33">
        <v>0</v>
      </c>
      <c r="U117" s="33">
        <f>SUM(I117:T117)</f>
        <v>643.24599999999998</v>
      </c>
    </row>
    <row r="118" spans="1:21" s="19" customFormat="1">
      <c r="A118" s="108"/>
      <c r="B118" s="109" t="s">
        <v>147</v>
      </c>
      <c r="C118" s="108"/>
      <c r="D118" s="108"/>
      <c r="E118" s="103"/>
      <c r="F118" s="103"/>
      <c r="G118" s="103"/>
      <c r="H118" s="96">
        <f>SUM(H93:H117)</f>
        <v>82.660674775999979</v>
      </c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48">
        <f>SUM(U93:U117)</f>
        <v>47711.474776000003</v>
      </c>
    </row>
    <row r="119" spans="1:21">
      <c r="A119" s="110"/>
      <c r="B119" s="111"/>
      <c r="C119" s="110"/>
      <c r="D119" s="110"/>
      <c r="E119" s="56"/>
      <c r="F119" s="56"/>
      <c r="G119" s="56"/>
      <c r="H119" s="112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139"/>
    </row>
    <row r="120" spans="1:21" ht="12" customHeight="1">
      <c r="A120" s="97"/>
      <c r="B120" s="18" t="s">
        <v>148</v>
      </c>
      <c r="C120" s="72"/>
      <c r="D120" s="98"/>
      <c r="E120" s="56"/>
      <c r="F120" s="56"/>
      <c r="G120" s="56"/>
      <c r="H120" s="113">
        <f>H118/E121/12*1000</f>
        <v>1.1842842886042577</v>
      </c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139"/>
    </row>
    <row r="121" spans="1:21" s="19" customFormat="1">
      <c r="A121" s="114"/>
      <c r="B121" s="115" t="s">
        <v>149</v>
      </c>
      <c r="C121" s="116"/>
      <c r="D121" s="115"/>
      <c r="E121" s="117">
        <v>5816.5</v>
      </c>
      <c r="F121" s="118">
        <f>SUM(E121*12)</f>
        <v>69798</v>
      </c>
      <c r="G121" s="119">
        <f>H90+H120</f>
        <v>20.453504479724348</v>
      </c>
      <c r="H121" s="120">
        <f>SUM(F121*G121/1000)</f>
        <v>1427.6137056758</v>
      </c>
      <c r="I121" s="103">
        <f t="shared" ref="I121:R121" si="16">SUM(I11:I120)</f>
        <v>105499.59884283334</v>
      </c>
      <c r="J121" s="103">
        <f t="shared" si="16"/>
        <v>108584.35931183331</v>
      </c>
      <c r="K121" s="103">
        <f t="shared" si="16"/>
        <v>120062.9885570333</v>
      </c>
      <c r="L121" s="103">
        <f t="shared" si="16"/>
        <v>110499.37625023331</v>
      </c>
      <c r="M121" s="103">
        <f t="shared" si="16"/>
        <v>234502.91970300002</v>
      </c>
      <c r="N121" s="103">
        <f t="shared" si="16"/>
        <v>98803.364676599987</v>
      </c>
      <c r="O121" s="103">
        <f t="shared" si="16"/>
        <v>88169.099452399983</v>
      </c>
      <c r="P121" s="103">
        <f t="shared" si="16"/>
        <v>116219.9419524</v>
      </c>
      <c r="Q121" s="103">
        <f t="shared" si="16"/>
        <v>103633.11391760001</v>
      </c>
      <c r="R121" s="103">
        <f t="shared" si="16"/>
        <v>95403.290630800009</v>
      </c>
      <c r="S121" s="103">
        <f>SUM(S11:S120)</f>
        <v>103237.61794783332</v>
      </c>
      <c r="T121" s="103">
        <f>SUM(T11:T120)</f>
        <v>113878.98559703332</v>
      </c>
      <c r="U121" s="48">
        <f>U88+U118</f>
        <v>1398494.6568396001</v>
      </c>
    </row>
    <row r="122" spans="1:21">
      <c r="A122" s="34"/>
      <c r="B122" s="34"/>
      <c r="C122" s="34"/>
      <c r="D122" s="34"/>
      <c r="E122" s="121"/>
      <c r="F122" s="121"/>
      <c r="G122" s="121"/>
      <c r="H122" s="121"/>
      <c r="I122" s="121"/>
      <c r="J122" s="121"/>
      <c r="K122" s="121"/>
      <c r="L122" s="121"/>
      <c r="M122" s="34"/>
      <c r="N122" s="121"/>
      <c r="O122" s="34"/>
      <c r="P122" s="34"/>
      <c r="Q122" s="34"/>
      <c r="R122" s="34"/>
      <c r="S122" s="34"/>
      <c r="T122" s="34"/>
      <c r="U122" s="34"/>
    </row>
    <row r="123" spans="1:21">
      <c r="A123" s="34"/>
      <c r="B123" s="34"/>
      <c r="C123" s="34"/>
      <c r="D123" s="34"/>
      <c r="E123" s="121"/>
      <c r="F123" s="121"/>
      <c r="G123" s="121"/>
      <c r="H123" s="121"/>
      <c r="I123" s="121"/>
      <c r="J123" s="122"/>
      <c r="K123" s="123"/>
      <c r="L123" s="122"/>
      <c r="M123" s="121"/>
      <c r="N123" s="34"/>
      <c r="O123" s="34"/>
      <c r="P123" s="34"/>
      <c r="Q123" s="34"/>
      <c r="R123" s="34"/>
      <c r="S123" s="34"/>
      <c r="T123" s="34"/>
      <c r="U123" s="34"/>
    </row>
    <row r="124" spans="1:21" ht="45">
      <c r="A124" s="34"/>
      <c r="B124" s="124" t="s">
        <v>194</v>
      </c>
      <c r="C124" s="155">
        <v>-149346.26999999999</v>
      </c>
      <c r="D124" s="156"/>
      <c r="E124" s="156"/>
      <c r="F124" s="157"/>
      <c r="G124" s="121"/>
      <c r="H124" s="121"/>
      <c r="I124" s="121"/>
      <c r="J124" s="122"/>
      <c r="K124" s="123"/>
      <c r="L124" s="122"/>
      <c r="M124" s="121"/>
      <c r="N124" s="34"/>
      <c r="O124" s="34"/>
      <c r="P124" s="34"/>
      <c r="Q124" s="34"/>
      <c r="R124" s="34"/>
      <c r="S124" s="34"/>
      <c r="T124" s="34"/>
      <c r="U124" s="34"/>
    </row>
    <row r="125" spans="1:21" ht="30">
      <c r="A125" s="34"/>
      <c r="B125" s="23" t="s">
        <v>231</v>
      </c>
      <c r="C125" s="159">
        <v>1680706.92</v>
      </c>
      <c r="D125" s="160"/>
      <c r="E125" s="160"/>
      <c r="F125" s="161"/>
      <c r="G125" s="121"/>
      <c r="H125" s="121"/>
      <c r="I125" s="121"/>
      <c r="J125" s="122"/>
      <c r="K125" s="123"/>
      <c r="L125" s="122"/>
      <c r="M125" s="121"/>
      <c r="N125" s="34"/>
      <c r="O125" s="34"/>
      <c r="P125" s="34"/>
      <c r="Q125" s="34"/>
      <c r="R125" s="34"/>
      <c r="S125" s="34"/>
      <c r="T125" s="34"/>
      <c r="U125" s="34"/>
    </row>
    <row r="126" spans="1:21" ht="30">
      <c r="A126" s="34"/>
      <c r="B126" s="23" t="s">
        <v>232</v>
      </c>
      <c r="C126" s="159">
        <f>SUM(U121-U118)</f>
        <v>1350783.1820636</v>
      </c>
      <c r="D126" s="160"/>
      <c r="E126" s="160"/>
      <c r="F126" s="161"/>
      <c r="G126" s="121"/>
      <c r="H126" s="121"/>
      <c r="I126" s="121"/>
      <c r="J126" s="122"/>
      <c r="K126" s="123"/>
      <c r="L126" s="122"/>
      <c r="M126" s="121"/>
      <c r="N126" s="34"/>
      <c r="O126" s="34"/>
      <c r="P126" s="34"/>
      <c r="Q126" s="34"/>
      <c r="R126" s="34"/>
      <c r="S126" s="34"/>
      <c r="T126" s="34"/>
      <c r="U126" s="34"/>
    </row>
    <row r="127" spans="1:21" ht="30">
      <c r="A127" s="34"/>
      <c r="B127" s="23" t="s">
        <v>233</v>
      </c>
      <c r="C127" s="159">
        <f>SUM(U118)</f>
        <v>47711.474776000003</v>
      </c>
      <c r="D127" s="160"/>
      <c r="E127" s="160"/>
      <c r="F127" s="161"/>
      <c r="G127" s="121"/>
      <c r="H127" s="121"/>
      <c r="I127" s="121"/>
      <c r="J127" s="122"/>
      <c r="K127" s="123"/>
      <c r="L127" s="122"/>
      <c r="M127" s="121"/>
      <c r="N127" s="34"/>
      <c r="O127" s="34"/>
      <c r="P127" s="34"/>
      <c r="Q127" s="34"/>
      <c r="R127" s="34"/>
      <c r="S127" s="34"/>
      <c r="T127" s="34"/>
      <c r="U127" s="34"/>
    </row>
    <row r="128" spans="1:21" ht="18">
      <c r="A128" s="34"/>
      <c r="B128" s="135" t="s">
        <v>234</v>
      </c>
      <c r="C128" s="159">
        <v>1604927.82</v>
      </c>
      <c r="D128" s="160"/>
      <c r="E128" s="160"/>
      <c r="F128" s="161"/>
      <c r="G128" s="34"/>
      <c r="H128" s="125" t="s">
        <v>157</v>
      </c>
      <c r="I128" s="126"/>
      <c r="J128" s="126"/>
      <c r="K128" s="127"/>
      <c r="L128" s="128"/>
      <c r="M128" s="125"/>
      <c r="N128" s="125"/>
      <c r="O128" s="34"/>
      <c r="P128" s="34"/>
      <c r="Q128" s="34"/>
      <c r="R128" s="34"/>
      <c r="S128" s="34"/>
      <c r="T128" s="34"/>
      <c r="U128" s="34"/>
    </row>
    <row r="129" spans="1:21" ht="78.75">
      <c r="A129" s="34"/>
      <c r="B129" s="24" t="s">
        <v>235</v>
      </c>
      <c r="C129" s="162">
        <v>419235.5</v>
      </c>
      <c r="D129" s="163"/>
      <c r="E129" s="163"/>
      <c r="F129" s="16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45">
      <c r="A130" s="34"/>
      <c r="B130" s="129" t="s">
        <v>236</v>
      </c>
      <c r="C130" s="158">
        <f>SUM(U121-C125)+C124</f>
        <v>-431558.53316039988</v>
      </c>
      <c r="D130" s="156"/>
      <c r="E130" s="156"/>
      <c r="F130" s="157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2" spans="1:21">
      <c r="J132" s="4"/>
      <c r="K132" s="5"/>
      <c r="L132" s="5"/>
      <c r="M132" s="3"/>
    </row>
    <row r="133" spans="1:21">
      <c r="G133" s="6"/>
      <c r="H133" s="6"/>
    </row>
    <row r="134" spans="1:21">
      <c r="G134" s="7"/>
    </row>
  </sheetData>
  <mergeCells count="11">
    <mergeCell ref="C130:F130"/>
    <mergeCell ref="C125:F125"/>
    <mergeCell ref="C126:F126"/>
    <mergeCell ref="C127:F127"/>
    <mergeCell ref="C128:F128"/>
    <mergeCell ref="C129:F129"/>
    <mergeCell ref="B3:L3"/>
    <mergeCell ref="B4:L4"/>
    <mergeCell ref="B5:L5"/>
    <mergeCell ref="B6:L6"/>
    <mergeCell ref="C124:F124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Нефт.10</vt:lpstr>
      <vt:lpstr>Нефт.10!Область_печати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2016-03-09T12:35:59Z</dcterms:modified>
</cp:coreProperties>
</file>