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15480" windowHeight="8085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'01.20'!$I$12:$I$61</definedName>
    <definedName name="_xlnm._FilterDatabase" localSheetId="1" hidden="1">'02.20'!$I$12:$I$61</definedName>
    <definedName name="_xlnm._FilterDatabase" localSheetId="2" hidden="1">'03.20'!$I$12:$I$61</definedName>
    <definedName name="_xlnm._FilterDatabase" localSheetId="3" hidden="1">'04.20'!$I$12:$I$61</definedName>
    <definedName name="_xlnm._FilterDatabase" localSheetId="4" hidden="1">'05.20'!$I$12:$I$60</definedName>
    <definedName name="_xlnm._FilterDatabase" localSheetId="5" hidden="1">'06.20'!$I$12:$I$60</definedName>
    <definedName name="_xlnm._FilterDatabase" localSheetId="6" hidden="1">'07.20'!$I$12:$I$61</definedName>
    <definedName name="_xlnm._FilterDatabase" localSheetId="7" hidden="1">'08.20'!$I$12:$I$60</definedName>
    <definedName name="_xlnm._FilterDatabase" localSheetId="8" hidden="1">'09.20'!$I$12:$I$60</definedName>
    <definedName name="_xlnm._FilterDatabase" localSheetId="9" hidden="1">'10.20'!$I$12:$I$57</definedName>
    <definedName name="_xlnm._FilterDatabase" localSheetId="10" hidden="1">'11.20'!$I$12:$I$62</definedName>
    <definedName name="_xlnm._FilterDatabase" localSheetId="11" hidden="1">'12.20'!$I$12:$I$62</definedName>
    <definedName name="_xlnm.Print_Area" localSheetId="0">'01.20'!$A$1:$I$98</definedName>
    <definedName name="_xlnm.Print_Area" localSheetId="1">'02.20'!$A$1:$I$96</definedName>
    <definedName name="_xlnm.Print_Area" localSheetId="2">'03.20'!$A$1:$I$95</definedName>
    <definedName name="_xlnm.Print_Area" localSheetId="3">'04.20'!$A$1:$I$96</definedName>
    <definedName name="_xlnm.Print_Area" localSheetId="4">'05.20'!$A$1:$I$93</definedName>
    <definedName name="_xlnm.Print_Area" localSheetId="5">'06.20'!$A$1:$I$96</definedName>
    <definedName name="_xlnm.Print_Area" localSheetId="6">'07.20'!$A$1:$I$96</definedName>
    <definedName name="_xlnm.Print_Area" localSheetId="7">'08.20'!$A$1:$I$95</definedName>
    <definedName name="_xlnm.Print_Area" localSheetId="8">'09.20'!$A$1:$I$101</definedName>
    <definedName name="_xlnm.Print_Area" localSheetId="9">'10.20'!$A$1:$I$93</definedName>
    <definedName name="_xlnm.Print_Area" localSheetId="10">'11.20'!$A$1:$I$96</definedName>
    <definedName name="_xlnm.Print_Area" localSheetId="11">'12.20'!$A$1:$I$98</definedName>
  </definedNames>
  <calcPr calcId="124519"/>
</workbook>
</file>

<file path=xl/calcChain.xml><?xml version="1.0" encoding="utf-8"?>
<calcChain xmlns="http://schemas.openxmlformats.org/spreadsheetml/2006/main">
  <c r="I69" i="28"/>
  <c r="I75"/>
  <c r="I74"/>
  <c r="I73"/>
  <c r="I27"/>
  <c r="I69" i="27"/>
  <c r="I32"/>
  <c r="I70" i="26" l="1"/>
  <c r="I69"/>
  <c r="I68"/>
  <c r="I67"/>
  <c r="I20"/>
  <c r="I19"/>
  <c r="I16"/>
  <c r="I67" i="25"/>
  <c r="I78"/>
  <c r="I77"/>
  <c r="I76"/>
  <c r="I72" i="24" l="1"/>
  <c r="I71"/>
  <c r="I73" i="23" l="1"/>
  <c r="I72"/>
  <c r="I71"/>
  <c r="I67" i="22"/>
  <c r="I73"/>
  <c r="I72"/>
  <c r="I71"/>
  <c r="I70"/>
  <c r="I69"/>
  <c r="H69"/>
  <c r="I68" i="20" l="1"/>
  <c r="I73"/>
  <c r="I72"/>
  <c r="I71"/>
  <c r="I68" i="19" l="1"/>
  <c r="I71"/>
  <c r="I26"/>
  <c r="I68" i="18"/>
  <c r="I73"/>
  <c r="I44"/>
  <c r="I75" i="17" l="1"/>
  <c r="I74"/>
  <c r="I68"/>
  <c r="I73"/>
  <c r="I72"/>
  <c r="F71"/>
  <c r="I26"/>
  <c r="I72" i="28"/>
  <c r="I32"/>
  <c r="F16"/>
  <c r="H16" s="1"/>
  <c r="I16" l="1"/>
  <c r="I60" i="27" l="1"/>
  <c r="I72"/>
  <c r="I27"/>
  <c r="F16"/>
  <c r="H16" s="1"/>
  <c r="F20" i="26"/>
  <c r="H20" s="1"/>
  <c r="F19"/>
  <c r="F16"/>
  <c r="H16" s="1"/>
  <c r="I16" i="27" l="1"/>
  <c r="H19" i="26"/>
  <c r="I63" i="25" l="1"/>
  <c r="E66" l="1"/>
  <c r="F66" s="1"/>
  <c r="F65"/>
  <c r="H65" s="1"/>
  <c r="F56"/>
  <c r="I39"/>
  <c r="F20"/>
  <c r="H20" s="1"/>
  <c r="F19"/>
  <c r="I19" s="1"/>
  <c r="F16"/>
  <c r="H16" s="1"/>
  <c r="F20" i="24"/>
  <c r="H20" s="1"/>
  <c r="F19"/>
  <c r="I19" s="1"/>
  <c r="F16"/>
  <c r="H16" s="1"/>
  <c r="I68" i="23"/>
  <c r="F16"/>
  <c r="H16" s="1"/>
  <c r="H66" i="25" l="1"/>
  <c r="I66"/>
  <c r="I65"/>
  <c r="H19"/>
  <c r="I20"/>
  <c r="I16"/>
  <c r="H19" i="24"/>
  <c r="I20"/>
  <c r="I16"/>
  <c r="I16" i="23"/>
  <c r="F16" i="22" l="1"/>
  <c r="H16" s="1"/>
  <c r="F16" i="21"/>
  <c r="H16" s="1"/>
  <c r="F16" i="20"/>
  <c r="H16" s="1"/>
  <c r="F16" i="19"/>
  <c r="H16" s="1"/>
  <c r="F16" i="18"/>
  <c r="H16" s="1"/>
  <c r="F16" i="17"/>
  <c r="F55" i="22"/>
  <c r="F54"/>
  <c r="F53"/>
  <c r="F52"/>
  <c r="F51"/>
  <c r="I16" l="1"/>
  <c r="I16" i="21"/>
  <c r="I16" i="20"/>
  <c r="I16" i="19"/>
  <c r="I16" i="18"/>
  <c r="I72" i="19" l="1"/>
  <c r="I71" i="18"/>
  <c r="I26"/>
  <c r="I71" i="17" l="1"/>
  <c r="H59"/>
  <c r="I59"/>
  <c r="I71" i="28"/>
  <c r="H71"/>
  <c r="I60"/>
  <c r="I71" i="27" l="1"/>
  <c r="I73" s="1"/>
  <c r="H71"/>
  <c r="I66" i="26" l="1"/>
  <c r="H66"/>
  <c r="I55"/>
  <c r="I75" i="25"/>
  <c r="H75"/>
  <c r="I49"/>
  <c r="I58"/>
  <c r="I69" i="24"/>
  <c r="H69"/>
  <c r="I70" i="23" l="1"/>
  <c r="H70"/>
  <c r="I69" i="21" l="1"/>
  <c r="I70" s="1"/>
  <c r="H69"/>
  <c r="I39"/>
  <c r="I38"/>
  <c r="I37"/>
  <c r="I70" i="20"/>
  <c r="H70"/>
  <c r="I31"/>
  <c r="I70" i="19" l="1"/>
  <c r="H70"/>
  <c r="I31"/>
  <c r="I31" i="18"/>
  <c r="I31" i="17"/>
  <c r="I70" i="18" l="1"/>
  <c r="H70"/>
  <c r="H71" i="17"/>
  <c r="I70"/>
  <c r="H70"/>
  <c r="I41" i="28" l="1"/>
  <c r="E68"/>
  <c r="F68" s="1"/>
  <c r="F67"/>
  <c r="I67" s="1"/>
  <c r="I65"/>
  <c r="H65"/>
  <c r="H63"/>
  <c r="F61"/>
  <c r="H61" s="1"/>
  <c r="H60"/>
  <c r="F58"/>
  <c r="H58" s="1"/>
  <c r="F57"/>
  <c r="H57" s="1"/>
  <c r="F56"/>
  <c r="H56" s="1"/>
  <c r="F55"/>
  <c r="H55" s="1"/>
  <c r="F54"/>
  <c r="H54" s="1"/>
  <c r="F53"/>
  <c r="H53" s="1"/>
  <c r="H52"/>
  <c r="I51"/>
  <c r="H51"/>
  <c r="F49"/>
  <c r="H49" s="1"/>
  <c r="H47"/>
  <c r="F45"/>
  <c r="H45" s="1"/>
  <c r="I42"/>
  <c r="F42"/>
  <c r="H42" s="1"/>
  <c r="H41"/>
  <c r="F40"/>
  <c r="H40" s="1"/>
  <c r="F39"/>
  <c r="H39" s="1"/>
  <c r="F38"/>
  <c r="I38" s="1"/>
  <c r="F37"/>
  <c r="H37" s="1"/>
  <c r="F36"/>
  <c r="H36" s="1"/>
  <c r="F35"/>
  <c r="H35" s="1"/>
  <c r="F34"/>
  <c r="H34" s="1"/>
  <c r="H32"/>
  <c r="F31"/>
  <c r="F30"/>
  <c r="I30" s="1"/>
  <c r="F29"/>
  <c r="F28"/>
  <c r="I28" s="1"/>
  <c r="H27"/>
  <c r="H25"/>
  <c r="H24"/>
  <c r="H23"/>
  <c r="F23"/>
  <c r="I23" s="1"/>
  <c r="F22"/>
  <c r="I22" s="1"/>
  <c r="F21"/>
  <c r="H21" s="1"/>
  <c r="H20"/>
  <c r="F20"/>
  <c r="I20" s="1"/>
  <c r="F17"/>
  <c r="H17" s="1"/>
  <c r="E68" i="27"/>
  <c r="F68" s="1"/>
  <c r="F67"/>
  <c r="H67" s="1"/>
  <c r="I65"/>
  <c r="H65"/>
  <c r="H63"/>
  <c r="F61"/>
  <c r="H61" s="1"/>
  <c r="H60"/>
  <c r="F58"/>
  <c r="H58" s="1"/>
  <c r="F57"/>
  <c r="H57" s="1"/>
  <c r="F56"/>
  <c r="H56" s="1"/>
  <c r="F55"/>
  <c r="H55" s="1"/>
  <c r="F54"/>
  <c r="H54" s="1"/>
  <c r="F53"/>
  <c r="H53" s="1"/>
  <c r="H52"/>
  <c r="I51"/>
  <c r="H51"/>
  <c r="F49"/>
  <c r="H49" s="1"/>
  <c r="H47"/>
  <c r="F45"/>
  <c r="I45" s="1"/>
  <c r="I42"/>
  <c r="F42"/>
  <c r="H42" s="1"/>
  <c r="H41"/>
  <c r="F40"/>
  <c r="H40" s="1"/>
  <c r="F39"/>
  <c r="H39" s="1"/>
  <c r="F38"/>
  <c r="H38" s="1"/>
  <c r="F37"/>
  <c r="H37" s="1"/>
  <c r="F36"/>
  <c r="H36" s="1"/>
  <c r="F35"/>
  <c r="H35" s="1"/>
  <c r="F34"/>
  <c r="H34" s="1"/>
  <c r="H32"/>
  <c r="F31"/>
  <c r="I31" s="1"/>
  <c r="F30"/>
  <c r="H30" s="1"/>
  <c r="F29"/>
  <c r="I29" s="1"/>
  <c r="F28"/>
  <c r="H28" s="1"/>
  <c r="H27"/>
  <c r="H25"/>
  <c r="H24"/>
  <c r="H23"/>
  <c r="F23"/>
  <c r="I23" s="1"/>
  <c r="F22"/>
  <c r="H22" s="1"/>
  <c r="F21"/>
  <c r="I21" s="1"/>
  <c r="F20"/>
  <c r="H20" s="1"/>
  <c r="F17"/>
  <c r="I17" s="1"/>
  <c r="I46" i="26"/>
  <c r="H64" i="28" l="1"/>
  <c r="H29"/>
  <c r="I29"/>
  <c r="H30"/>
  <c r="H31"/>
  <c r="I31"/>
  <c r="H22"/>
  <c r="H28"/>
  <c r="I39"/>
  <c r="I40"/>
  <c r="H38"/>
  <c r="I68"/>
  <c r="H68"/>
  <c r="H69" s="1"/>
  <c r="I17"/>
  <c r="I21"/>
  <c r="I45"/>
  <c r="H67"/>
  <c r="H68" i="27"/>
  <c r="H69" s="1"/>
  <c r="I68"/>
  <c r="H17"/>
  <c r="I20"/>
  <c r="H21"/>
  <c r="I22"/>
  <c r="I28"/>
  <c r="H29"/>
  <c r="I30"/>
  <c r="H31"/>
  <c r="I38"/>
  <c r="H45"/>
  <c r="H64" s="1"/>
  <c r="I67"/>
  <c r="I75" l="1"/>
  <c r="I77" i="28"/>
  <c r="H70" i="24" l="1"/>
  <c r="H71" i="23"/>
  <c r="I59"/>
  <c r="I59" i="20"/>
  <c r="I60" i="26" l="1"/>
  <c r="E63"/>
  <c r="F63" s="1"/>
  <c r="F62"/>
  <c r="H62" s="1"/>
  <c r="H60"/>
  <c r="H58"/>
  <c r="F56"/>
  <c r="H56" s="1"/>
  <c r="H55"/>
  <c r="F53"/>
  <c r="H53" s="1"/>
  <c r="F52"/>
  <c r="H52" s="1"/>
  <c r="F51"/>
  <c r="H51" s="1"/>
  <c r="F50"/>
  <c r="H50" s="1"/>
  <c r="F49"/>
  <c r="H49" s="1"/>
  <c r="F48"/>
  <c r="H48" s="1"/>
  <c r="H47"/>
  <c r="H46"/>
  <c r="F44"/>
  <c r="H44" s="1"/>
  <c r="H42"/>
  <c r="F40"/>
  <c r="I40" s="1"/>
  <c r="I37"/>
  <c r="F37"/>
  <c r="H37" s="1"/>
  <c r="F36"/>
  <c r="H36" s="1"/>
  <c r="F35"/>
  <c r="H35" s="1"/>
  <c r="F34"/>
  <c r="H34" s="1"/>
  <c r="F33"/>
  <c r="H33" s="1"/>
  <c r="F32"/>
  <c r="H32" s="1"/>
  <c r="I30"/>
  <c r="H30"/>
  <c r="F29"/>
  <c r="I29" s="1"/>
  <c r="F28"/>
  <c r="H28" s="1"/>
  <c r="F27"/>
  <c r="I27" s="1"/>
  <c r="F26"/>
  <c r="H26" s="1"/>
  <c r="I25"/>
  <c r="H25"/>
  <c r="H23"/>
  <c r="H22"/>
  <c r="F21"/>
  <c r="H21" s="1"/>
  <c r="I56" i="25"/>
  <c r="H74"/>
  <c r="F73"/>
  <c r="H73" s="1"/>
  <c r="H72"/>
  <c r="F71"/>
  <c r="H71" s="1"/>
  <c r="H70"/>
  <c r="H69"/>
  <c r="H63"/>
  <c r="H61"/>
  <c r="F59"/>
  <c r="H59" s="1"/>
  <c r="H58"/>
  <c r="H56"/>
  <c r="F55"/>
  <c r="H55" s="1"/>
  <c r="F54"/>
  <c r="H54" s="1"/>
  <c r="F53"/>
  <c r="H53" s="1"/>
  <c r="F52"/>
  <c r="H52" s="1"/>
  <c r="F51"/>
  <c r="H51" s="1"/>
  <c r="H50"/>
  <c r="H49"/>
  <c r="F47"/>
  <c r="H47" s="1"/>
  <c r="H45"/>
  <c r="F43"/>
  <c r="I43" s="1"/>
  <c r="I40"/>
  <c r="F40"/>
  <c r="H40" s="1"/>
  <c r="H39"/>
  <c r="F38"/>
  <c r="F37"/>
  <c r="F36"/>
  <c r="H36" s="1"/>
  <c r="F35"/>
  <c r="H35" s="1"/>
  <c r="F34"/>
  <c r="H34" s="1"/>
  <c r="F33"/>
  <c r="H33" s="1"/>
  <c r="F32"/>
  <c r="H32" s="1"/>
  <c r="I30"/>
  <c r="H30"/>
  <c r="F29"/>
  <c r="I29" s="1"/>
  <c r="F28"/>
  <c r="H28" s="1"/>
  <c r="F27"/>
  <c r="I27" s="1"/>
  <c r="F26"/>
  <c r="H26" s="1"/>
  <c r="I25"/>
  <c r="H25"/>
  <c r="H23"/>
  <c r="H22"/>
  <c r="F21"/>
  <c r="H21" s="1"/>
  <c r="E66" i="24"/>
  <c r="F66" s="1"/>
  <c r="F65"/>
  <c r="H65" s="1"/>
  <c r="H63"/>
  <c r="H61"/>
  <c r="F59"/>
  <c r="H59" s="1"/>
  <c r="I58"/>
  <c r="H58"/>
  <c r="F56"/>
  <c r="H56" s="1"/>
  <c r="F55"/>
  <c r="H55" s="1"/>
  <c r="F54"/>
  <c r="H54" s="1"/>
  <c r="F53"/>
  <c r="H53" s="1"/>
  <c r="F52"/>
  <c r="H52" s="1"/>
  <c r="F51"/>
  <c r="H51" s="1"/>
  <c r="H50"/>
  <c r="H49"/>
  <c r="F47"/>
  <c r="H47" s="1"/>
  <c r="H45"/>
  <c r="F43"/>
  <c r="I43" s="1"/>
  <c r="I40"/>
  <c r="F40"/>
  <c r="H40" s="1"/>
  <c r="H39"/>
  <c r="F38"/>
  <c r="H38" s="1"/>
  <c r="F37"/>
  <c r="H37" s="1"/>
  <c r="F36"/>
  <c r="H36" s="1"/>
  <c r="F35"/>
  <c r="H35" s="1"/>
  <c r="F34"/>
  <c r="H34" s="1"/>
  <c r="F33"/>
  <c r="H33" s="1"/>
  <c r="F32"/>
  <c r="H32" s="1"/>
  <c r="I30"/>
  <c r="H30"/>
  <c r="F29"/>
  <c r="I29" s="1"/>
  <c r="F28"/>
  <c r="H28" s="1"/>
  <c r="F27"/>
  <c r="I27" s="1"/>
  <c r="F26"/>
  <c r="H26" s="1"/>
  <c r="I25"/>
  <c r="H25"/>
  <c r="H23"/>
  <c r="H22"/>
  <c r="F21"/>
  <c r="H21" s="1"/>
  <c r="E67" i="23"/>
  <c r="F67" s="1"/>
  <c r="F66"/>
  <c r="H66" s="1"/>
  <c r="H64"/>
  <c r="H62"/>
  <c r="F60"/>
  <c r="H60" s="1"/>
  <c r="H59"/>
  <c r="F57"/>
  <c r="H57" s="1"/>
  <c r="F56"/>
  <c r="H56" s="1"/>
  <c r="F55"/>
  <c r="H55" s="1"/>
  <c r="F54"/>
  <c r="H54" s="1"/>
  <c r="F53"/>
  <c r="H53" s="1"/>
  <c r="F52"/>
  <c r="H52" s="1"/>
  <c r="H51"/>
  <c r="H50"/>
  <c r="F48"/>
  <c r="H48" s="1"/>
  <c r="H46"/>
  <c r="F44"/>
  <c r="I44" s="1"/>
  <c r="I41"/>
  <c r="F41"/>
  <c r="H41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I31"/>
  <c r="H31"/>
  <c r="F30"/>
  <c r="I30" s="1"/>
  <c r="F29"/>
  <c r="H29" s="1"/>
  <c r="F28"/>
  <c r="I28" s="1"/>
  <c r="F27"/>
  <c r="H27" s="1"/>
  <c r="I26"/>
  <c r="H26"/>
  <c r="H24"/>
  <c r="H23"/>
  <c r="H22"/>
  <c r="F22"/>
  <c r="I22" s="1"/>
  <c r="F21"/>
  <c r="H21" s="1"/>
  <c r="F20"/>
  <c r="I20" s="1"/>
  <c r="F19"/>
  <c r="H19" s="1"/>
  <c r="I39" i="22"/>
  <c r="E66"/>
  <c r="F66" s="1"/>
  <c r="F65"/>
  <c r="H65" s="1"/>
  <c r="H63"/>
  <c r="H61"/>
  <c r="F59"/>
  <c r="H59" s="1"/>
  <c r="I58"/>
  <c r="H58"/>
  <c r="F56"/>
  <c r="H56" s="1"/>
  <c r="H50"/>
  <c r="H49"/>
  <c r="F47"/>
  <c r="H47" s="1"/>
  <c r="H45"/>
  <c r="F43"/>
  <c r="I43" s="1"/>
  <c r="I40"/>
  <c r="F40"/>
  <c r="H40" s="1"/>
  <c r="H39"/>
  <c r="F38"/>
  <c r="H38" s="1"/>
  <c r="F37"/>
  <c r="H37" s="1"/>
  <c r="F36"/>
  <c r="H36" s="1"/>
  <c r="F35"/>
  <c r="H35" s="1"/>
  <c r="F34"/>
  <c r="H34" s="1"/>
  <c r="F33"/>
  <c r="H33" s="1"/>
  <c r="F32"/>
  <c r="H32" s="1"/>
  <c r="I30"/>
  <c r="H30"/>
  <c r="F29"/>
  <c r="I29" s="1"/>
  <c r="F28"/>
  <c r="H28" s="1"/>
  <c r="F27"/>
  <c r="I27" s="1"/>
  <c r="F26"/>
  <c r="H26" s="1"/>
  <c r="I25"/>
  <c r="H25"/>
  <c r="H23"/>
  <c r="H22"/>
  <c r="F21"/>
  <c r="H21" s="1"/>
  <c r="F20"/>
  <c r="I20" s="1"/>
  <c r="F19"/>
  <c r="H19" s="1"/>
  <c r="H38" i="25" l="1"/>
  <c r="I38"/>
  <c r="H37"/>
  <c r="I37"/>
  <c r="H52" i="22"/>
  <c r="I52"/>
  <c r="H54"/>
  <c r="I54"/>
  <c r="H51"/>
  <c r="I51"/>
  <c r="H53"/>
  <c r="I53"/>
  <c r="H55"/>
  <c r="I55"/>
  <c r="H63" i="26"/>
  <c r="H64" s="1"/>
  <c r="I63"/>
  <c r="I21"/>
  <c r="I26"/>
  <c r="H27"/>
  <c r="I28"/>
  <c r="H29"/>
  <c r="I36"/>
  <c r="H40"/>
  <c r="H59" s="1"/>
  <c r="I62"/>
  <c r="I35" i="25"/>
  <c r="I33"/>
  <c r="I34"/>
  <c r="I32"/>
  <c r="H67"/>
  <c r="I21"/>
  <c r="I26"/>
  <c r="H27"/>
  <c r="I28"/>
  <c r="H29"/>
  <c r="I36"/>
  <c r="H43"/>
  <c r="H62" s="1"/>
  <c r="H66" i="24"/>
  <c r="H67" s="1"/>
  <c r="I66"/>
  <c r="I21"/>
  <c r="I26"/>
  <c r="H27"/>
  <c r="I28"/>
  <c r="H29"/>
  <c r="I36"/>
  <c r="H43"/>
  <c r="H62" s="1"/>
  <c r="I65"/>
  <c r="H67" i="23"/>
  <c r="H68" s="1"/>
  <c r="I67"/>
  <c r="I19"/>
  <c r="H20"/>
  <c r="I21"/>
  <c r="I27"/>
  <c r="H28"/>
  <c r="I29"/>
  <c r="H30"/>
  <c r="I37"/>
  <c r="H44"/>
  <c r="H63" s="1"/>
  <c r="I66"/>
  <c r="I37" i="22"/>
  <c r="I38"/>
  <c r="H66"/>
  <c r="H67" s="1"/>
  <c r="I66"/>
  <c r="I19"/>
  <c r="H20"/>
  <c r="I21"/>
  <c r="I26"/>
  <c r="H27"/>
  <c r="I28"/>
  <c r="H29"/>
  <c r="I36"/>
  <c r="H43"/>
  <c r="H62" s="1"/>
  <c r="I65"/>
  <c r="I67" i="24" l="1"/>
  <c r="I74" s="1"/>
  <c r="I64" i="26"/>
  <c r="I72" s="1"/>
  <c r="I80" i="25"/>
  <c r="I75" i="22"/>
  <c r="I75" i="23"/>
  <c r="E66" i="21" l="1"/>
  <c r="F66" s="1"/>
  <c r="F65"/>
  <c r="H65" s="1"/>
  <c r="H63"/>
  <c r="H61"/>
  <c r="F59"/>
  <c r="H59" s="1"/>
  <c r="I58"/>
  <c r="H58"/>
  <c r="F56"/>
  <c r="H56" s="1"/>
  <c r="F55"/>
  <c r="H55" s="1"/>
  <c r="F54"/>
  <c r="H54" s="1"/>
  <c r="F53"/>
  <c r="H53" s="1"/>
  <c r="F52"/>
  <c r="H52" s="1"/>
  <c r="F51"/>
  <c r="H51" s="1"/>
  <c r="H50"/>
  <c r="H49"/>
  <c r="F47"/>
  <c r="H47" s="1"/>
  <c r="H45"/>
  <c r="F43"/>
  <c r="I43" s="1"/>
  <c r="I40"/>
  <c r="F40"/>
  <c r="H40" s="1"/>
  <c r="H39"/>
  <c r="F38"/>
  <c r="H38" s="1"/>
  <c r="F37"/>
  <c r="H37" s="1"/>
  <c r="F36"/>
  <c r="H36" s="1"/>
  <c r="F35"/>
  <c r="H35" s="1"/>
  <c r="F34"/>
  <c r="H34" s="1"/>
  <c r="F33"/>
  <c r="H33" s="1"/>
  <c r="F32"/>
  <c r="H32" s="1"/>
  <c r="I30"/>
  <c r="H30"/>
  <c r="F29"/>
  <c r="I29" s="1"/>
  <c r="F28"/>
  <c r="H28" s="1"/>
  <c r="F27"/>
  <c r="I27" s="1"/>
  <c r="F26"/>
  <c r="H26" s="1"/>
  <c r="I25"/>
  <c r="H25"/>
  <c r="H23"/>
  <c r="H22"/>
  <c r="F21"/>
  <c r="H21" s="1"/>
  <c r="F20"/>
  <c r="I20" s="1"/>
  <c r="F19"/>
  <c r="H19" s="1"/>
  <c r="E67" i="20"/>
  <c r="F67" s="1"/>
  <c r="H67" s="1"/>
  <c r="H68" s="1"/>
  <c r="F66"/>
  <c r="H66" s="1"/>
  <c r="H64"/>
  <c r="H62"/>
  <c r="F60"/>
  <c r="H60" s="1"/>
  <c r="H59"/>
  <c r="F57"/>
  <c r="H57" s="1"/>
  <c r="F56"/>
  <c r="H56" s="1"/>
  <c r="F55"/>
  <c r="H55" s="1"/>
  <c r="F54"/>
  <c r="H54" s="1"/>
  <c r="F53"/>
  <c r="H53" s="1"/>
  <c r="F52"/>
  <c r="H52" s="1"/>
  <c r="H51"/>
  <c r="H50"/>
  <c r="F48"/>
  <c r="H48" s="1"/>
  <c r="H46"/>
  <c r="F44"/>
  <c r="I44" s="1"/>
  <c r="I41"/>
  <c r="F41"/>
  <c r="H41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H31"/>
  <c r="F30"/>
  <c r="I30" s="1"/>
  <c r="F29"/>
  <c r="H29" s="1"/>
  <c r="F28"/>
  <c r="I28" s="1"/>
  <c r="F27"/>
  <c r="H27" s="1"/>
  <c r="I26"/>
  <c r="H26"/>
  <c r="H24"/>
  <c r="H23"/>
  <c r="H22"/>
  <c r="F22"/>
  <c r="I22" s="1"/>
  <c r="F21"/>
  <c r="H21" s="1"/>
  <c r="F20"/>
  <c r="I20" s="1"/>
  <c r="F19"/>
  <c r="H19" s="1"/>
  <c r="I59" i="19"/>
  <c r="E67"/>
  <c r="F67" s="1"/>
  <c r="F66"/>
  <c r="H66" s="1"/>
  <c r="H64"/>
  <c r="H62"/>
  <c r="F60"/>
  <c r="H60" s="1"/>
  <c r="H59"/>
  <c r="F57"/>
  <c r="H57" s="1"/>
  <c r="F56"/>
  <c r="H56" s="1"/>
  <c r="F55"/>
  <c r="H55" s="1"/>
  <c r="F54"/>
  <c r="H54" s="1"/>
  <c r="F53"/>
  <c r="H53" s="1"/>
  <c r="F52"/>
  <c r="H52" s="1"/>
  <c r="H51"/>
  <c r="H50"/>
  <c r="F48"/>
  <c r="H48" s="1"/>
  <c r="H46"/>
  <c r="F44"/>
  <c r="I44" s="1"/>
  <c r="I41"/>
  <c r="F41"/>
  <c r="H41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H31"/>
  <c r="F30"/>
  <c r="I30" s="1"/>
  <c r="F29"/>
  <c r="H29" s="1"/>
  <c r="F28"/>
  <c r="I28" s="1"/>
  <c r="F27"/>
  <c r="H27" s="1"/>
  <c r="H26"/>
  <c r="H24"/>
  <c r="H23"/>
  <c r="H22"/>
  <c r="F22"/>
  <c r="I22" s="1"/>
  <c r="F21"/>
  <c r="H21" s="1"/>
  <c r="F20"/>
  <c r="I20" s="1"/>
  <c r="F19"/>
  <c r="H19" s="1"/>
  <c r="I59" i="18"/>
  <c r="I51"/>
  <c r="E67"/>
  <c r="F67" s="1"/>
  <c r="F66"/>
  <c r="H66" s="1"/>
  <c r="H64"/>
  <c r="H62"/>
  <c r="F60"/>
  <c r="H60" s="1"/>
  <c r="H59"/>
  <c r="F57"/>
  <c r="H57" s="1"/>
  <c r="F56"/>
  <c r="H56" s="1"/>
  <c r="F55"/>
  <c r="H55" s="1"/>
  <c r="F54"/>
  <c r="H54" s="1"/>
  <c r="F53"/>
  <c r="H53" s="1"/>
  <c r="F52"/>
  <c r="H52" s="1"/>
  <c r="H51"/>
  <c r="H50"/>
  <c r="F48"/>
  <c r="H48" s="1"/>
  <c r="H46"/>
  <c r="F44"/>
  <c r="I41"/>
  <c r="F41"/>
  <c r="H41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H31"/>
  <c r="F30"/>
  <c r="I30" s="1"/>
  <c r="F29"/>
  <c r="H29" s="1"/>
  <c r="F28"/>
  <c r="I28" s="1"/>
  <c r="F27"/>
  <c r="H27" s="1"/>
  <c r="H26"/>
  <c r="H24"/>
  <c r="H23"/>
  <c r="H22"/>
  <c r="F22"/>
  <c r="I22" s="1"/>
  <c r="F21"/>
  <c r="H21" s="1"/>
  <c r="F20"/>
  <c r="I20" s="1"/>
  <c r="F19"/>
  <c r="H19" s="1"/>
  <c r="E67" i="17"/>
  <c r="F66"/>
  <c r="I66" s="1"/>
  <c r="H64"/>
  <c r="H62"/>
  <c r="F60"/>
  <c r="H60" s="1"/>
  <c r="F57"/>
  <c r="H57" s="1"/>
  <c r="F56"/>
  <c r="H56" s="1"/>
  <c r="F55"/>
  <c r="H55" s="1"/>
  <c r="F54"/>
  <c r="H54" s="1"/>
  <c r="F53"/>
  <c r="H53" s="1"/>
  <c r="F52"/>
  <c r="H52" s="1"/>
  <c r="H51"/>
  <c r="H50"/>
  <c r="F48"/>
  <c r="H48" s="1"/>
  <c r="H46"/>
  <c r="F44"/>
  <c r="H44" s="1"/>
  <c r="I41"/>
  <c r="F41"/>
  <c r="H41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H31"/>
  <c r="F30"/>
  <c r="F29"/>
  <c r="I29" s="1"/>
  <c r="F28"/>
  <c r="H28" s="1"/>
  <c r="F27"/>
  <c r="I27" s="1"/>
  <c r="H26"/>
  <c r="H24"/>
  <c r="H23"/>
  <c r="H16"/>
  <c r="H22"/>
  <c r="F22"/>
  <c r="I22" s="1"/>
  <c r="F21"/>
  <c r="H21" s="1"/>
  <c r="F20"/>
  <c r="H20" s="1"/>
  <c r="F19"/>
  <c r="H19" s="1"/>
  <c r="H30" l="1"/>
  <c r="I30"/>
  <c r="I35" i="21"/>
  <c r="I33"/>
  <c r="I51"/>
  <c r="I54"/>
  <c r="I52"/>
  <c r="I34"/>
  <c r="I32"/>
  <c r="I55"/>
  <c r="I53"/>
  <c r="H66"/>
  <c r="H67" s="1"/>
  <c r="I66"/>
  <c r="I67" s="1"/>
  <c r="I19"/>
  <c r="H20"/>
  <c r="I21"/>
  <c r="I26"/>
  <c r="H27"/>
  <c r="I28"/>
  <c r="H29"/>
  <c r="I36"/>
  <c r="H43"/>
  <c r="H62" s="1"/>
  <c r="I65"/>
  <c r="H28" i="20"/>
  <c r="H30"/>
  <c r="H44"/>
  <c r="H63" s="1"/>
  <c r="I19"/>
  <c r="H20"/>
  <c r="I21"/>
  <c r="I27"/>
  <c r="I29"/>
  <c r="I37"/>
  <c r="I66"/>
  <c r="I67"/>
  <c r="H67" i="19"/>
  <c r="H68" s="1"/>
  <c r="I67"/>
  <c r="I19"/>
  <c r="H20"/>
  <c r="I21"/>
  <c r="I27"/>
  <c r="H28"/>
  <c r="I29"/>
  <c r="H30"/>
  <c r="I37"/>
  <c r="H44"/>
  <c r="H63" s="1"/>
  <c r="I66"/>
  <c r="H67" i="18"/>
  <c r="H68" s="1"/>
  <c r="I67"/>
  <c r="I19"/>
  <c r="H20"/>
  <c r="I21"/>
  <c r="I27"/>
  <c r="H28"/>
  <c r="I29"/>
  <c r="H30"/>
  <c r="I37"/>
  <c r="H44"/>
  <c r="H63" s="1"/>
  <c r="I66"/>
  <c r="H27" i="17"/>
  <c r="I21"/>
  <c r="I19"/>
  <c r="I20"/>
  <c r="H66"/>
  <c r="F67"/>
  <c r="H67" s="1"/>
  <c r="H68" s="1"/>
  <c r="H63"/>
  <c r="I16"/>
  <c r="I28"/>
  <c r="H29"/>
  <c r="I37"/>
  <c r="I44"/>
  <c r="I67"/>
  <c r="I72" i="21" l="1"/>
  <c r="I75" i="20"/>
  <c r="I74" i="19"/>
  <c r="I75" i="18"/>
  <c r="I77" i="17"/>
</calcChain>
</file>

<file path=xl/sharedStrings.xml><?xml version="1.0" encoding="utf-8"?>
<sst xmlns="http://schemas.openxmlformats.org/spreadsheetml/2006/main" count="2035" uniqueCount="230">
  <si>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</si>
  <si>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</si>
  <si>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</si>
  <si>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</si>
  <si>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</si>
  <si>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</si>
  <si>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</si>
  <si>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</si>
  <si>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</si>
  <si>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</si>
  <si>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</si>
  <si>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</si>
  <si>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</si>
  <si>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</si>
  <si>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</si>
  <si>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</si>
  <si>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</si>
  <si>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</si>
  <si>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</si>
  <si>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</si>
  <si>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</si>
  <si>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</si>
  <si>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</si>
  <si>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</si>
  <si>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</si>
  <si>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</si>
  <si>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</si>
  <si>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</si>
  <si>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</si>
  <si>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</si>
  <si>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</si>
  <si>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</si>
  <si>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</si>
  <si>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</si>
  <si>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</si>
  <si>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</si>
  <si>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</si>
  <si>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</si>
  <si>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</si>
  <si>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</si>
  <si>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</si>
  <si>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</si>
  <si>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</si>
  <si>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</si>
  <si>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</si>
  <si>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</si>
  <si>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</si>
  <si>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</si>
  <si>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</si>
  <si>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</si>
  <si>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</si>
  <si>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</si>
  <si>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</si>
  <si>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</si>
  <si>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</si>
  <si>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</si>
  <si>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</si>
  <si>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</si>
  <si>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</si>
  <si>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</si>
  <si>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</si>
  <si>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</si>
  <si>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</si>
  <si>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</si>
  <si>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</si>
  <si>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</si>
  <si>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</si>
  <si>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</si>
  <si>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</si>
  <si>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</si>
  <si>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</si>
  <si>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</si>
  <si>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</si>
  <si>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</si>
  <si>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</si>
  <si>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</si>
  <si>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</si>
  <si>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</si>
  <si>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</si>
  <si>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</si>
  <si>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</si>
  <si>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</si>
  <si>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</si>
  <si>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</si>
  <si>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</si>
  <si>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генеральный директор Куканов Ю.Л.</t>
  </si>
  <si>
    <t>шт</t>
  </si>
  <si>
    <t>Прочистка засоров ГВС, XВC</t>
  </si>
  <si>
    <t>3м</t>
  </si>
  <si>
    <t>100м2</t>
  </si>
  <si>
    <t>1 шт</t>
  </si>
  <si>
    <t>Смена выключателей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</si>
  <si>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</si>
  <si>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</si>
  <si>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</si>
  <si>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</si>
  <si>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</si>
  <si>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</si>
  <si>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</si>
  <si>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</si>
  <si>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Лестничная клетка</t>
  </si>
  <si>
    <t>Установка пружин на входных дверях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</si>
  <si>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</si>
  <si>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</si>
  <si>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</si>
  <si>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</si>
  <si>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Замена ламп ДРЛ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</si>
  <si>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</si>
  <si>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</si>
  <si>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№25 по ул.Лермонтова пгт.Ярега
</t>
  </si>
  <si>
    <t xml:space="preserve"> </t>
  </si>
  <si>
    <t>заглушка</t>
  </si>
  <si>
    <t>Внеплановый осмотр электросетей, армазуры и электрооборудования на лестничных клетках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</si>
  <si>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</si>
  <si>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</si>
  <si>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</si>
  <si>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АКТ №1</t>
  </si>
  <si>
    <t>2 раза в неделю 52 раза в сезон</t>
  </si>
  <si>
    <t>3 раза в неделю 78 раз за сезон</t>
  </si>
  <si>
    <t xml:space="preserve">Очистка края кровли от слежавшегося снега со сбрасыванием сосулек (10% от S кровли) </t>
  </si>
  <si>
    <t>Смена трубопроводов на металл-полимерные трубы диаметром до 20мм</t>
  </si>
  <si>
    <t>Установка заглушек диаметром трубопроводов до 100 мм</t>
  </si>
  <si>
    <t>Ремонт оголовка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</si>
  <si>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</si>
  <si>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</si>
  <si>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</si>
  <si>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</si>
  <si>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</si>
  <si>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</si>
  <si>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</si>
  <si>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</si>
  <si>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</si>
  <si>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</si>
  <si>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III. Прочие услуги</t>
  </si>
  <si>
    <t>АКТ №8</t>
  </si>
  <si>
    <t>АКТ №9</t>
  </si>
  <si>
    <t>АКТ №10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</si>
  <si>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д.25</t>
    </r>
  </si>
  <si>
    <t>Итого затраты за месяц</t>
  </si>
  <si>
    <t>52 раза в сезон</t>
  </si>
  <si>
    <t>78 раз за сезон</t>
  </si>
  <si>
    <t>Итого затраты за мосяц</t>
  </si>
  <si>
    <t>АКТ №11</t>
  </si>
  <si>
    <t>АКТ №12</t>
  </si>
  <si>
    <t>Дератизация</t>
  </si>
  <si>
    <t>м2</t>
  </si>
  <si>
    <t>ООО «Движение»</t>
  </si>
  <si>
    <r>
      <t xml:space="preserve">    Собственники помещений в многоквартирном доме, расположенном по адресу: пгт.Ярега, ул.Лермонтова, д.25,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21.01.2013г.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</si>
  <si>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м</t>
  </si>
  <si>
    <t>Очистка вручную от снега и наледи люков каналиационных и водопроводных колодцев</t>
  </si>
  <si>
    <t>Организация и содержание мест накопления ТКО</t>
  </si>
  <si>
    <t>258 раз</t>
  </si>
  <si>
    <t>3 раза</t>
  </si>
  <si>
    <t>11 раз</t>
  </si>
  <si>
    <t>7 раз</t>
  </si>
  <si>
    <t>1 раз</t>
  </si>
  <si>
    <t>8 раз</t>
  </si>
  <si>
    <t>13 раз</t>
  </si>
  <si>
    <t xml:space="preserve">1 раз </t>
  </si>
  <si>
    <t>25 раз</t>
  </si>
  <si>
    <t>21 раз</t>
  </si>
  <si>
    <t>кв.1</t>
  </si>
  <si>
    <t>Установка хомута диаметром до 50 мм</t>
  </si>
  <si>
    <t>место</t>
  </si>
  <si>
    <t>17 раз</t>
  </si>
  <si>
    <t>18 раз</t>
  </si>
  <si>
    <t>4 раза</t>
  </si>
  <si>
    <t>за период с 01.01.2020 г. по 31.01.2020 г.</t>
  </si>
  <si>
    <t>смена внутренних трубопроводов на полипропиленовые трубы PN 25 Dу 25</t>
  </si>
  <si>
    <t>Отогрев ХВС+ трансформатор</t>
  </si>
  <si>
    <t>маш/час</t>
  </si>
  <si>
    <t>50 мин</t>
  </si>
  <si>
    <t>2. Всего за период с 01.01.2020 по 31.01.2020 выполнено работ (оказано услуг) на общую сумму: 12100,02 руб.</t>
  </si>
  <si>
    <t>( двенадцать тысяч сто рублей 02 копейки)</t>
  </si>
  <si>
    <t>за период с 01.02.2020 г. по 29.02.2020 г.</t>
  </si>
  <si>
    <t>Осмотр кровель из штучных материалов</t>
  </si>
  <si>
    <t>за период с 01.03.2020 г. по 31.03.2020 г.</t>
  </si>
  <si>
    <t>2,13 марта</t>
  </si>
  <si>
    <t>2. Всего за период с 01.03.2020 по 31.03.2020 выполнено работ (оказано услуг) на общую сумму: 6476,41 руб.</t>
  </si>
  <si>
    <t>(шесть тысяч четыреста сорок шесть рублей 41 копейка)</t>
  </si>
  <si>
    <t>за период с 01.04.2020 г. по 30.04.2020 г.</t>
  </si>
  <si>
    <t xml:space="preserve">Очистка канализационной сети внутренней </t>
  </si>
  <si>
    <t>2. Всего за период с 01.04.2020 по 30.04.2020 выполнено работ (оказано услуг) на общую сумму: 7001,52 руб.</t>
  </si>
  <si>
    <t>(семь тысяч один рубль 52 копейки)</t>
  </si>
  <si>
    <t>за период с 01.05.2020 г. по 31.05.2020 г.</t>
  </si>
  <si>
    <t>2. Всего за период с 01.05.2020 по 31.05.2020 выполнено работ (оказано услуг) на общую сумму: 11164,73 руб.</t>
  </si>
  <si>
    <t>(одиннадцать тысяч сто шестьдесят четыре рубля 73 копейки)</t>
  </si>
  <si>
    <t>за период с 01.06.2020 г. по 30.06.2020 г.</t>
  </si>
  <si>
    <t>Установка манжеты</t>
  </si>
  <si>
    <t>Демонтаж вентиля</t>
  </si>
  <si>
    <t>кв.8 ГВС</t>
  </si>
  <si>
    <t>кв.8 ГВС -1 м</t>
  </si>
  <si>
    <t>кв.2</t>
  </si>
  <si>
    <t>2. Всего за период с 01.06.2020 по 30.06.2020 выполнено работ (оказано услуг) на общую сумму: 22553,53 руб.</t>
  </si>
  <si>
    <t>(двадцать две тысячи пятьсот пятьдесят три рубля 53 копейки)</t>
  </si>
  <si>
    <t>за период с 01.07.2020 г. по 31.07.2020 г.</t>
  </si>
  <si>
    <t>ХВС под кв.6-1 шт.</t>
  </si>
  <si>
    <t>2. Всего за период с 01.07.2020 по 31.07.2020 выполнено работ (оказано услуг) на общую сумму: 6867,64 руб.</t>
  </si>
  <si>
    <t>(шесть тысяч восемьсот шестьдесят семь рублей 64 копейки)</t>
  </si>
  <si>
    <t>за период с 01.08.2020 г. по 31.08.2020 г.</t>
  </si>
  <si>
    <t>2. Всего за период с 01.08.2020 по 31.08.2020 выполнено работ (оказано услуг) на общую сумму: 7085,09 руб.</t>
  </si>
  <si>
    <t>(семь тысяч восемьдесят пять рублей 09 копеек)</t>
  </si>
  <si>
    <t>за период с 01.09.2020 г. по 30.09.2020 г.</t>
  </si>
  <si>
    <t>Осмотр водопроводов, канализации, отопления</t>
  </si>
  <si>
    <t>под полом кв.2 - 1 шт.</t>
  </si>
  <si>
    <t>2. Всего за период с 01.09.2020 по 30.09.2020 выполнено работ (оказано услуг) на общую сумму: 7865,88 руб.</t>
  </si>
  <si>
    <t>(семь тысяч восемьсот шестьдесят пять рублей 88 копеек)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</si>
  <si>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</si>
  <si>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ул.Лермонтова, д.25,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21.01.2013г.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</si>
  <si>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19 раз</t>
  </si>
  <si>
    <t>6 раз</t>
  </si>
  <si>
    <t>Работа ротенберера</t>
  </si>
  <si>
    <t>час</t>
  </si>
  <si>
    <t>Установка указателей</t>
  </si>
  <si>
    <t>10шт</t>
  </si>
  <si>
    <t>2. Всего за период с 01.10.2020 по 31.10.2020 выполнено работ (оказано услуг) на общую сумму: 6333,19 руб.</t>
  </si>
  <si>
    <t>(шесть тысяч триста тридцать три рубля 19 копеек)</t>
  </si>
  <si>
    <t>генеральный директор 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</si>
  <si>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</si>
  <si>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ул.Лермонтова, д.25,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21.01.2013г. стороны, и ООО «Движение», именуемое в дальнейшем "Исполнитель", в лице генерального директора Кочанвой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</si>
  <si>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 раза</t>
  </si>
  <si>
    <t>2. Всего за период с 01.11.2020 по 30.11.2020 выполнено работ (оказано услуг) на общую сумму: 7551,39 руб.</t>
  </si>
  <si>
    <t>(семь тысяч пятьсот пятьдесят один рубль 39 копеек)</t>
  </si>
  <si>
    <t>2. Всего за период с 01.02.2020 по 29.02.2020 выполнено работ (оказано услуг) на общую сумму: 7066,22 руб.</t>
  </si>
  <si>
    <t>(семь тысяч шестьдесят шесть рублей 22 копейки)</t>
  </si>
  <si>
    <t>за период с 01.12.2020 г. по 31.12.2020 г.</t>
  </si>
  <si>
    <t>0,9 ч ( 18,21,23 дек)</t>
  </si>
  <si>
    <t>ГВС кв.6 под полом</t>
  </si>
  <si>
    <t>2. Всего за период с 01.12.2020 по 31.12.2020 выполнено работ (оказано услуг) на общую сумму: 14226,26 руб.</t>
  </si>
  <si>
    <t>(четырнадцать тысяч двести двадцать шесть рублей 26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</si>
</sst>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4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9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8"/>
  <sheetViews>
    <sheetView topLeftCell="A68" workbookViewId="0">
      <selection activeCell="A69" sqref="A69:I6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116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167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43861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151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hidden="1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31.5" hidden="1" customHeight="1">
      <c r="A19" s="29">
        <v>3</v>
      </c>
      <c r="B19" s="64" t="s">
        <v>92</v>
      </c>
      <c r="C19" s="65" t="s">
        <v>93</v>
      </c>
      <c r="D19" s="64" t="s">
        <v>117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4" si="0">SUM(F19*G19/1000)</f>
        <v>6.351270379999999</v>
      </c>
      <c r="I19" s="13">
        <f t="shared" ref="I19:I22" si="1">F19/6*G19</f>
        <v>1058.5450633333332</v>
      </c>
      <c r="J19" s="8"/>
      <c r="K19" s="8"/>
      <c r="L19" s="8"/>
      <c r="M19" s="8"/>
    </row>
    <row r="20" spans="1:13" ht="31.5" hidden="1" customHeight="1">
      <c r="A20" s="29">
        <v>4</v>
      </c>
      <c r="B20" s="64" t="s">
        <v>123</v>
      </c>
      <c r="C20" s="65" t="s">
        <v>93</v>
      </c>
      <c r="D20" s="64" t="s">
        <v>118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94</v>
      </c>
      <c r="C22" s="65" t="s">
        <v>29</v>
      </c>
      <c r="D22" s="64" t="s">
        <v>61</v>
      </c>
      <c r="E22" s="68">
        <v>0.33333333333333331</v>
      </c>
      <c r="F22" s="66">
        <f>155/3</f>
        <v>51.666666666666664</v>
      </c>
      <c r="G22" s="66">
        <v>56.69</v>
      </c>
      <c r="H22" s="67">
        <f>SUM(G22*155/3/1000)</f>
        <v>2.9289833333333331</v>
      </c>
      <c r="I22" s="13">
        <f t="shared" si="1"/>
        <v>488.16388888888883</v>
      </c>
      <c r="J22" s="22"/>
      <c r="K22" s="8"/>
      <c r="L22" s="8"/>
      <c r="M22" s="8"/>
    </row>
    <row r="23" spans="1:13" ht="15.75" hidden="1" customHeight="1">
      <c r="A23" s="29"/>
      <c r="B23" s="64" t="s">
        <v>62</v>
      </c>
      <c r="C23" s="65" t="s">
        <v>31</v>
      </c>
      <c r="D23" s="64" t="s">
        <v>64</v>
      </c>
      <c r="E23" s="69"/>
      <c r="F23" s="66">
        <v>2</v>
      </c>
      <c r="G23" s="66">
        <v>191.32</v>
      </c>
      <c r="H23" s="67">
        <f t="shared" si="0"/>
        <v>0.38263999999999998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4" t="s">
        <v>63</v>
      </c>
      <c r="C24" s="65" t="s">
        <v>30</v>
      </c>
      <c r="D24" s="64" t="s">
        <v>64</v>
      </c>
      <c r="E24" s="69"/>
      <c r="F24" s="66">
        <v>2</v>
      </c>
      <c r="G24" s="66">
        <v>1136.33</v>
      </c>
      <c r="H24" s="67">
        <f t="shared" si="0"/>
        <v>2.2726599999999997</v>
      </c>
      <c r="I24" s="13">
        <v>0</v>
      </c>
      <c r="J24" s="22"/>
      <c r="K24" s="8"/>
      <c r="L24" s="8"/>
      <c r="M24" s="8"/>
    </row>
    <row r="25" spans="1:13" ht="15.75" customHeight="1">
      <c r="A25" s="29"/>
      <c r="B25" s="88" t="s">
        <v>5</v>
      </c>
      <c r="C25" s="65"/>
      <c r="D25" s="64"/>
      <c r="E25" s="69"/>
      <c r="F25" s="66"/>
      <c r="G25" s="66"/>
      <c r="H25" s="67" t="s">
        <v>110</v>
      </c>
      <c r="I25" s="72"/>
      <c r="J25" s="22"/>
      <c r="K25" s="8"/>
      <c r="L25" s="8"/>
      <c r="M25" s="8"/>
    </row>
    <row r="26" spans="1:13" ht="15.75" customHeight="1">
      <c r="A26" s="29">
        <v>2</v>
      </c>
      <c r="B26" s="64" t="s">
        <v>25</v>
      </c>
      <c r="C26" s="65" t="s">
        <v>30</v>
      </c>
      <c r="D26" s="64"/>
      <c r="E26" s="69"/>
      <c r="F26" s="66">
        <v>3</v>
      </c>
      <c r="G26" s="66">
        <v>1527.22</v>
      </c>
      <c r="H26" s="67">
        <f t="shared" ref="H26:H31" si="2">SUM(F26*G26/1000)</f>
        <v>4.5816600000000003</v>
      </c>
      <c r="I26" s="13">
        <f>G26*0.3</f>
        <v>458.166</v>
      </c>
      <c r="J26" s="22"/>
      <c r="K26" s="8"/>
      <c r="L26" s="8"/>
      <c r="M26" s="8"/>
    </row>
    <row r="27" spans="1:13" ht="15.75" customHeight="1">
      <c r="A27" s="29">
        <v>3</v>
      </c>
      <c r="B27" s="64" t="s">
        <v>65</v>
      </c>
      <c r="C27" s="65" t="s">
        <v>28</v>
      </c>
      <c r="D27" s="64" t="s">
        <v>152</v>
      </c>
      <c r="E27" s="66">
        <v>171.9</v>
      </c>
      <c r="F27" s="66">
        <f>SUM(E27*18/1000)</f>
        <v>3.0942000000000003</v>
      </c>
      <c r="G27" s="66">
        <v>2102.71</v>
      </c>
      <c r="H27" s="67">
        <f t="shared" si="2"/>
        <v>6.5062052820000007</v>
      </c>
      <c r="I27" s="13">
        <f t="shared" ref="I27:I29" si="3">F27/6*G27</f>
        <v>1084.3675470000001</v>
      </c>
      <c r="J27" s="22"/>
      <c r="K27" s="8"/>
      <c r="L27" s="8"/>
      <c r="M27" s="8"/>
    </row>
    <row r="28" spans="1:13" ht="15.75" customHeight="1">
      <c r="A28" s="29">
        <v>4</v>
      </c>
      <c r="B28" s="64" t="s">
        <v>67</v>
      </c>
      <c r="C28" s="65" t="s">
        <v>28</v>
      </c>
      <c r="D28" s="64" t="s">
        <v>153</v>
      </c>
      <c r="E28" s="66">
        <v>48</v>
      </c>
      <c r="F28" s="66">
        <f>SUM(E28*70/1000)</f>
        <v>3.36</v>
      </c>
      <c r="G28" s="66">
        <v>350.75</v>
      </c>
      <c r="H28" s="67">
        <f t="shared" si="2"/>
        <v>1.17852</v>
      </c>
      <c r="I28" s="13">
        <f t="shared" si="3"/>
        <v>196.42</v>
      </c>
      <c r="J28" s="22"/>
      <c r="K28" s="8"/>
      <c r="L28" s="8"/>
      <c r="M28" s="8"/>
    </row>
    <row r="29" spans="1:13" ht="47.25" customHeight="1">
      <c r="A29" s="29">
        <v>5</v>
      </c>
      <c r="B29" s="64" t="s">
        <v>83</v>
      </c>
      <c r="C29" s="65" t="s">
        <v>93</v>
      </c>
      <c r="D29" s="64" t="s">
        <v>153</v>
      </c>
      <c r="E29" s="66">
        <v>18</v>
      </c>
      <c r="F29" s="66">
        <f>SUM(E29*70/1000)</f>
        <v>1.26</v>
      </c>
      <c r="G29" s="66">
        <v>5803.28</v>
      </c>
      <c r="H29" s="67">
        <f t="shared" si="2"/>
        <v>7.3121327999999997</v>
      </c>
      <c r="I29" s="13">
        <f t="shared" si="3"/>
        <v>1218.6887999999999</v>
      </c>
      <c r="J29" s="22"/>
      <c r="K29" s="8"/>
      <c r="L29" s="8"/>
      <c r="M29" s="8"/>
    </row>
    <row r="30" spans="1:13" ht="15.75" hidden="1" customHeight="1">
      <c r="A30" s="29">
        <v>7</v>
      </c>
      <c r="B30" s="64" t="s">
        <v>95</v>
      </c>
      <c r="C30" s="65" t="s">
        <v>93</v>
      </c>
      <c r="D30" s="64" t="s">
        <v>154</v>
      </c>
      <c r="E30" s="66">
        <v>48</v>
      </c>
      <c r="F30" s="66">
        <f>SUM(E30*45/1000)</f>
        <v>2.16</v>
      </c>
      <c r="G30" s="66">
        <v>428.7</v>
      </c>
      <c r="H30" s="67">
        <f t="shared" si="2"/>
        <v>0.92599200000000004</v>
      </c>
      <c r="I30" s="13">
        <f>F30/7.5*G30</f>
        <v>123.46560000000001</v>
      </c>
      <c r="J30" s="22"/>
      <c r="K30" s="8"/>
      <c r="L30" s="8"/>
      <c r="M30" s="8"/>
    </row>
    <row r="31" spans="1:13" ht="15.75" hidden="1" customHeight="1">
      <c r="A31" s="29">
        <v>8</v>
      </c>
      <c r="B31" s="64" t="s">
        <v>70</v>
      </c>
      <c r="C31" s="65" t="s">
        <v>31</v>
      </c>
      <c r="D31" s="64"/>
      <c r="E31" s="69"/>
      <c r="F31" s="66">
        <v>0.2</v>
      </c>
      <c r="G31" s="66">
        <v>798</v>
      </c>
      <c r="H31" s="67">
        <f t="shared" si="2"/>
        <v>0.15960000000000002</v>
      </c>
      <c r="I31" s="13">
        <f>F31/7.5*G31</f>
        <v>21.28</v>
      </c>
      <c r="J31" s="22"/>
      <c r="K31" s="8"/>
      <c r="L31" s="8"/>
      <c r="M31" s="8"/>
    </row>
    <row r="32" spans="1:13" ht="15.75" customHeight="1">
      <c r="A32" s="145" t="s">
        <v>113</v>
      </c>
      <c r="B32" s="146"/>
      <c r="C32" s="146"/>
      <c r="D32" s="146"/>
      <c r="E32" s="146"/>
      <c r="F32" s="146"/>
      <c r="G32" s="146"/>
      <c r="H32" s="146"/>
      <c r="I32" s="147"/>
      <c r="J32" s="23"/>
    </row>
    <row r="33" spans="1:14" ht="15.75" hidden="1" customHeight="1">
      <c r="A33" s="29"/>
      <c r="B33" s="64" t="s">
        <v>96</v>
      </c>
      <c r="C33" s="65" t="s">
        <v>93</v>
      </c>
      <c r="D33" s="64" t="s">
        <v>40</v>
      </c>
      <c r="E33" s="69">
        <v>578.5</v>
      </c>
      <c r="F33" s="66">
        <f>SUM(E33*2/1000)</f>
        <v>1.157</v>
      </c>
      <c r="G33" s="13">
        <v>809.74</v>
      </c>
      <c r="H33" s="67">
        <f t="shared" ref="H33:H41" si="4">SUM(F33*G33/1000)</f>
        <v>0.93686918000000008</v>
      </c>
      <c r="I33" s="13">
        <v>0</v>
      </c>
      <c r="J33" s="23"/>
    </row>
    <row r="34" spans="1:14" ht="15.75" hidden="1" customHeight="1">
      <c r="A34" s="29"/>
      <c r="B34" s="64" t="s">
        <v>34</v>
      </c>
      <c r="C34" s="65" t="s">
        <v>93</v>
      </c>
      <c r="D34" s="64" t="s">
        <v>40</v>
      </c>
      <c r="E34" s="69">
        <v>21</v>
      </c>
      <c r="F34" s="66">
        <f>SUM(E34*2/1000)</f>
        <v>4.2000000000000003E-2</v>
      </c>
      <c r="G34" s="13">
        <v>579.48</v>
      </c>
      <c r="H34" s="67">
        <f t="shared" si="4"/>
        <v>2.4338160000000001E-2</v>
      </c>
      <c r="I34" s="13">
        <v>0</v>
      </c>
      <c r="J34" s="23"/>
    </row>
    <row r="35" spans="1:14" ht="15.75" hidden="1" customHeight="1">
      <c r="A35" s="29"/>
      <c r="B35" s="64" t="s">
        <v>35</v>
      </c>
      <c r="C35" s="65" t="s">
        <v>93</v>
      </c>
      <c r="D35" s="64" t="s">
        <v>40</v>
      </c>
      <c r="E35" s="69">
        <v>737</v>
      </c>
      <c r="F35" s="66">
        <f>SUM(E35*2/1000)</f>
        <v>1.474</v>
      </c>
      <c r="G35" s="13">
        <v>579.48</v>
      </c>
      <c r="H35" s="67">
        <f t="shared" si="4"/>
        <v>0.85415352</v>
      </c>
      <c r="I35" s="13">
        <v>0</v>
      </c>
      <c r="J35" s="23"/>
    </row>
    <row r="36" spans="1:14" ht="15.75" hidden="1" customHeight="1">
      <c r="A36" s="29"/>
      <c r="B36" s="64" t="s">
        <v>32</v>
      </c>
      <c r="C36" s="65" t="s">
        <v>33</v>
      </c>
      <c r="D36" s="64" t="s">
        <v>40</v>
      </c>
      <c r="E36" s="69">
        <v>59.75</v>
      </c>
      <c r="F36" s="66">
        <f>SUM(E36*2/100)</f>
        <v>1.1950000000000001</v>
      </c>
      <c r="G36" s="13">
        <v>72.81</v>
      </c>
      <c r="H36" s="67">
        <f t="shared" si="4"/>
        <v>8.7007950000000014E-2</v>
      </c>
      <c r="I36" s="13">
        <v>0</v>
      </c>
      <c r="J36" s="23"/>
    </row>
    <row r="37" spans="1:14" ht="15.75" customHeight="1">
      <c r="A37" s="29">
        <v>6</v>
      </c>
      <c r="B37" s="64" t="s">
        <v>54</v>
      </c>
      <c r="C37" s="65" t="s">
        <v>93</v>
      </c>
      <c r="D37" s="64" t="s">
        <v>155</v>
      </c>
      <c r="E37" s="69">
        <v>479.7</v>
      </c>
      <c r="F37" s="66">
        <f>SUM(E37*5/1000)</f>
        <v>2.3984999999999999</v>
      </c>
      <c r="G37" s="13">
        <v>1213.55</v>
      </c>
      <c r="H37" s="67">
        <f t="shared" si="4"/>
        <v>2.910699675</v>
      </c>
      <c r="I37" s="13">
        <f>F37/5*G37</f>
        <v>582.13993499999992</v>
      </c>
      <c r="J37" s="23"/>
    </row>
    <row r="38" spans="1:14" ht="31.5" hidden="1" customHeight="1">
      <c r="A38" s="29"/>
      <c r="B38" s="64" t="s">
        <v>97</v>
      </c>
      <c r="C38" s="65" t="s">
        <v>93</v>
      </c>
      <c r="D38" s="64" t="s">
        <v>40</v>
      </c>
      <c r="E38" s="69">
        <v>479.7</v>
      </c>
      <c r="F38" s="66">
        <f>SUM(E38*2/1000)</f>
        <v>0.95940000000000003</v>
      </c>
      <c r="G38" s="13">
        <v>1213.55</v>
      </c>
      <c r="H38" s="67">
        <f t="shared" si="4"/>
        <v>1.1642798700000001</v>
      </c>
      <c r="I38" s="13">
        <v>0</v>
      </c>
      <c r="J38" s="23"/>
    </row>
    <row r="39" spans="1:14" ht="31.5" hidden="1" customHeight="1">
      <c r="A39" s="29"/>
      <c r="B39" s="64" t="s">
        <v>98</v>
      </c>
      <c r="C39" s="65" t="s">
        <v>36</v>
      </c>
      <c r="D39" s="64" t="s">
        <v>40</v>
      </c>
      <c r="E39" s="69">
        <v>4</v>
      </c>
      <c r="F39" s="66">
        <f>SUM(E39*2/100)</f>
        <v>0.08</v>
      </c>
      <c r="G39" s="13">
        <v>2730.49</v>
      </c>
      <c r="H39" s="67">
        <f t="shared" si="4"/>
        <v>0.2184392</v>
      </c>
      <c r="I39" s="13">
        <v>0</v>
      </c>
      <c r="J39" s="23"/>
      <c r="L39" s="19"/>
      <c r="M39" s="20"/>
      <c r="N39" s="21"/>
    </row>
    <row r="40" spans="1:14" ht="15.75" hidden="1" customHeight="1">
      <c r="A40" s="29"/>
      <c r="B40" s="64" t="s">
        <v>37</v>
      </c>
      <c r="C40" s="65" t="s">
        <v>38</v>
      </c>
      <c r="D40" s="64" t="s">
        <v>40</v>
      </c>
      <c r="E40" s="69">
        <v>1</v>
      </c>
      <c r="F40" s="66">
        <v>0.02</v>
      </c>
      <c r="G40" s="13">
        <v>5652.13</v>
      </c>
      <c r="H40" s="67">
        <f t="shared" si="4"/>
        <v>0.11304260000000001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10</v>
      </c>
      <c r="B41" s="64" t="s">
        <v>39</v>
      </c>
      <c r="C41" s="65" t="s">
        <v>86</v>
      </c>
      <c r="D41" s="122">
        <v>43496</v>
      </c>
      <c r="E41" s="69">
        <v>24</v>
      </c>
      <c r="F41" s="66">
        <f>SUM(E41)*3</f>
        <v>72</v>
      </c>
      <c r="G41" s="13">
        <v>65.67</v>
      </c>
      <c r="H41" s="67">
        <f t="shared" si="4"/>
        <v>4.7282399999999996</v>
      </c>
      <c r="I41" s="13">
        <f>E41*G41</f>
        <v>1576.08</v>
      </c>
      <c r="J41" s="23"/>
      <c r="L41" s="19"/>
      <c r="M41" s="20"/>
      <c r="N41" s="21"/>
    </row>
    <row r="42" spans="1:14" ht="15.75" hidden="1" customHeight="1">
      <c r="A42" s="145" t="s">
        <v>114</v>
      </c>
      <c r="B42" s="146"/>
      <c r="C42" s="146"/>
      <c r="D42" s="146"/>
      <c r="E42" s="146"/>
      <c r="F42" s="146"/>
      <c r="G42" s="146"/>
      <c r="H42" s="146"/>
      <c r="I42" s="147"/>
      <c r="J42" s="23"/>
      <c r="L42" s="19"/>
      <c r="M42" s="20"/>
      <c r="N42" s="21"/>
    </row>
    <row r="43" spans="1:14" ht="15.75" hidden="1" customHeight="1">
      <c r="A43" s="29"/>
      <c r="B43" s="88" t="s">
        <v>41</v>
      </c>
      <c r="C43" s="65"/>
      <c r="D43" s="64"/>
      <c r="E43" s="69"/>
      <c r="F43" s="66"/>
      <c r="G43" s="66"/>
      <c r="H43" s="67"/>
      <c r="I43" s="72"/>
      <c r="J43" s="23"/>
      <c r="L43" s="19"/>
      <c r="M43" s="20"/>
      <c r="N43" s="21"/>
    </row>
    <row r="44" spans="1:14" ht="31.5" hidden="1" customHeight="1">
      <c r="A44" s="29">
        <v>11</v>
      </c>
      <c r="B44" s="64" t="s">
        <v>119</v>
      </c>
      <c r="C44" s="65" t="s">
        <v>89</v>
      </c>
      <c r="D44" s="64" t="s">
        <v>99</v>
      </c>
      <c r="E44" s="69">
        <v>57.85</v>
      </c>
      <c r="F44" s="66">
        <f>SUM(E44*6/100)</f>
        <v>3.4710000000000001</v>
      </c>
      <c r="G44" s="13">
        <v>1547.28</v>
      </c>
      <c r="H44" s="67">
        <f>SUM(F44*G44/1000)</f>
        <v>5.3706088799999998</v>
      </c>
      <c r="I44" s="13">
        <f>F44/6*G44</f>
        <v>895.10148000000004</v>
      </c>
      <c r="J44" s="23"/>
      <c r="L44" s="19"/>
      <c r="M44" s="20"/>
      <c r="N44" s="21"/>
    </row>
    <row r="45" spans="1:14" ht="15.75" hidden="1" customHeight="1">
      <c r="A45" s="29"/>
      <c r="B45" s="88" t="s">
        <v>42</v>
      </c>
      <c r="C45" s="65"/>
      <c r="D45" s="64"/>
      <c r="E45" s="69"/>
      <c r="F45" s="66"/>
      <c r="G45" s="59"/>
      <c r="H45" s="67"/>
      <c r="I45" s="72"/>
      <c r="J45" s="23"/>
      <c r="L45" s="19"/>
      <c r="M45" s="20"/>
      <c r="N45" s="21"/>
    </row>
    <row r="46" spans="1:14" ht="15.75" hidden="1" customHeight="1">
      <c r="A46" s="29"/>
      <c r="B46" s="64" t="s">
        <v>43</v>
      </c>
      <c r="C46" s="65" t="s">
        <v>89</v>
      </c>
      <c r="D46" s="64" t="s">
        <v>52</v>
      </c>
      <c r="E46" s="69">
        <v>479.7</v>
      </c>
      <c r="F46" s="67">
        <v>4.8</v>
      </c>
      <c r="G46" s="13">
        <v>793.61</v>
      </c>
      <c r="H46" s="73">
        <f>F46*G46/1000</f>
        <v>3.8093279999999998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88" t="s">
        <v>100</v>
      </c>
      <c r="C47" s="65"/>
      <c r="D47" s="64"/>
      <c r="E47" s="69"/>
      <c r="F47" s="66"/>
      <c r="G47" s="74"/>
      <c r="H47" s="67" t="s">
        <v>110</v>
      </c>
      <c r="I47" s="72"/>
      <c r="J47" s="23"/>
      <c r="L47" s="19"/>
      <c r="M47" s="20"/>
      <c r="N47" s="21"/>
    </row>
    <row r="48" spans="1:14" ht="15.75" hidden="1" customHeight="1">
      <c r="A48" s="29"/>
      <c r="B48" s="64" t="s">
        <v>101</v>
      </c>
      <c r="C48" s="65" t="s">
        <v>86</v>
      </c>
      <c r="D48" s="64" t="s">
        <v>64</v>
      </c>
      <c r="E48" s="69">
        <v>3</v>
      </c>
      <c r="F48" s="66">
        <f>SUM(E48)</f>
        <v>3</v>
      </c>
      <c r="G48" s="75">
        <v>237.75</v>
      </c>
      <c r="H48" s="67">
        <f t="shared" ref="H48:H62" si="5">SUM(F48*G48/1000)</f>
        <v>0.71325000000000005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89" t="s">
        <v>44</v>
      </c>
      <c r="C49" s="76"/>
      <c r="D49" s="77"/>
      <c r="E49" s="78"/>
      <c r="F49" s="79"/>
      <c r="G49" s="79"/>
      <c r="H49" s="80" t="s">
        <v>110</v>
      </c>
      <c r="I49" s="72"/>
      <c r="J49" s="23"/>
      <c r="L49" s="19"/>
      <c r="M49" s="20"/>
      <c r="N49" s="21"/>
    </row>
    <row r="50" spans="1:22" ht="15.75" hidden="1" customHeight="1">
      <c r="A50" s="29"/>
      <c r="B50" s="14" t="s">
        <v>45</v>
      </c>
      <c r="C50" s="16" t="s">
        <v>86</v>
      </c>
      <c r="D50" s="64" t="s">
        <v>64</v>
      </c>
      <c r="E50" s="18">
        <v>5</v>
      </c>
      <c r="F50" s="66">
        <v>5</v>
      </c>
      <c r="G50" s="13">
        <v>222.4</v>
      </c>
      <c r="H50" s="81">
        <f t="shared" si="5"/>
        <v>1.1120000000000001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14" t="s">
        <v>46</v>
      </c>
      <c r="C51" s="16" t="s">
        <v>86</v>
      </c>
      <c r="D51" s="64" t="s">
        <v>64</v>
      </c>
      <c r="E51" s="18">
        <v>3</v>
      </c>
      <c r="F51" s="66">
        <v>3</v>
      </c>
      <c r="G51" s="13">
        <v>76.25</v>
      </c>
      <c r="H51" s="81">
        <f t="shared" si="5"/>
        <v>0.22875000000000001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14" t="s">
        <v>47</v>
      </c>
      <c r="C52" s="16" t="s">
        <v>102</v>
      </c>
      <c r="D52" s="14" t="s">
        <v>52</v>
      </c>
      <c r="E52" s="69">
        <v>2753</v>
      </c>
      <c r="F52" s="13">
        <f>SUM(E52/100)</f>
        <v>27.53</v>
      </c>
      <c r="G52" s="13">
        <v>212.15</v>
      </c>
      <c r="H52" s="81">
        <f t="shared" si="5"/>
        <v>5.8404895000000003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48</v>
      </c>
      <c r="C53" s="16" t="s">
        <v>103</v>
      </c>
      <c r="D53" s="14"/>
      <c r="E53" s="69">
        <v>2753</v>
      </c>
      <c r="F53" s="13">
        <f>SUM(E53/1000)</f>
        <v>2.7530000000000001</v>
      </c>
      <c r="G53" s="13">
        <v>165.21</v>
      </c>
      <c r="H53" s="81">
        <f t="shared" si="5"/>
        <v>0.45482313000000008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49</v>
      </c>
      <c r="C54" s="16" t="s">
        <v>78</v>
      </c>
      <c r="D54" s="14" t="s">
        <v>52</v>
      </c>
      <c r="E54" s="69">
        <v>440</v>
      </c>
      <c r="F54" s="13">
        <f>SUM(E54/100)</f>
        <v>4.4000000000000004</v>
      </c>
      <c r="G54" s="13">
        <v>2074.63</v>
      </c>
      <c r="H54" s="81">
        <f t="shared" si="5"/>
        <v>9.1283720000000006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82" t="s">
        <v>72</v>
      </c>
      <c r="C55" s="16" t="s">
        <v>31</v>
      </c>
      <c r="D55" s="14"/>
      <c r="E55" s="69">
        <v>2.8</v>
      </c>
      <c r="F55" s="13">
        <f>SUM(E55)</f>
        <v>2.8</v>
      </c>
      <c r="G55" s="13">
        <v>45.32</v>
      </c>
      <c r="H55" s="81">
        <f t="shared" si="5"/>
        <v>0.12689599999999998</v>
      </c>
      <c r="I55" s="13">
        <v>0</v>
      </c>
      <c r="J55" s="23"/>
      <c r="L55" s="19"/>
      <c r="M55" s="20"/>
      <c r="N55" s="21"/>
    </row>
    <row r="56" spans="1:22" ht="31.5" hidden="1" customHeight="1">
      <c r="A56" s="29"/>
      <c r="B56" s="82" t="s">
        <v>73</v>
      </c>
      <c r="C56" s="16" t="s">
        <v>31</v>
      </c>
      <c r="D56" s="14"/>
      <c r="E56" s="69">
        <v>2.8</v>
      </c>
      <c r="F56" s="13">
        <f>SUM(E56)</f>
        <v>2.8</v>
      </c>
      <c r="G56" s="13">
        <v>42.28</v>
      </c>
      <c r="H56" s="81">
        <f t="shared" si="5"/>
        <v>0.118384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4" t="s">
        <v>55</v>
      </c>
      <c r="C57" s="16" t="s">
        <v>56</v>
      </c>
      <c r="D57" s="14" t="s">
        <v>52</v>
      </c>
      <c r="E57" s="18">
        <v>3</v>
      </c>
      <c r="F57" s="66">
        <f>SUM(E57)</f>
        <v>3</v>
      </c>
      <c r="G57" s="13">
        <v>49.88</v>
      </c>
      <c r="H57" s="81">
        <f t="shared" si="5"/>
        <v>0.14964000000000002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56" t="s">
        <v>74</v>
      </c>
      <c r="C58" s="16"/>
      <c r="D58" s="14"/>
      <c r="E58" s="18"/>
      <c r="F58" s="13"/>
      <c r="G58" s="13"/>
      <c r="H58" s="81" t="s">
        <v>110</v>
      </c>
      <c r="I58" s="72"/>
      <c r="J58" s="23"/>
      <c r="L58" s="19"/>
      <c r="M58" s="20"/>
      <c r="N58" s="21"/>
    </row>
    <row r="59" spans="1:22" ht="15.75" hidden="1" customHeight="1">
      <c r="A59" s="29">
        <v>11</v>
      </c>
      <c r="B59" s="14" t="s">
        <v>75</v>
      </c>
      <c r="C59" s="16" t="s">
        <v>76</v>
      </c>
      <c r="D59" s="14"/>
      <c r="E59" s="18">
        <v>15</v>
      </c>
      <c r="F59" s="13">
        <v>1.5</v>
      </c>
      <c r="G59" s="13">
        <v>501.62</v>
      </c>
      <c r="H59" s="81">
        <f t="shared" si="5"/>
        <v>0.75243000000000004</v>
      </c>
      <c r="I59" s="13">
        <f>G59*0.5</f>
        <v>250.81</v>
      </c>
      <c r="J59" s="23"/>
      <c r="L59" s="19"/>
    </row>
    <row r="60" spans="1:22" ht="15.75" hidden="1" customHeight="1">
      <c r="A60" s="29"/>
      <c r="B60" s="14" t="s">
        <v>106</v>
      </c>
      <c r="C60" s="16" t="s">
        <v>86</v>
      </c>
      <c r="D60" s="14"/>
      <c r="E60" s="18">
        <v>1</v>
      </c>
      <c r="F60" s="66">
        <f>SUM(E60)</f>
        <v>1</v>
      </c>
      <c r="G60" s="13">
        <v>358.51</v>
      </c>
      <c r="H60" s="81">
        <f t="shared" si="5"/>
        <v>0.35851</v>
      </c>
      <c r="I60" s="13">
        <v>0</v>
      </c>
    </row>
    <row r="61" spans="1:22" ht="15.75" hidden="1" customHeight="1">
      <c r="A61" s="29"/>
      <c r="B61" s="84" t="s">
        <v>77</v>
      </c>
      <c r="C61" s="16"/>
      <c r="D61" s="14"/>
      <c r="E61" s="18"/>
      <c r="F61" s="13"/>
      <c r="G61" s="13" t="s">
        <v>110</v>
      </c>
      <c r="H61" s="81" t="s">
        <v>110</v>
      </c>
      <c r="I61" s="72"/>
    </row>
    <row r="62" spans="1:22" ht="15.75" hidden="1" customHeight="1">
      <c r="A62" s="29"/>
      <c r="B62" s="42" t="s">
        <v>107</v>
      </c>
      <c r="C62" s="16" t="s">
        <v>78</v>
      </c>
      <c r="D62" s="14"/>
      <c r="E62" s="18"/>
      <c r="F62" s="13">
        <v>0.3</v>
      </c>
      <c r="G62" s="13">
        <v>2759.44</v>
      </c>
      <c r="H62" s="81">
        <f t="shared" si="5"/>
        <v>0.82783200000000001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56" t="s">
        <v>104</v>
      </c>
      <c r="C63" s="84"/>
      <c r="D63" s="31"/>
      <c r="E63" s="32"/>
      <c r="F63" s="85"/>
      <c r="G63" s="85"/>
      <c r="H63" s="86">
        <f>SUM(H44:H62)</f>
        <v>28.991313509999998</v>
      </c>
      <c r="I63" s="71"/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64" t="s">
        <v>105</v>
      </c>
      <c r="C64" s="16"/>
      <c r="D64" s="14"/>
      <c r="E64" s="60"/>
      <c r="F64" s="13">
        <v>1</v>
      </c>
      <c r="G64" s="13">
        <v>2119.1999999999998</v>
      </c>
      <c r="H64" s="81">
        <f>G64*F64/1000</f>
        <v>2.1191999999999998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145" t="s">
        <v>128</v>
      </c>
      <c r="B65" s="146"/>
      <c r="C65" s="146"/>
      <c r="D65" s="146"/>
      <c r="E65" s="146"/>
      <c r="F65" s="146"/>
      <c r="G65" s="146"/>
      <c r="H65" s="146"/>
      <c r="I65" s="147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7</v>
      </c>
      <c r="B66" s="64" t="s">
        <v>108</v>
      </c>
      <c r="C66" s="16" t="s">
        <v>53</v>
      </c>
      <c r="D66" s="45"/>
      <c r="E66" s="13">
        <v>737</v>
      </c>
      <c r="F66" s="13">
        <f>SUM(E66*12)</f>
        <v>8844</v>
      </c>
      <c r="G66" s="13">
        <v>2.1</v>
      </c>
      <c r="H66" s="81">
        <f>SUM(F66*G66/1000)</f>
        <v>18.572400000000002</v>
      </c>
      <c r="I66" s="13">
        <f>F66/12*G66</f>
        <v>1547.7</v>
      </c>
      <c r="J66" s="5"/>
      <c r="K66" s="5"/>
      <c r="L66" s="5"/>
      <c r="M66" s="5"/>
      <c r="N66" s="5"/>
      <c r="O66" s="5"/>
      <c r="P66" s="5"/>
      <c r="Q66" s="5"/>
      <c r="R66" s="144"/>
      <c r="S66" s="144"/>
      <c r="T66" s="144"/>
      <c r="U66" s="144"/>
    </row>
    <row r="67" spans="1:21" ht="31.5" customHeight="1">
      <c r="A67" s="29">
        <v>8</v>
      </c>
      <c r="B67" s="14" t="s">
        <v>79</v>
      </c>
      <c r="C67" s="16"/>
      <c r="D67" s="45"/>
      <c r="E67" s="69">
        <f>E66</f>
        <v>737</v>
      </c>
      <c r="F67" s="13">
        <f>E67*12</f>
        <v>8844</v>
      </c>
      <c r="G67" s="13">
        <v>1.63</v>
      </c>
      <c r="H67" s="81">
        <f>F67*G67/1000</f>
        <v>14.415719999999999</v>
      </c>
      <c r="I67" s="13">
        <f>F67/12*G67</f>
        <v>1201.31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29"/>
      <c r="B68" s="35" t="s">
        <v>81</v>
      </c>
      <c r="C68" s="84"/>
      <c r="D68" s="83"/>
      <c r="E68" s="85"/>
      <c r="F68" s="85"/>
      <c r="G68" s="85"/>
      <c r="H68" s="86">
        <f>SUM(H67)</f>
        <v>14.415719999999999</v>
      </c>
      <c r="I68" s="85">
        <f>I67+I66+I37+I29+I28+I27+I26+I16</f>
        <v>6704.2883820000006</v>
      </c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148" t="s">
        <v>58</v>
      </c>
      <c r="B69" s="149"/>
      <c r="C69" s="149"/>
      <c r="D69" s="149"/>
      <c r="E69" s="149"/>
      <c r="F69" s="149"/>
      <c r="G69" s="149"/>
      <c r="H69" s="149"/>
      <c r="I69" s="150"/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>
        <v>9</v>
      </c>
      <c r="B70" s="101" t="s">
        <v>144</v>
      </c>
      <c r="C70" s="16" t="s">
        <v>145</v>
      </c>
      <c r="D70" s="42"/>
      <c r="E70" s="13"/>
      <c r="F70" s="13">
        <v>200</v>
      </c>
      <c r="G70" s="13">
        <v>1.4</v>
      </c>
      <c r="H70" s="81">
        <f>SUM(F70*G70/1000)</f>
        <v>0.28000000000000003</v>
      </c>
      <c r="I70" s="13">
        <f>G70*100</f>
        <v>140</v>
      </c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31.5" customHeight="1">
      <c r="A71" s="29">
        <v>10</v>
      </c>
      <c r="B71" s="50" t="s">
        <v>149</v>
      </c>
      <c r="C71" s="51" t="s">
        <v>28</v>
      </c>
      <c r="D71" s="97"/>
      <c r="E71" s="34"/>
      <c r="F71" s="107">
        <f>10*0.599/1000</f>
        <v>5.9900000000000005E-3</v>
      </c>
      <c r="G71" s="34">
        <v>20547.34</v>
      </c>
      <c r="H71" s="81">
        <f>G71*F71/1000</f>
        <v>0.12307856660000002</v>
      </c>
      <c r="I71" s="13">
        <f>G71*0.599*10/1000</f>
        <v>123.07856659999999</v>
      </c>
      <c r="J71" s="5"/>
      <c r="K71" s="5"/>
      <c r="L71" s="5"/>
      <c r="M71" s="5"/>
      <c r="N71" s="5"/>
      <c r="O71" s="5"/>
      <c r="P71" s="5"/>
      <c r="Q71" s="5"/>
      <c r="R71" s="99"/>
      <c r="S71" s="99"/>
      <c r="T71" s="99"/>
      <c r="U71" s="99"/>
    </row>
    <row r="72" spans="1:21" ht="17.25" customHeight="1">
      <c r="A72" s="29">
        <v>11</v>
      </c>
      <c r="B72" s="50" t="s">
        <v>162</v>
      </c>
      <c r="C72" s="51" t="s">
        <v>163</v>
      </c>
      <c r="D72" s="97"/>
      <c r="E72" s="34"/>
      <c r="F72" s="105">
        <v>1</v>
      </c>
      <c r="G72" s="105">
        <v>222.63</v>
      </c>
      <c r="H72" s="81"/>
      <c r="I72" s="13">
        <f>G72*1</f>
        <v>222.63</v>
      </c>
      <c r="J72" s="5"/>
      <c r="K72" s="5"/>
      <c r="L72" s="5"/>
      <c r="M72" s="5"/>
      <c r="N72" s="5"/>
      <c r="O72" s="5"/>
      <c r="P72" s="5"/>
      <c r="Q72" s="5"/>
      <c r="R72" s="124"/>
      <c r="S72" s="124"/>
      <c r="T72" s="124"/>
      <c r="U72" s="124"/>
    </row>
    <row r="73" spans="1:21" ht="31.5" customHeight="1">
      <c r="A73" s="29">
        <v>12</v>
      </c>
      <c r="B73" s="50" t="s">
        <v>168</v>
      </c>
      <c r="C73" s="51" t="s">
        <v>148</v>
      </c>
      <c r="D73" s="97" t="s">
        <v>161</v>
      </c>
      <c r="E73" s="34"/>
      <c r="F73" s="105">
        <v>1</v>
      </c>
      <c r="G73" s="105">
        <v>1523.6</v>
      </c>
      <c r="H73" s="81"/>
      <c r="I73" s="13">
        <f>G73*1</f>
        <v>1523.6</v>
      </c>
      <c r="J73" s="5"/>
      <c r="K73" s="5"/>
      <c r="L73" s="5"/>
      <c r="M73" s="5"/>
      <c r="N73" s="5"/>
      <c r="O73" s="5"/>
      <c r="P73" s="5"/>
      <c r="Q73" s="5"/>
      <c r="R73" s="124"/>
      <c r="S73" s="124"/>
      <c r="T73" s="124"/>
      <c r="U73" s="124"/>
    </row>
    <row r="74" spans="1:21" ht="18.75" customHeight="1">
      <c r="A74" s="29">
        <v>13</v>
      </c>
      <c r="B74" s="126" t="s">
        <v>169</v>
      </c>
      <c r="C74" s="29" t="s">
        <v>170</v>
      </c>
      <c r="D74" s="97" t="s">
        <v>171</v>
      </c>
      <c r="E74" s="34"/>
      <c r="F74" s="105"/>
      <c r="G74" s="112">
        <v>4233.03</v>
      </c>
      <c r="H74" s="81"/>
      <c r="I74" s="13">
        <f>G74*0.8</f>
        <v>3386.424</v>
      </c>
      <c r="J74" s="5"/>
      <c r="K74" s="5"/>
      <c r="L74" s="5"/>
      <c r="M74" s="5"/>
      <c r="N74" s="5"/>
      <c r="O74" s="5"/>
      <c r="P74" s="5"/>
      <c r="Q74" s="5"/>
      <c r="R74" s="125"/>
      <c r="S74" s="125"/>
      <c r="T74" s="125"/>
      <c r="U74" s="125"/>
    </row>
    <row r="75" spans="1:21" ht="15.75" customHeight="1">
      <c r="A75" s="29"/>
      <c r="B75" s="40" t="s">
        <v>50</v>
      </c>
      <c r="C75" s="36"/>
      <c r="D75" s="43"/>
      <c r="E75" s="36">
        <v>1</v>
      </c>
      <c r="F75" s="36"/>
      <c r="G75" s="36"/>
      <c r="H75" s="36"/>
      <c r="I75" s="32">
        <f>SUM(I70:I74)</f>
        <v>5395.7325665999997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75" customHeight="1">
      <c r="A76" s="29"/>
      <c r="B76" s="42" t="s">
        <v>80</v>
      </c>
      <c r="C76" s="15"/>
      <c r="D76" s="15"/>
      <c r="E76" s="37"/>
      <c r="F76" s="37"/>
      <c r="G76" s="38"/>
      <c r="H76" s="38"/>
      <c r="I76" s="17">
        <v>0</v>
      </c>
    </row>
    <row r="77" spans="1:21" ht="15.75" customHeight="1">
      <c r="A77" s="44"/>
      <c r="B77" s="41" t="s">
        <v>138</v>
      </c>
      <c r="C77" s="33"/>
      <c r="D77" s="33"/>
      <c r="E77" s="33"/>
      <c r="F77" s="33"/>
      <c r="G77" s="33"/>
      <c r="H77" s="33"/>
      <c r="I77" s="39">
        <f>I68+I75</f>
        <v>12100.0209486</v>
      </c>
    </row>
    <row r="78" spans="1:21" ht="15.75" customHeight="1">
      <c r="A78" s="157" t="s">
        <v>172</v>
      </c>
      <c r="B78" s="157"/>
      <c r="C78" s="157"/>
      <c r="D78" s="157"/>
      <c r="E78" s="157"/>
      <c r="F78" s="157"/>
      <c r="G78" s="157"/>
      <c r="H78" s="157"/>
      <c r="I78" s="157"/>
    </row>
    <row r="79" spans="1:21" ht="15.75">
      <c r="A79" s="58"/>
      <c r="B79" s="158" t="s">
        <v>173</v>
      </c>
      <c r="C79" s="158"/>
      <c r="D79" s="158"/>
      <c r="E79" s="158"/>
      <c r="F79" s="158"/>
      <c r="G79" s="158"/>
      <c r="H79" s="63"/>
      <c r="I79" s="3"/>
    </row>
    <row r="80" spans="1:21">
      <c r="A80" s="54"/>
      <c r="B80" s="154" t="s">
        <v>6</v>
      </c>
      <c r="C80" s="154"/>
      <c r="D80" s="154"/>
      <c r="E80" s="154"/>
      <c r="F80" s="154"/>
      <c r="G80" s="154"/>
      <c r="H80" s="24"/>
      <c r="I80" s="5"/>
    </row>
    <row r="81" spans="1:9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5.75" customHeight="1">
      <c r="A82" s="141" t="s">
        <v>7</v>
      </c>
      <c r="B82" s="141"/>
      <c r="C82" s="141"/>
      <c r="D82" s="141"/>
      <c r="E82" s="141"/>
      <c r="F82" s="141"/>
      <c r="G82" s="141"/>
      <c r="H82" s="141"/>
      <c r="I82" s="141"/>
    </row>
    <row r="83" spans="1:9" ht="15.75">
      <c r="A83" s="141" t="s">
        <v>8</v>
      </c>
      <c r="B83" s="141"/>
      <c r="C83" s="141"/>
      <c r="D83" s="141"/>
      <c r="E83" s="141"/>
      <c r="F83" s="141"/>
      <c r="G83" s="141"/>
      <c r="H83" s="141"/>
      <c r="I83" s="141"/>
    </row>
    <row r="84" spans="1:9" ht="15.75">
      <c r="A84" s="142" t="s">
        <v>59</v>
      </c>
      <c r="B84" s="142"/>
      <c r="C84" s="142"/>
      <c r="D84" s="142"/>
      <c r="E84" s="142"/>
      <c r="F84" s="142"/>
      <c r="G84" s="142"/>
      <c r="H84" s="142"/>
      <c r="I84" s="142"/>
    </row>
    <row r="85" spans="1:9" ht="15.75" customHeight="1">
      <c r="A85" s="11"/>
    </row>
    <row r="86" spans="1:9" ht="15.75" customHeight="1">
      <c r="A86" s="152" t="s">
        <v>9</v>
      </c>
      <c r="B86" s="152"/>
      <c r="C86" s="152"/>
      <c r="D86" s="152"/>
      <c r="E86" s="152"/>
      <c r="F86" s="152"/>
      <c r="G86" s="152"/>
      <c r="H86" s="152"/>
      <c r="I86" s="152"/>
    </row>
    <row r="87" spans="1:9" ht="15.75" customHeight="1">
      <c r="A87" s="4"/>
    </row>
    <row r="88" spans="1:9" ht="15.75" customHeight="1">
      <c r="B88" s="55" t="s">
        <v>10</v>
      </c>
      <c r="C88" s="153" t="s">
        <v>85</v>
      </c>
      <c r="D88" s="153"/>
      <c r="E88" s="153"/>
      <c r="F88" s="61"/>
      <c r="I88" s="53"/>
    </row>
    <row r="89" spans="1:9" ht="15.75" customHeight="1">
      <c r="A89" s="54"/>
      <c r="C89" s="154" t="s">
        <v>11</v>
      </c>
      <c r="D89" s="154"/>
      <c r="E89" s="154"/>
      <c r="F89" s="24"/>
      <c r="I89" s="52" t="s">
        <v>12</v>
      </c>
    </row>
    <row r="90" spans="1:9" ht="15.75" customHeight="1">
      <c r="A90" s="25"/>
      <c r="C90" s="12"/>
      <c r="D90" s="12"/>
      <c r="G90" s="12"/>
      <c r="H90" s="12"/>
    </row>
    <row r="91" spans="1:9" ht="15.75" customHeight="1">
      <c r="B91" s="55" t="s">
        <v>13</v>
      </c>
      <c r="C91" s="155"/>
      <c r="D91" s="155"/>
      <c r="E91" s="155"/>
      <c r="F91" s="62"/>
      <c r="I91" s="53"/>
    </row>
    <row r="92" spans="1:9" ht="15.75" customHeight="1">
      <c r="A92" s="54"/>
      <c r="C92" s="144" t="s">
        <v>11</v>
      </c>
      <c r="D92" s="144"/>
      <c r="E92" s="144"/>
      <c r="F92" s="54"/>
      <c r="I92" s="52" t="s">
        <v>12</v>
      </c>
    </row>
    <row r="93" spans="1:9" ht="15.75" customHeight="1">
      <c r="A93" s="4" t="s">
        <v>14</v>
      </c>
    </row>
    <row r="94" spans="1:9">
      <c r="A94" s="156" t="s">
        <v>15</v>
      </c>
      <c r="B94" s="156"/>
      <c r="C94" s="156"/>
      <c r="D94" s="156"/>
      <c r="E94" s="156"/>
      <c r="F94" s="156"/>
      <c r="G94" s="156"/>
      <c r="H94" s="156"/>
      <c r="I94" s="156"/>
    </row>
    <row r="95" spans="1:9" ht="45" customHeight="1">
      <c r="A95" s="151" t="s">
        <v>16</v>
      </c>
      <c r="B95" s="151"/>
      <c r="C95" s="151"/>
      <c r="D95" s="151"/>
      <c r="E95" s="151"/>
      <c r="F95" s="151"/>
      <c r="G95" s="151"/>
      <c r="H95" s="151"/>
      <c r="I95" s="151"/>
    </row>
    <row r="96" spans="1:9" ht="30" customHeight="1">
      <c r="A96" s="151" t="s">
        <v>17</v>
      </c>
      <c r="B96" s="151"/>
      <c r="C96" s="151"/>
      <c r="D96" s="151"/>
      <c r="E96" s="151"/>
      <c r="F96" s="151"/>
      <c r="G96" s="151"/>
      <c r="H96" s="151"/>
      <c r="I96" s="151"/>
    </row>
    <row r="97" spans="1:9" ht="30" customHeight="1">
      <c r="A97" s="151" t="s">
        <v>21</v>
      </c>
      <c r="B97" s="151"/>
      <c r="C97" s="151"/>
      <c r="D97" s="151"/>
      <c r="E97" s="151"/>
      <c r="F97" s="151"/>
      <c r="G97" s="151"/>
      <c r="H97" s="151"/>
      <c r="I97" s="151"/>
    </row>
    <row r="98" spans="1:9" ht="15" customHeight="1">
      <c r="A98" s="151" t="s">
        <v>20</v>
      </c>
      <c r="B98" s="151"/>
      <c r="C98" s="151"/>
      <c r="D98" s="151"/>
      <c r="E98" s="151"/>
      <c r="F98" s="151"/>
      <c r="G98" s="151"/>
      <c r="H98" s="151"/>
      <c r="I98" s="151"/>
    </row>
  </sheetData>
  <autoFilter ref="I12:I61"/>
  <mergeCells count="29">
    <mergeCell ref="A95:I95"/>
    <mergeCell ref="A96:I96"/>
    <mergeCell ref="A97:I97"/>
    <mergeCell ref="A98:I98"/>
    <mergeCell ref="A17:I17"/>
    <mergeCell ref="A32:I32"/>
    <mergeCell ref="A42:I42"/>
    <mergeCell ref="A86:I86"/>
    <mergeCell ref="C88:E88"/>
    <mergeCell ref="C89:E89"/>
    <mergeCell ref="C91:E91"/>
    <mergeCell ref="C92:E92"/>
    <mergeCell ref="A94:I94"/>
    <mergeCell ref="A78:I78"/>
    <mergeCell ref="B79:G79"/>
    <mergeCell ref="B80:G80"/>
    <mergeCell ref="A82:I82"/>
    <mergeCell ref="A83:I83"/>
    <mergeCell ref="A84:I84"/>
    <mergeCell ref="A15:I15"/>
    <mergeCell ref="R66:U66"/>
    <mergeCell ref="A65:I65"/>
    <mergeCell ref="A69:I69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93"/>
  <sheetViews>
    <sheetView topLeftCell="A19" workbookViewId="0">
      <selection activeCell="G82" sqref="G8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136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207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44135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208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209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G16*F16/258*19</f>
        <v>367.18260000000004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210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0" si="0">SUM(F19*G19/1000)</f>
        <v>6.351270379999999</v>
      </c>
      <c r="I19" s="13">
        <f>G19*F19/52*6</f>
        <v>732.83888999999988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153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>G20*F20/78*11</f>
        <v>489.04346700000002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ref="H21:H23" si="1">SUM(F21*G21/1000)</f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/>
      <c r="B22" s="64" t="s">
        <v>62</v>
      </c>
      <c r="C22" s="65" t="s">
        <v>31</v>
      </c>
      <c r="D22" s="64" t="s">
        <v>64</v>
      </c>
      <c r="E22" s="69"/>
      <c r="F22" s="66">
        <v>2</v>
      </c>
      <c r="G22" s="66">
        <v>191.32</v>
      </c>
      <c r="H22" s="67">
        <f t="shared" si="1"/>
        <v>0.38263999999999998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4" t="s">
        <v>63</v>
      </c>
      <c r="C23" s="65" t="s">
        <v>30</v>
      </c>
      <c r="D23" s="64" t="s">
        <v>64</v>
      </c>
      <c r="E23" s="69"/>
      <c r="F23" s="66">
        <v>2</v>
      </c>
      <c r="G23" s="66">
        <v>1136.33</v>
      </c>
      <c r="H23" s="67">
        <f t="shared" si="1"/>
        <v>2.2726599999999997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8" t="s">
        <v>5</v>
      </c>
      <c r="C24" s="65"/>
      <c r="D24" s="64"/>
      <c r="E24" s="69"/>
      <c r="F24" s="66"/>
      <c r="G24" s="66"/>
      <c r="H24" s="67" t="s">
        <v>110</v>
      </c>
      <c r="I24" s="72"/>
      <c r="J24" s="22"/>
      <c r="K24" s="8"/>
      <c r="L24" s="8"/>
      <c r="M24" s="8"/>
    </row>
    <row r="25" spans="1:13" ht="15.75" hidden="1" customHeight="1">
      <c r="A25" s="29">
        <v>3</v>
      </c>
      <c r="B25" s="64" t="s">
        <v>25</v>
      </c>
      <c r="C25" s="65" t="s">
        <v>30</v>
      </c>
      <c r="D25" s="64"/>
      <c r="E25" s="69"/>
      <c r="F25" s="66">
        <v>3</v>
      </c>
      <c r="G25" s="66">
        <v>1527.22</v>
      </c>
      <c r="H25" s="67">
        <f t="shared" ref="H25:H30" si="2">SUM(F25*G25/1000)</f>
        <v>4.5816600000000003</v>
      </c>
      <c r="I25" s="13">
        <f t="shared" ref="I25:I30" si="3">F25/6*G25</f>
        <v>763.61</v>
      </c>
      <c r="J25" s="22"/>
      <c r="K25" s="8"/>
      <c r="L25" s="8"/>
      <c r="M25" s="8"/>
    </row>
    <row r="26" spans="1:13" ht="15.75" hidden="1" customHeight="1">
      <c r="A26" s="29">
        <v>4</v>
      </c>
      <c r="B26" s="64" t="s">
        <v>65</v>
      </c>
      <c r="C26" s="65" t="s">
        <v>28</v>
      </c>
      <c r="D26" s="64" t="s">
        <v>66</v>
      </c>
      <c r="E26" s="66">
        <v>171.9</v>
      </c>
      <c r="F26" s="66">
        <f>SUM(E26*18/1000)</f>
        <v>3.0942000000000003</v>
      </c>
      <c r="G26" s="66">
        <v>2102.71</v>
      </c>
      <c r="H26" s="67">
        <f t="shared" si="2"/>
        <v>6.5062052820000007</v>
      </c>
      <c r="I26" s="13">
        <f t="shared" si="3"/>
        <v>1084.3675470000001</v>
      </c>
      <c r="J26" s="22"/>
      <c r="K26" s="8"/>
      <c r="L26" s="8"/>
      <c r="M26" s="8"/>
    </row>
    <row r="27" spans="1:13" ht="15.75" hidden="1" customHeight="1">
      <c r="A27" s="29">
        <v>5</v>
      </c>
      <c r="B27" s="64" t="s">
        <v>67</v>
      </c>
      <c r="C27" s="65" t="s">
        <v>28</v>
      </c>
      <c r="D27" s="64" t="s">
        <v>68</v>
      </c>
      <c r="E27" s="66">
        <v>48</v>
      </c>
      <c r="F27" s="66">
        <f>SUM(E27*70/1000)</f>
        <v>3.36</v>
      </c>
      <c r="G27" s="66">
        <v>350.75</v>
      </c>
      <c r="H27" s="67">
        <f t="shared" si="2"/>
        <v>1.17852</v>
      </c>
      <c r="I27" s="13">
        <f t="shared" si="3"/>
        <v>196.42</v>
      </c>
      <c r="J27" s="22"/>
      <c r="K27" s="8"/>
      <c r="L27" s="8"/>
      <c r="M27" s="8"/>
    </row>
    <row r="28" spans="1:13" ht="47.25" hidden="1" customHeight="1">
      <c r="A28" s="29">
        <v>6</v>
      </c>
      <c r="B28" s="64" t="s">
        <v>83</v>
      </c>
      <c r="C28" s="65" t="s">
        <v>93</v>
      </c>
      <c r="D28" s="64" t="s">
        <v>68</v>
      </c>
      <c r="E28" s="66">
        <v>18</v>
      </c>
      <c r="F28" s="66">
        <f>SUM(E28*70/1000)</f>
        <v>1.26</v>
      </c>
      <c r="G28" s="66">
        <v>5803.28</v>
      </c>
      <c r="H28" s="67">
        <f t="shared" si="2"/>
        <v>7.3121327999999997</v>
      </c>
      <c r="I28" s="13">
        <f t="shared" si="3"/>
        <v>1218.6887999999999</v>
      </c>
      <c r="J28" s="22"/>
      <c r="K28" s="8"/>
      <c r="L28" s="8"/>
      <c r="M28" s="8"/>
    </row>
    <row r="29" spans="1:13" ht="15.75" hidden="1" customHeight="1">
      <c r="A29" s="29">
        <v>7</v>
      </c>
      <c r="B29" s="64" t="s">
        <v>95</v>
      </c>
      <c r="C29" s="65" t="s">
        <v>93</v>
      </c>
      <c r="D29" s="64" t="s">
        <v>69</v>
      </c>
      <c r="E29" s="66">
        <v>48</v>
      </c>
      <c r="F29" s="66">
        <f>SUM(E29*45/1000)</f>
        <v>2.16</v>
      </c>
      <c r="G29" s="66">
        <v>428.7</v>
      </c>
      <c r="H29" s="67">
        <f t="shared" si="2"/>
        <v>0.92599200000000004</v>
      </c>
      <c r="I29" s="13">
        <f t="shared" si="3"/>
        <v>154.33200000000002</v>
      </c>
      <c r="J29" s="22"/>
      <c r="K29" s="8"/>
      <c r="L29" s="8"/>
      <c r="M29" s="8"/>
    </row>
    <row r="30" spans="1:13" ht="15.75" hidden="1" customHeight="1">
      <c r="A30" s="29">
        <v>8</v>
      </c>
      <c r="B30" s="64" t="s">
        <v>70</v>
      </c>
      <c r="C30" s="65" t="s">
        <v>31</v>
      </c>
      <c r="D30" s="64"/>
      <c r="E30" s="69"/>
      <c r="F30" s="66">
        <v>0.2</v>
      </c>
      <c r="G30" s="66">
        <v>798</v>
      </c>
      <c r="H30" s="67">
        <f t="shared" si="2"/>
        <v>0.15960000000000002</v>
      </c>
      <c r="I30" s="13">
        <f t="shared" si="3"/>
        <v>26.599999999999998</v>
      </c>
      <c r="J30" s="22"/>
      <c r="K30" s="8"/>
      <c r="L30" s="8"/>
      <c r="M30" s="8"/>
    </row>
    <row r="31" spans="1:13" ht="23.25" hidden="1" customHeight="1">
      <c r="A31" s="145" t="s">
        <v>113</v>
      </c>
      <c r="B31" s="146"/>
      <c r="C31" s="146"/>
      <c r="D31" s="146"/>
      <c r="E31" s="146"/>
      <c r="F31" s="146"/>
      <c r="G31" s="146"/>
      <c r="H31" s="146"/>
      <c r="I31" s="147"/>
      <c r="J31" s="23"/>
    </row>
    <row r="32" spans="1:13" ht="25.5" hidden="1" customHeight="1">
      <c r="A32" s="29"/>
      <c r="B32" s="64" t="s">
        <v>96</v>
      </c>
      <c r="C32" s="65" t="s">
        <v>93</v>
      </c>
      <c r="D32" s="64" t="s">
        <v>40</v>
      </c>
      <c r="E32" s="69">
        <v>578.5</v>
      </c>
      <c r="F32" s="66">
        <f>SUM(E32*2/1000)</f>
        <v>1.157</v>
      </c>
      <c r="G32" s="13">
        <v>809.74</v>
      </c>
      <c r="H32" s="67">
        <f t="shared" ref="H32:H37" si="4">SUM(F32*G32/1000)</f>
        <v>0.93686918000000008</v>
      </c>
      <c r="I32" s="13">
        <v>0</v>
      </c>
      <c r="J32" s="23"/>
    </row>
    <row r="33" spans="1:14" ht="19.5" hidden="1" customHeight="1">
      <c r="A33" s="29"/>
      <c r="B33" s="64" t="s">
        <v>34</v>
      </c>
      <c r="C33" s="65" t="s">
        <v>93</v>
      </c>
      <c r="D33" s="64" t="s">
        <v>40</v>
      </c>
      <c r="E33" s="69">
        <v>21</v>
      </c>
      <c r="F33" s="66">
        <f>SUM(E33*2/1000)</f>
        <v>4.2000000000000003E-2</v>
      </c>
      <c r="G33" s="13">
        <v>579.48</v>
      </c>
      <c r="H33" s="67">
        <f t="shared" si="4"/>
        <v>2.4338160000000001E-2</v>
      </c>
      <c r="I33" s="13">
        <v>0</v>
      </c>
      <c r="J33" s="23"/>
    </row>
    <row r="34" spans="1:14" ht="18" hidden="1" customHeight="1">
      <c r="A34" s="29"/>
      <c r="B34" s="64" t="s">
        <v>35</v>
      </c>
      <c r="C34" s="65" t="s">
        <v>93</v>
      </c>
      <c r="D34" s="64" t="s">
        <v>40</v>
      </c>
      <c r="E34" s="69">
        <v>737</v>
      </c>
      <c r="F34" s="66">
        <f>SUM(E34*2/1000)</f>
        <v>1.474</v>
      </c>
      <c r="G34" s="13">
        <v>579.48</v>
      </c>
      <c r="H34" s="67">
        <f t="shared" si="4"/>
        <v>0.85415352</v>
      </c>
      <c r="I34" s="13">
        <v>0</v>
      </c>
      <c r="J34" s="23"/>
    </row>
    <row r="35" spans="1:14" ht="20.25" hidden="1" customHeight="1">
      <c r="A35" s="29"/>
      <c r="B35" s="64" t="s">
        <v>32</v>
      </c>
      <c r="C35" s="65" t="s">
        <v>33</v>
      </c>
      <c r="D35" s="64" t="s">
        <v>40</v>
      </c>
      <c r="E35" s="69">
        <v>59.75</v>
      </c>
      <c r="F35" s="66">
        <f>SUM(E35*2/100)</f>
        <v>1.1950000000000001</v>
      </c>
      <c r="G35" s="13">
        <v>72.81</v>
      </c>
      <c r="H35" s="67">
        <f t="shared" si="4"/>
        <v>8.7007950000000014E-2</v>
      </c>
      <c r="I35" s="13">
        <v>0</v>
      </c>
      <c r="J35" s="23"/>
    </row>
    <row r="36" spans="1:14" ht="23.25" hidden="1" customHeight="1">
      <c r="A36" s="29">
        <v>9</v>
      </c>
      <c r="B36" s="64" t="s">
        <v>54</v>
      </c>
      <c r="C36" s="65" t="s">
        <v>93</v>
      </c>
      <c r="D36" s="64" t="s">
        <v>124</v>
      </c>
      <c r="E36" s="69">
        <v>479.7</v>
      </c>
      <c r="F36" s="66">
        <f>SUM(E36*5/1000)</f>
        <v>2.3984999999999999</v>
      </c>
      <c r="G36" s="13">
        <v>1213.55</v>
      </c>
      <c r="H36" s="67">
        <f t="shared" si="4"/>
        <v>2.910699675</v>
      </c>
      <c r="I36" s="13">
        <f>F36/5*G36</f>
        <v>582.13993499999992</v>
      </c>
      <c r="J36" s="23"/>
    </row>
    <row r="37" spans="1:14" ht="16.5" hidden="1" customHeight="1">
      <c r="A37" s="29">
        <v>10</v>
      </c>
      <c r="B37" s="64" t="s">
        <v>39</v>
      </c>
      <c r="C37" s="65" t="s">
        <v>86</v>
      </c>
      <c r="D37" s="64" t="s">
        <v>71</v>
      </c>
      <c r="E37" s="69">
        <v>24</v>
      </c>
      <c r="F37" s="66">
        <f>SUM(E37)*3</f>
        <v>72</v>
      </c>
      <c r="G37" s="13">
        <v>65.67</v>
      </c>
      <c r="H37" s="67">
        <f t="shared" si="4"/>
        <v>4.7282399999999996</v>
      </c>
      <c r="I37" s="13">
        <f>E37*G37</f>
        <v>1576.08</v>
      </c>
      <c r="J37" s="23"/>
      <c r="L37" s="19"/>
      <c r="M37" s="20"/>
      <c r="N37" s="21"/>
    </row>
    <row r="38" spans="1:14" ht="15.75" hidden="1" customHeight="1">
      <c r="A38" s="145" t="s">
        <v>114</v>
      </c>
      <c r="B38" s="146"/>
      <c r="C38" s="146"/>
      <c r="D38" s="146"/>
      <c r="E38" s="146"/>
      <c r="F38" s="146"/>
      <c r="G38" s="146"/>
      <c r="H38" s="146"/>
      <c r="I38" s="147"/>
      <c r="J38" s="23"/>
      <c r="L38" s="19"/>
      <c r="M38" s="20"/>
      <c r="N38" s="21"/>
    </row>
    <row r="39" spans="1:14" ht="15.75" hidden="1" customHeight="1">
      <c r="A39" s="29"/>
      <c r="B39" s="88" t="s">
        <v>41</v>
      </c>
      <c r="C39" s="65"/>
      <c r="D39" s="64"/>
      <c r="E39" s="69"/>
      <c r="F39" s="66"/>
      <c r="G39" s="66"/>
      <c r="H39" s="67"/>
      <c r="I39" s="72"/>
      <c r="J39" s="23"/>
      <c r="L39" s="19"/>
      <c r="M39" s="20"/>
      <c r="N39" s="21"/>
    </row>
    <row r="40" spans="1:14" ht="31.5" hidden="1" customHeight="1">
      <c r="A40" s="29">
        <v>11</v>
      </c>
      <c r="B40" s="64" t="s">
        <v>119</v>
      </c>
      <c r="C40" s="65" t="s">
        <v>89</v>
      </c>
      <c r="D40" s="64" t="s">
        <v>99</v>
      </c>
      <c r="E40" s="69">
        <v>57.85</v>
      </c>
      <c r="F40" s="66">
        <f>SUM(E40*6/100)</f>
        <v>3.4710000000000001</v>
      </c>
      <c r="G40" s="13">
        <v>1547.28</v>
      </c>
      <c r="H40" s="67">
        <f>SUM(F40*G40/1000)</f>
        <v>5.3706088799999998</v>
      </c>
      <c r="I40" s="13">
        <f>F40/6*G40</f>
        <v>895.10148000000004</v>
      </c>
      <c r="J40" s="23"/>
      <c r="L40" s="19"/>
      <c r="M40" s="20"/>
      <c r="N40" s="21"/>
    </row>
    <row r="41" spans="1:14" ht="15.75" hidden="1" customHeight="1">
      <c r="A41" s="29"/>
      <c r="B41" s="88" t="s">
        <v>42</v>
      </c>
      <c r="C41" s="65"/>
      <c r="D41" s="64"/>
      <c r="E41" s="69"/>
      <c r="F41" s="66"/>
      <c r="G41" s="59"/>
      <c r="H41" s="67"/>
      <c r="I41" s="72"/>
      <c r="J41" s="23"/>
      <c r="L41" s="19"/>
      <c r="M41" s="20"/>
      <c r="N41" s="21"/>
    </row>
    <row r="42" spans="1:14" ht="15.75" hidden="1" customHeight="1">
      <c r="A42" s="29"/>
      <c r="B42" s="64" t="s">
        <v>43</v>
      </c>
      <c r="C42" s="65" t="s">
        <v>89</v>
      </c>
      <c r="D42" s="64" t="s">
        <v>52</v>
      </c>
      <c r="E42" s="69">
        <v>479.7</v>
      </c>
      <c r="F42" s="67">
        <v>4.8</v>
      </c>
      <c r="G42" s="13">
        <v>793.61</v>
      </c>
      <c r="H42" s="73">
        <f>F42*G42/1000</f>
        <v>3.8093279999999998</v>
      </c>
      <c r="I42" s="13">
        <v>0</v>
      </c>
      <c r="J42" s="23"/>
      <c r="L42" s="19"/>
      <c r="M42" s="20"/>
      <c r="N42" s="21"/>
    </row>
    <row r="43" spans="1:14" ht="15.75" hidden="1" customHeight="1">
      <c r="A43" s="29"/>
      <c r="B43" s="88" t="s">
        <v>100</v>
      </c>
      <c r="C43" s="65"/>
      <c r="D43" s="64"/>
      <c r="E43" s="69"/>
      <c r="F43" s="66"/>
      <c r="G43" s="74"/>
      <c r="H43" s="67" t="s">
        <v>110</v>
      </c>
      <c r="I43" s="72"/>
      <c r="J43" s="23"/>
      <c r="L43" s="19"/>
      <c r="M43" s="20"/>
      <c r="N43" s="21"/>
    </row>
    <row r="44" spans="1:14" ht="15.75" hidden="1" customHeight="1">
      <c r="A44" s="29"/>
      <c r="B44" s="64" t="s">
        <v>101</v>
      </c>
      <c r="C44" s="65" t="s">
        <v>86</v>
      </c>
      <c r="D44" s="64" t="s">
        <v>64</v>
      </c>
      <c r="E44" s="69">
        <v>3</v>
      </c>
      <c r="F44" s="66">
        <f>SUM(E44)</f>
        <v>3</v>
      </c>
      <c r="G44" s="75">
        <v>237.75</v>
      </c>
      <c r="H44" s="67">
        <f t="shared" ref="H44:H58" si="5">SUM(F44*G44/1000)</f>
        <v>0.71325000000000005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89" t="s">
        <v>44</v>
      </c>
      <c r="C45" s="76"/>
      <c r="D45" s="77"/>
      <c r="E45" s="78"/>
      <c r="F45" s="79"/>
      <c r="G45" s="79"/>
      <c r="H45" s="80" t="s">
        <v>110</v>
      </c>
      <c r="I45" s="72"/>
      <c r="J45" s="23"/>
      <c r="L45" s="19"/>
      <c r="M45" s="20"/>
      <c r="N45" s="21"/>
    </row>
    <row r="46" spans="1:14" ht="15.75" hidden="1" customHeight="1">
      <c r="A46" s="29">
        <v>9</v>
      </c>
      <c r="B46" s="14" t="s">
        <v>45</v>
      </c>
      <c r="C46" s="16" t="s">
        <v>86</v>
      </c>
      <c r="D46" s="64" t="s">
        <v>64</v>
      </c>
      <c r="E46" s="18">
        <v>5</v>
      </c>
      <c r="F46" s="66">
        <v>5</v>
      </c>
      <c r="G46" s="13">
        <v>222.4</v>
      </c>
      <c r="H46" s="81">
        <f t="shared" si="5"/>
        <v>1.1120000000000001</v>
      </c>
      <c r="I46" s="13">
        <f>G46</f>
        <v>222.4</v>
      </c>
      <c r="J46" s="23"/>
      <c r="L46" s="19"/>
      <c r="M46" s="20"/>
      <c r="N46" s="21"/>
    </row>
    <row r="47" spans="1:14" ht="15.75" hidden="1" customHeight="1">
      <c r="A47" s="29"/>
      <c r="B47" s="14" t="s">
        <v>46</v>
      </c>
      <c r="C47" s="16" t="s">
        <v>86</v>
      </c>
      <c r="D47" s="64" t="s">
        <v>64</v>
      </c>
      <c r="E47" s="18">
        <v>3</v>
      </c>
      <c r="F47" s="66">
        <v>3</v>
      </c>
      <c r="G47" s="13">
        <v>76.25</v>
      </c>
      <c r="H47" s="81">
        <f t="shared" si="5"/>
        <v>0.22875000000000001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14" t="s">
        <v>47</v>
      </c>
      <c r="C48" s="16" t="s">
        <v>102</v>
      </c>
      <c r="D48" s="14" t="s">
        <v>52</v>
      </c>
      <c r="E48" s="69">
        <v>2753</v>
      </c>
      <c r="F48" s="13">
        <f>SUM(E48/100)</f>
        <v>27.53</v>
      </c>
      <c r="G48" s="13">
        <v>212.15</v>
      </c>
      <c r="H48" s="81">
        <f t="shared" si="5"/>
        <v>5.8404895000000003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14" t="s">
        <v>48</v>
      </c>
      <c r="C49" s="16" t="s">
        <v>103</v>
      </c>
      <c r="D49" s="14"/>
      <c r="E49" s="69">
        <v>2753</v>
      </c>
      <c r="F49" s="13">
        <f>SUM(E49/1000)</f>
        <v>2.7530000000000001</v>
      </c>
      <c r="G49" s="13">
        <v>165.21</v>
      </c>
      <c r="H49" s="81">
        <f t="shared" si="5"/>
        <v>0.45482313000000008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14" t="s">
        <v>49</v>
      </c>
      <c r="C50" s="16" t="s">
        <v>78</v>
      </c>
      <c r="D50" s="14" t="s">
        <v>52</v>
      </c>
      <c r="E50" s="69">
        <v>440</v>
      </c>
      <c r="F50" s="13">
        <f>SUM(E50/100)</f>
        <v>4.4000000000000004</v>
      </c>
      <c r="G50" s="13">
        <v>2074.63</v>
      </c>
      <c r="H50" s="81">
        <f t="shared" si="5"/>
        <v>9.1283720000000006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82" t="s">
        <v>72</v>
      </c>
      <c r="C51" s="16" t="s">
        <v>31</v>
      </c>
      <c r="D51" s="14"/>
      <c r="E51" s="69">
        <v>2.8</v>
      </c>
      <c r="F51" s="13">
        <f>SUM(E51)</f>
        <v>2.8</v>
      </c>
      <c r="G51" s="13">
        <v>45.32</v>
      </c>
      <c r="H51" s="81">
        <f t="shared" si="5"/>
        <v>0.12689599999999998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82" t="s">
        <v>73</v>
      </c>
      <c r="C52" s="16" t="s">
        <v>31</v>
      </c>
      <c r="D52" s="14"/>
      <c r="E52" s="69">
        <v>2.8</v>
      </c>
      <c r="F52" s="13">
        <f>SUM(E52)</f>
        <v>2.8</v>
      </c>
      <c r="G52" s="13">
        <v>42.28</v>
      </c>
      <c r="H52" s="81">
        <f t="shared" si="5"/>
        <v>0.118384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55</v>
      </c>
      <c r="C53" s="16" t="s">
        <v>56</v>
      </c>
      <c r="D53" s="14" t="s">
        <v>52</v>
      </c>
      <c r="E53" s="18">
        <v>3</v>
      </c>
      <c r="F53" s="66">
        <f>SUM(E53)</f>
        <v>3</v>
      </c>
      <c r="G53" s="13">
        <v>49.88</v>
      </c>
      <c r="H53" s="81">
        <f t="shared" si="5"/>
        <v>0.14964000000000002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56" t="s">
        <v>74</v>
      </c>
      <c r="C54" s="16"/>
      <c r="D54" s="14"/>
      <c r="E54" s="18"/>
      <c r="F54" s="13"/>
      <c r="G54" s="13"/>
      <c r="H54" s="81" t="s">
        <v>110</v>
      </c>
      <c r="I54" s="72"/>
      <c r="J54" s="23"/>
      <c r="L54" s="19"/>
      <c r="M54" s="20"/>
      <c r="N54" s="21"/>
    </row>
    <row r="55" spans="1:22" ht="15.75" hidden="1" customHeight="1">
      <c r="A55" s="29">
        <v>10</v>
      </c>
      <c r="B55" s="14" t="s">
        <v>75</v>
      </c>
      <c r="C55" s="16" t="s">
        <v>76</v>
      </c>
      <c r="D55" s="14"/>
      <c r="E55" s="18">
        <v>15</v>
      </c>
      <c r="F55" s="13">
        <v>1.5</v>
      </c>
      <c r="G55" s="13">
        <v>501.62</v>
      </c>
      <c r="H55" s="81">
        <f t="shared" si="5"/>
        <v>0.75243000000000004</v>
      </c>
      <c r="I55" s="13">
        <f>G55*0.4</f>
        <v>200.64800000000002</v>
      </c>
      <c r="J55" s="23"/>
      <c r="L55" s="19"/>
    </row>
    <row r="56" spans="1:22" ht="15.75" hidden="1" customHeight="1">
      <c r="A56" s="29"/>
      <c r="B56" s="14" t="s">
        <v>106</v>
      </c>
      <c r="C56" s="16" t="s">
        <v>86</v>
      </c>
      <c r="D56" s="14"/>
      <c r="E56" s="18">
        <v>1</v>
      </c>
      <c r="F56" s="66">
        <f>SUM(E56)</f>
        <v>1</v>
      </c>
      <c r="G56" s="13">
        <v>358.51</v>
      </c>
      <c r="H56" s="81">
        <f t="shared" si="5"/>
        <v>0.35851</v>
      </c>
      <c r="I56" s="13">
        <v>0</v>
      </c>
    </row>
    <row r="57" spans="1:22" ht="15.75" hidden="1" customHeight="1">
      <c r="A57" s="29"/>
      <c r="B57" s="84" t="s">
        <v>77</v>
      </c>
      <c r="C57" s="16"/>
      <c r="D57" s="14"/>
      <c r="E57" s="18"/>
      <c r="F57" s="13"/>
      <c r="G57" s="13" t="s">
        <v>110</v>
      </c>
      <c r="H57" s="81" t="s">
        <v>110</v>
      </c>
      <c r="I57" s="72"/>
    </row>
    <row r="58" spans="1:22" ht="15.75" hidden="1" customHeight="1">
      <c r="A58" s="29"/>
      <c r="B58" s="42" t="s">
        <v>107</v>
      </c>
      <c r="C58" s="16" t="s">
        <v>78</v>
      </c>
      <c r="D58" s="14"/>
      <c r="E58" s="18"/>
      <c r="F58" s="13">
        <v>0.3</v>
      </c>
      <c r="G58" s="13">
        <v>2759.44</v>
      </c>
      <c r="H58" s="81">
        <f t="shared" si="5"/>
        <v>0.82783200000000001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56" t="s">
        <v>104</v>
      </c>
      <c r="C59" s="84"/>
      <c r="D59" s="31"/>
      <c r="E59" s="32"/>
      <c r="F59" s="85"/>
      <c r="G59" s="85"/>
      <c r="H59" s="86">
        <f>SUM(H40:H58)</f>
        <v>28.991313509999998</v>
      </c>
      <c r="I59" s="71"/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>
        <v>7</v>
      </c>
      <c r="B60" s="64" t="s">
        <v>105</v>
      </c>
      <c r="C60" s="16"/>
      <c r="D60" s="14"/>
      <c r="E60" s="60"/>
      <c r="F60" s="13">
        <v>1</v>
      </c>
      <c r="G60" s="13">
        <v>2119.1999999999998</v>
      </c>
      <c r="H60" s="81">
        <f>G60*F60/1000</f>
        <v>2.1191999999999998</v>
      </c>
      <c r="I60" s="13">
        <f>G60</f>
        <v>2119.1999999999998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145" t="s">
        <v>133</v>
      </c>
      <c r="B61" s="146"/>
      <c r="C61" s="146"/>
      <c r="D61" s="146"/>
      <c r="E61" s="146"/>
      <c r="F61" s="146"/>
      <c r="G61" s="146"/>
      <c r="H61" s="146"/>
      <c r="I61" s="147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29">
        <v>4</v>
      </c>
      <c r="B62" s="64" t="s">
        <v>108</v>
      </c>
      <c r="C62" s="16" t="s">
        <v>53</v>
      </c>
      <c r="D62" s="45"/>
      <c r="E62" s="13">
        <v>737</v>
      </c>
      <c r="F62" s="13">
        <f>SUM(E62*12)</f>
        <v>8844</v>
      </c>
      <c r="G62" s="13">
        <v>2.1</v>
      </c>
      <c r="H62" s="81">
        <f>SUM(F62*G62/1000)</f>
        <v>18.572400000000002</v>
      </c>
      <c r="I62" s="13">
        <f>F62/12*G62</f>
        <v>1547.7</v>
      </c>
      <c r="J62" s="5"/>
      <c r="K62" s="5"/>
      <c r="L62" s="5"/>
      <c r="M62" s="5"/>
      <c r="N62" s="5"/>
      <c r="O62" s="5"/>
      <c r="P62" s="5"/>
      <c r="Q62" s="5"/>
      <c r="R62" s="144"/>
      <c r="S62" s="144"/>
      <c r="T62" s="144"/>
      <c r="U62" s="144"/>
    </row>
    <row r="63" spans="1:22" ht="31.5" customHeight="1">
      <c r="A63" s="29">
        <v>5</v>
      </c>
      <c r="B63" s="14" t="s">
        <v>79</v>
      </c>
      <c r="C63" s="16"/>
      <c r="D63" s="45"/>
      <c r="E63" s="69">
        <f>E62</f>
        <v>737</v>
      </c>
      <c r="F63" s="13">
        <f>E63*12</f>
        <v>8844</v>
      </c>
      <c r="G63" s="13">
        <v>1.63</v>
      </c>
      <c r="H63" s="81">
        <f>F63*G63/1000</f>
        <v>14.415719999999999</v>
      </c>
      <c r="I63" s="13">
        <f>F63/12*G63</f>
        <v>1201.31</v>
      </c>
      <c r="J63" s="5"/>
      <c r="K63" s="5"/>
      <c r="L63" s="5"/>
      <c r="M63" s="5"/>
      <c r="N63" s="5"/>
      <c r="O63" s="5"/>
      <c r="P63" s="5"/>
      <c r="Q63" s="5"/>
      <c r="R63" s="54"/>
      <c r="S63" s="54"/>
      <c r="T63" s="54"/>
      <c r="U63" s="54"/>
    </row>
    <row r="64" spans="1:22" ht="15.75" customHeight="1">
      <c r="A64" s="29"/>
      <c r="B64" s="35" t="s">
        <v>81</v>
      </c>
      <c r="C64" s="84"/>
      <c r="D64" s="83"/>
      <c r="E64" s="85"/>
      <c r="F64" s="85"/>
      <c r="G64" s="85"/>
      <c r="H64" s="86">
        <f>SUM(H63)</f>
        <v>14.415719999999999</v>
      </c>
      <c r="I64" s="85">
        <f>I63+I62+I20+I19+I16</f>
        <v>4338.0749569999998</v>
      </c>
      <c r="J64" s="5"/>
      <c r="K64" s="5"/>
      <c r="L64" s="5"/>
      <c r="M64" s="5"/>
      <c r="N64" s="5"/>
      <c r="O64" s="5"/>
      <c r="P64" s="5"/>
      <c r="Q64" s="5"/>
      <c r="R64" s="54"/>
      <c r="S64" s="54"/>
      <c r="T64" s="54"/>
      <c r="U64" s="54"/>
    </row>
    <row r="65" spans="1:21" ht="15.75" customHeight="1">
      <c r="A65" s="148" t="s">
        <v>58</v>
      </c>
      <c r="B65" s="149"/>
      <c r="C65" s="149"/>
      <c r="D65" s="149"/>
      <c r="E65" s="149"/>
      <c r="F65" s="149"/>
      <c r="G65" s="149"/>
      <c r="H65" s="149"/>
      <c r="I65" s="150"/>
      <c r="J65" s="5"/>
      <c r="K65" s="5"/>
      <c r="L65" s="5"/>
      <c r="M65" s="5"/>
      <c r="N65" s="5"/>
      <c r="O65" s="5"/>
      <c r="P65" s="5"/>
      <c r="Q65" s="5"/>
      <c r="R65" s="54"/>
      <c r="S65" s="54"/>
      <c r="T65" s="54"/>
      <c r="U65" s="54"/>
    </row>
    <row r="66" spans="1:21" ht="15.75" customHeight="1">
      <c r="A66" s="29">
        <v>6</v>
      </c>
      <c r="B66" s="101" t="s">
        <v>144</v>
      </c>
      <c r="C66" s="16" t="s">
        <v>145</v>
      </c>
      <c r="D66" s="42"/>
      <c r="E66" s="13"/>
      <c r="F66" s="13">
        <v>200</v>
      </c>
      <c r="G66" s="13">
        <v>1.4</v>
      </c>
      <c r="H66" s="81">
        <f>SUM(F66*G66/1000)</f>
        <v>0.28000000000000003</v>
      </c>
      <c r="I66" s="13">
        <f>G66*100</f>
        <v>140</v>
      </c>
      <c r="J66" s="5"/>
      <c r="K66" s="5"/>
      <c r="L66" s="5"/>
      <c r="M66" s="5"/>
      <c r="N66" s="5"/>
      <c r="O66" s="5"/>
      <c r="P66" s="5"/>
      <c r="Q66" s="5"/>
      <c r="R66" s="54"/>
      <c r="S66" s="54"/>
      <c r="T66" s="54"/>
      <c r="U66" s="54"/>
    </row>
    <row r="67" spans="1:21" ht="17.25" customHeight="1">
      <c r="A67" s="29">
        <v>7</v>
      </c>
      <c r="B67" s="50" t="s">
        <v>181</v>
      </c>
      <c r="C67" s="51" t="s">
        <v>148</v>
      </c>
      <c r="D67" s="97"/>
      <c r="E67" s="34"/>
      <c r="F67" s="105">
        <v>17</v>
      </c>
      <c r="G67" s="105">
        <v>284</v>
      </c>
      <c r="H67" s="81"/>
      <c r="I67" s="13">
        <f>G67*5</f>
        <v>1420</v>
      </c>
      <c r="J67" s="5"/>
      <c r="K67" s="5"/>
      <c r="L67" s="5"/>
      <c r="M67" s="5"/>
      <c r="N67" s="5"/>
      <c r="O67" s="5"/>
      <c r="P67" s="5"/>
      <c r="Q67" s="5"/>
      <c r="R67" s="123"/>
      <c r="S67" s="123"/>
      <c r="T67" s="123"/>
      <c r="U67" s="123"/>
    </row>
    <row r="68" spans="1:21" ht="18" customHeight="1">
      <c r="A68" s="29">
        <v>8</v>
      </c>
      <c r="B68" s="50" t="s">
        <v>211</v>
      </c>
      <c r="C68" s="51" t="s">
        <v>212</v>
      </c>
      <c r="D68" s="97"/>
      <c r="E68" s="34"/>
      <c r="F68" s="105">
        <v>1</v>
      </c>
      <c r="G68" s="105">
        <v>227</v>
      </c>
      <c r="H68" s="81"/>
      <c r="I68" s="13">
        <f>G68*1</f>
        <v>227</v>
      </c>
      <c r="J68" s="5"/>
      <c r="K68" s="5"/>
      <c r="L68" s="5"/>
      <c r="M68" s="5"/>
      <c r="N68" s="5"/>
      <c r="O68" s="5"/>
      <c r="P68" s="5"/>
      <c r="Q68" s="5"/>
      <c r="R68" s="132"/>
      <c r="S68" s="132"/>
      <c r="T68" s="132"/>
      <c r="U68" s="132"/>
    </row>
    <row r="69" spans="1:21" ht="18" customHeight="1">
      <c r="A69" s="29">
        <v>9</v>
      </c>
      <c r="B69" s="133" t="s">
        <v>213</v>
      </c>
      <c r="C69" s="51" t="s">
        <v>214</v>
      </c>
      <c r="D69" s="97"/>
      <c r="E69" s="34"/>
      <c r="F69" s="105">
        <v>0.2</v>
      </c>
      <c r="G69" s="105">
        <v>1040.56</v>
      </c>
      <c r="H69" s="81"/>
      <c r="I69" s="13">
        <f>G69*0.2</f>
        <v>208.11199999999999</v>
      </c>
      <c r="J69" s="5"/>
      <c r="K69" s="5"/>
      <c r="L69" s="5"/>
      <c r="M69" s="5"/>
      <c r="N69" s="5"/>
      <c r="O69" s="5"/>
      <c r="P69" s="5"/>
      <c r="Q69" s="5"/>
      <c r="R69" s="132"/>
      <c r="S69" s="132"/>
      <c r="T69" s="132"/>
      <c r="U69" s="132"/>
    </row>
    <row r="70" spans="1:21" ht="15.75" customHeight="1">
      <c r="A70" s="29"/>
      <c r="B70" s="40" t="s">
        <v>50</v>
      </c>
      <c r="C70" s="36"/>
      <c r="D70" s="43"/>
      <c r="E70" s="36">
        <v>1</v>
      </c>
      <c r="F70" s="36"/>
      <c r="G70" s="36"/>
      <c r="H70" s="36"/>
      <c r="I70" s="32">
        <f>SUM(I66:I69)</f>
        <v>1995.1120000000001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75" customHeight="1">
      <c r="A71" s="29"/>
      <c r="B71" s="42" t="s">
        <v>80</v>
      </c>
      <c r="C71" s="15"/>
      <c r="D71" s="15"/>
      <c r="E71" s="37"/>
      <c r="F71" s="37"/>
      <c r="G71" s="38"/>
      <c r="H71" s="38"/>
      <c r="I71" s="17">
        <v>0</v>
      </c>
    </row>
    <row r="72" spans="1:21" ht="15.75" customHeight="1">
      <c r="A72" s="44"/>
      <c r="B72" s="41" t="s">
        <v>51</v>
      </c>
      <c r="C72" s="33"/>
      <c r="D72" s="33"/>
      <c r="E72" s="33"/>
      <c r="F72" s="33"/>
      <c r="G72" s="33"/>
      <c r="H72" s="33"/>
      <c r="I72" s="39">
        <f>I64+I70</f>
        <v>6333.1869569999999</v>
      </c>
    </row>
    <row r="73" spans="1:21" ht="15.75" customHeight="1">
      <c r="A73" s="157" t="s">
        <v>215</v>
      </c>
      <c r="B73" s="157"/>
      <c r="C73" s="157"/>
      <c r="D73" s="157"/>
      <c r="E73" s="157"/>
      <c r="F73" s="157"/>
      <c r="G73" s="157"/>
      <c r="H73" s="157"/>
      <c r="I73" s="157"/>
    </row>
    <row r="74" spans="1:21" ht="15.75">
      <c r="A74" s="58"/>
      <c r="B74" s="158" t="s">
        <v>216</v>
      </c>
      <c r="C74" s="158"/>
      <c r="D74" s="158"/>
      <c r="E74" s="158"/>
      <c r="F74" s="158"/>
      <c r="G74" s="158"/>
      <c r="H74" s="63"/>
      <c r="I74" s="3"/>
    </row>
    <row r="75" spans="1:21">
      <c r="A75" s="54"/>
      <c r="B75" s="154" t="s">
        <v>6</v>
      </c>
      <c r="C75" s="154"/>
      <c r="D75" s="154"/>
      <c r="E75" s="154"/>
      <c r="F75" s="154"/>
      <c r="G75" s="154"/>
      <c r="H75" s="24"/>
      <c r="I75" s="5"/>
    </row>
    <row r="76" spans="1:21">
      <c r="A76" s="10"/>
      <c r="B76" s="10"/>
      <c r="C76" s="10"/>
      <c r="D76" s="10"/>
      <c r="E76" s="10"/>
      <c r="F76" s="10"/>
      <c r="G76" s="10"/>
      <c r="H76" s="10"/>
      <c r="I76" s="10"/>
    </row>
    <row r="77" spans="1:21" ht="15.75" customHeight="1">
      <c r="A77" s="141" t="s">
        <v>7</v>
      </c>
      <c r="B77" s="141"/>
      <c r="C77" s="141"/>
      <c r="D77" s="141"/>
      <c r="E77" s="141"/>
      <c r="F77" s="141"/>
      <c r="G77" s="141"/>
      <c r="H77" s="141"/>
      <c r="I77" s="141"/>
    </row>
    <row r="78" spans="1:21" ht="15.75">
      <c r="A78" s="141" t="s">
        <v>8</v>
      </c>
      <c r="B78" s="141"/>
      <c r="C78" s="141"/>
      <c r="D78" s="141"/>
      <c r="E78" s="141"/>
      <c r="F78" s="141"/>
      <c r="G78" s="141"/>
      <c r="H78" s="141"/>
      <c r="I78" s="141"/>
    </row>
    <row r="79" spans="1:21" ht="15.75">
      <c r="A79" s="142" t="s">
        <v>59</v>
      </c>
      <c r="B79" s="142"/>
      <c r="C79" s="142"/>
      <c r="D79" s="142"/>
      <c r="E79" s="142"/>
      <c r="F79" s="142"/>
      <c r="G79" s="142"/>
      <c r="H79" s="142"/>
      <c r="I79" s="142"/>
    </row>
    <row r="80" spans="1:21" ht="15.75" customHeight="1">
      <c r="A80" s="11"/>
    </row>
    <row r="81" spans="1:9" ht="15.75" customHeight="1">
      <c r="A81" s="152" t="s">
        <v>9</v>
      </c>
      <c r="B81" s="152"/>
      <c r="C81" s="152"/>
      <c r="D81" s="152"/>
      <c r="E81" s="152"/>
      <c r="F81" s="152"/>
      <c r="G81" s="152"/>
      <c r="H81" s="152"/>
      <c r="I81" s="152"/>
    </row>
    <row r="82" spans="1:9" ht="15.75" customHeight="1">
      <c r="A82" s="4"/>
    </row>
    <row r="83" spans="1:9" ht="15.75" customHeight="1">
      <c r="B83" s="55" t="s">
        <v>10</v>
      </c>
      <c r="C83" s="153" t="s">
        <v>217</v>
      </c>
      <c r="D83" s="153"/>
      <c r="E83" s="153"/>
      <c r="F83" s="61"/>
      <c r="I83" s="53"/>
    </row>
    <row r="84" spans="1:9" ht="15.75" customHeight="1">
      <c r="A84" s="54"/>
      <c r="C84" s="154" t="s">
        <v>11</v>
      </c>
      <c r="D84" s="154"/>
      <c r="E84" s="154"/>
      <c r="F84" s="24"/>
      <c r="I84" s="52" t="s">
        <v>12</v>
      </c>
    </row>
    <row r="85" spans="1:9" ht="15.75" customHeight="1">
      <c r="A85" s="25"/>
      <c r="C85" s="12"/>
      <c r="D85" s="12"/>
      <c r="G85" s="12"/>
      <c r="H85" s="12"/>
    </row>
    <row r="86" spans="1:9" ht="15.75" customHeight="1">
      <c r="B86" s="55" t="s">
        <v>13</v>
      </c>
      <c r="C86" s="155"/>
      <c r="D86" s="155"/>
      <c r="E86" s="155"/>
      <c r="F86" s="62"/>
      <c r="I86" s="53"/>
    </row>
    <row r="87" spans="1:9" ht="15.75" customHeight="1">
      <c r="A87" s="54"/>
      <c r="C87" s="144" t="s">
        <v>11</v>
      </c>
      <c r="D87" s="144"/>
      <c r="E87" s="144"/>
      <c r="F87" s="54"/>
      <c r="I87" s="52" t="s">
        <v>12</v>
      </c>
    </row>
    <row r="88" spans="1:9" ht="15.75" customHeight="1">
      <c r="A88" s="4" t="s">
        <v>14</v>
      </c>
    </row>
    <row r="89" spans="1:9">
      <c r="A89" s="156" t="s">
        <v>15</v>
      </c>
      <c r="B89" s="156"/>
      <c r="C89" s="156"/>
      <c r="D89" s="156"/>
      <c r="E89" s="156"/>
      <c r="F89" s="156"/>
      <c r="G89" s="156"/>
      <c r="H89" s="156"/>
      <c r="I89" s="156"/>
    </row>
    <row r="90" spans="1:9" ht="45" customHeight="1">
      <c r="A90" s="151" t="s">
        <v>16</v>
      </c>
      <c r="B90" s="151"/>
      <c r="C90" s="151"/>
      <c r="D90" s="151"/>
      <c r="E90" s="151"/>
      <c r="F90" s="151"/>
      <c r="G90" s="151"/>
      <c r="H90" s="151"/>
      <c r="I90" s="151"/>
    </row>
    <row r="91" spans="1:9" ht="30" customHeight="1">
      <c r="A91" s="151" t="s">
        <v>17</v>
      </c>
      <c r="B91" s="151"/>
      <c r="C91" s="151"/>
      <c r="D91" s="151"/>
      <c r="E91" s="151"/>
      <c r="F91" s="151"/>
      <c r="G91" s="151"/>
      <c r="H91" s="151"/>
      <c r="I91" s="151"/>
    </row>
    <row r="92" spans="1:9" ht="30" customHeight="1">
      <c r="A92" s="151" t="s">
        <v>21</v>
      </c>
      <c r="B92" s="151"/>
      <c r="C92" s="151"/>
      <c r="D92" s="151"/>
      <c r="E92" s="151"/>
      <c r="F92" s="151"/>
      <c r="G92" s="151"/>
      <c r="H92" s="151"/>
      <c r="I92" s="151"/>
    </row>
    <row r="93" spans="1:9" ht="15" customHeight="1">
      <c r="A93" s="151" t="s">
        <v>20</v>
      </c>
      <c r="B93" s="151"/>
      <c r="C93" s="151"/>
      <c r="D93" s="151"/>
      <c r="E93" s="151"/>
      <c r="F93" s="151"/>
      <c r="G93" s="151"/>
      <c r="H93" s="151"/>
      <c r="I93" s="151"/>
    </row>
  </sheetData>
  <autoFilter ref="I12:I57"/>
  <mergeCells count="29">
    <mergeCell ref="A90:I90"/>
    <mergeCell ref="A91:I91"/>
    <mergeCell ref="A92:I92"/>
    <mergeCell ref="A93:I93"/>
    <mergeCell ref="A81:I81"/>
    <mergeCell ref="C83:E83"/>
    <mergeCell ref="C84:E84"/>
    <mergeCell ref="C86:E86"/>
    <mergeCell ref="C87:E87"/>
    <mergeCell ref="A89:I89"/>
    <mergeCell ref="A79:I79"/>
    <mergeCell ref="A15:I15"/>
    <mergeCell ref="A17:I17"/>
    <mergeCell ref="A31:I31"/>
    <mergeCell ref="A38:I38"/>
    <mergeCell ref="A61:I61"/>
    <mergeCell ref="A73:I73"/>
    <mergeCell ref="B74:G74"/>
    <mergeCell ref="B75:G75"/>
    <mergeCell ref="A77:I77"/>
    <mergeCell ref="A78:I78"/>
    <mergeCell ref="A65:I65"/>
    <mergeCell ref="R62:U6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96"/>
  <sheetViews>
    <sheetView topLeftCell="A72" workbookViewId="0">
      <selection activeCell="L71" sqref="L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570312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142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218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92"/>
      <c r="C6" s="92"/>
      <c r="D6" s="92"/>
      <c r="E6" s="92"/>
      <c r="F6" s="92"/>
      <c r="G6" s="92"/>
      <c r="H6" s="92"/>
      <c r="I6" s="30">
        <v>44165</v>
      </c>
      <c r="J6" s="2"/>
      <c r="K6" s="2"/>
      <c r="L6" s="2"/>
      <c r="M6" s="2"/>
    </row>
    <row r="7" spans="1:13" ht="15.75" customHeight="1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219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hidden="1" customHeight="1">
      <c r="A17" s="29">
        <v>2</v>
      </c>
      <c r="B17" s="70" t="s">
        <v>23</v>
      </c>
      <c r="C17" s="65" t="s">
        <v>24</v>
      </c>
      <c r="D17" s="64"/>
      <c r="E17" s="69">
        <v>737</v>
      </c>
      <c r="F17" s="66">
        <f>SUM(E17*12)</f>
        <v>8844</v>
      </c>
      <c r="G17" s="66">
        <v>6.76</v>
      </c>
      <c r="H17" s="67">
        <f>SUM(F17*G17/1000)</f>
        <v>59.785439999999994</v>
      </c>
      <c r="I17" s="13">
        <f>F17/12*G17</f>
        <v>4982.12</v>
      </c>
      <c r="J17" s="22"/>
      <c r="K17" s="8"/>
      <c r="L17" s="8"/>
      <c r="M17" s="8"/>
    </row>
    <row r="18" spans="1:13" ht="15.75" customHeight="1">
      <c r="A18" s="145" t="s">
        <v>84</v>
      </c>
      <c r="B18" s="146"/>
      <c r="C18" s="146"/>
      <c r="D18" s="146"/>
      <c r="E18" s="146"/>
      <c r="F18" s="146"/>
      <c r="G18" s="146"/>
      <c r="H18" s="146"/>
      <c r="I18" s="147"/>
      <c r="J18" s="22"/>
      <c r="K18" s="8"/>
      <c r="L18" s="8"/>
      <c r="M18" s="8"/>
    </row>
    <row r="19" spans="1:13" ht="15.75" hidden="1" customHeight="1">
      <c r="A19" s="29"/>
      <c r="B19" s="88" t="s">
        <v>27</v>
      </c>
      <c r="C19" s="65"/>
      <c r="D19" s="70"/>
      <c r="E19" s="69"/>
      <c r="F19" s="66"/>
      <c r="G19" s="66"/>
      <c r="H19" s="67"/>
      <c r="I19" s="13"/>
      <c r="J19" s="22"/>
      <c r="K19" s="8"/>
      <c r="L19" s="8"/>
      <c r="M19" s="8"/>
    </row>
    <row r="20" spans="1:13" ht="15.75" hidden="1" customHeight="1">
      <c r="A20" s="29">
        <v>3</v>
      </c>
      <c r="B20" s="64" t="s">
        <v>92</v>
      </c>
      <c r="C20" s="65" t="s">
        <v>93</v>
      </c>
      <c r="D20" s="64" t="s">
        <v>139</v>
      </c>
      <c r="E20" s="66">
        <v>783.5</v>
      </c>
      <c r="F20" s="66">
        <f>SUM(E20*52/1000)</f>
        <v>40.741999999999997</v>
      </c>
      <c r="G20" s="66">
        <v>155.88999999999999</v>
      </c>
      <c r="H20" s="67">
        <f t="shared" ref="H20:H25" si="0">SUM(F20*G20/1000)</f>
        <v>6.351270379999999</v>
      </c>
      <c r="I20" s="13">
        <f t="shared" ref="I20:I23" si="1">F20/6*G20</f>
        <v>1058.5450633333332</v>
      </c>
      <c r="J20" s="8"/>
      <c r="K20" s="8"/>
      <c r="L20" s="8"/>
      <c r="M20" s="8"/>
    </row>
    <row r="21" spans="1:13" ht="31.5" hidden="1" customHeight="1">
      <c r="A21" s="29">
        <v>4</v>
      </c>
      <c r="B21" s="64" t="s">
        <v>123</v>
      </c>
      <c r="C21" s="65" t="s">
        <v>93</v>
      </c>
      <c r="D21" s="64" t="s">
        <v>140</v>
      </c>
      <c r="E21" s="66">
        <v>171.9</v>
      </c>
      <c r="F21" s="66">
        <f>SUM(E21*78/1000)</f>
        <v>13.408200000000001</v>
      </c>
      <c r="G21" s="66">
        <v>258.63</v>
      </c>
      <c r="H21" s="67">
        <f t="shared" si="0"/>
        <v>3.4677627660000003</v>
      </c>
      <c r="I21" s="13">
        <f t="shared" si="1"/>
        <v>577.96046100000001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26</v>
      </c>
      <c r="C22" s="65" t="s">
        <v>93</v>
      </c>
      <c r="D22" s="64" t="s">
        <v>52</v>
      </c>
      <c r="E22" s="66">
        <v>783.5</v>
      </c>
      <c r="F22" s="66">
        <f>SUM(E22/1000)</f>
        <v>0.78349999999999997</v>
      </c>
      <c r="G22" s="66">
        <v>3020.33</v>
      </c>
      <c r="H22" s="67">
        <f t="shared" si="0"/>
        <v>2.3664285550000002</v>
      </c>
      <c r="I22" s="13">
        <f>F22*G22</f>
        <v>2366.428555</v>
      </c>
      <c r="J22" s="22"/>
      <c r="K22" s="8"/>
      <c r="L22" s="8"/>
      <c r="M22" s="8"/>
    </row>
    <row r="23" spans="1:13" ht="15.75" hidden="1" customHeight="1">
      <c r="A23" s="29">
        <v>5</v>
      </c>
      <c r="B23" s="64" t="s">
        <v>94</v>
      </c>
      <c r="C23" s="65" t="s">
        <v>29</v>
      </c>
      <c r="D23" s="64" t="s">
        <v>61</v>
      </c>
      <c r="E23" s="68">
        <v>0.33333333333333331</v>
      </c>
      <c r="F23" s="66">
        <f>155/3</f>
        <v>51.666666666666664</v>
      </c>
      <c r="G23" s="66">
        <v>56.69</v>
      </c>
      <c r="H23" s="67">
        <f>SUM(G23*155/3/1000)</f>
        <v>2.9289833333333331</v>
      </c>
      <c r="I23" s="13">
        <f t="shared" si="1"/>
        <v>488.16388888888883</v>
      </c>
      <c r="J23" s="22"/>
      <c r="K23" s="8"/>
      <c r="L23" s="8"/>
      <c r="M23" s="8"/>
    </row>
    <row r="24" spans="1:13" ht="15.75" hidden="1" customHeight="1">
      <c r="A24" s="29"/>
      <c r="B24" s="64" t="s">
        <v>62</v>
      </c>
      <c r="C24" s="65" t="s">
        <v>31</v>
      </c>
      <c r="D24" s="64" t="s">
        <v>64</v>
      </c>
      <c r="E24" s="69"/>
      <c r="F24" s="66">
        <v>2</v>
      </c>
      <c r="G24" s="66">
        <v>191.32</v>
      </c>
      <c r="H24" s="67">
        <f t="shared" si="0"/>
        <v>0.38263999999999998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4" t="s">
        <v>63</v>
      </c>
      <c r="C25" s="65" t="s">
        <v>30</v>
      </c>
      <c r="D25" s="64" t="s">
        <v>64</v>
      </c>
      <c r="E25" s="69"/>
      <c r="F25" s="66">
        <v>2</v>
      </c>
      <c r="G25" s="66">
        <v>1136.33</v>
      </c>
      <c r="H25" s="67">
        <f t="shared" si="0"/>
        <v>2.2726599999999997</v>
      </c>
      <c r="I25" s="13">
        <v>0</v>
      </c>
      <c r="J25" s="22"/>
      <c r="K25" s="8"/>
      <c r="L25" s="8"/>
      <c r="M25" s="8"/>
    </row>
    <row r="26" spans="1:13" ht="15.75" customHeight="1">
      <c r="A26" s="29"/>
      <c r="B26" s="88" t="s">
        <v>5</v>
      </c>
      <c r="C26" s="65"/>
      <c r="D26" s="64"/>
      <c r="E26" s="69"/>
      <c r="F26" s="66"/>
      <c r="G26" s="66"/>
      <c r="H26" s="67" t="s">
        <v>110</v>
      </c>
      <c r="I26" s="72"/>
      <c r="J26" s="22"/>
      <c r="K26" s="8"/>
      <c r="L26" s="8"/>
      <c r="M26" s="8"/>
    </row>
    <row r="27" spans="1:13" ht="15.75" hidden="1" customHeight="1">
      <c r="A27" s="29">
        <v>2</v>
      </c>
      <c r="B27" s="64" t="s">
        <v>25</v>
      </c>
      <c r="C27" s="65" t="s">
        <v>30</v>
      </c>
      <c r="D27" s="64"/>
      <c r="E27" s="69"/>
      <c r="F27" s="66">
        <v>3</v>
      </c>
      <c r="G27" s="66">
        <v>1527.22</v>
      </c>
      <c r="H27" s="67">
        <f t="shared" ref="H27:H32" si="2">SUM(F27*G27/1000)</f>
        <v>4.5816600000000003</v>
      </c>
      <c r="I27" s="13">
        <f>G27*0.5</f>
        <v>763.61</v>
      </c>
      <c r="J27" s="22"/>
      <c r="K27" s="8"/>
      <c r="L27" s="8"/>
      <c r="M27" s="8"/>
    </row>
    <row r="28" spans="1:13" ht="15.75" customHeight="1">
      <c r="A28" s="29">
        <v>2</v>
      </c>
      <c r="B28" s="64" t="s">
        <v>65</v>
      </c>
      <c r="C28" s="65" t="s">
        <v>28</v>
      </c>
      <c r="D28" s="64" t="s">
        <v>152</v>
      </c>
      <c r="E28" s="66">
        <v>171.9</v>
      </c>
      <c r="F28" s="66">
        <f>SUM(E28*18/1000)</f>
        <v>3.0942000000000003</v>
      </c>
      <c r="G28" s="66">
        <v>2102.71</v>
      </c>
      <c r="H28" s="67">
        <f t="shared" si="2"/>
        <v>6.5062052820000007</v>
      </c>
      <c r="I28" s="13">
        <f t="shared" ref="I28:I30" si="3">F28/6*G28</f>
        <v>1084.3675470000001</v>
      </c>
      <c r="J28" s="22"/>
      <c r="K28" s="8"/>
      <c r="L28" s="8"/>
      <c r="M28" s="8"/>
    </row>
    <row r="29" spans="1:13" ht="15.75" customHeight="1">
      <c r="A29" s="29">
        <v>3</v>
      </c>
      <c r="B29" s="64" t="s">
        <v>67</v>
      </c>
      <c r="C29" s="65" t="s">
        <v>28</v>
      </c>
      <c r="D29" s="64" t="s">
        <v>153</v>
      </c>
      <c r="E29" s="66">
        <v>48</v>
      </c>
      <c r="F29" s="66">
        <f>SUM(E29*70/1000)</f>
        <v>3.36</v>
      </c>
      <c r="G29" s="66">
        <v>350.75</v>
      </c>
      <c r="H29" s="67">
        <f t="shared" si="2"/>
        <v>1.17852</v>
      </c>
      <c r="I29" s="13">
        <f t="shared" si="3"/>
        <v>196.42</v>
      </c>
      <c r="J29" s="22"/>
      <c r="K29" s="8"/>
      <c r="L29" s="8"/>
      <c r="M29" s="8"/>
    </row>
    <row r="30" spans="1:13" ht="47.25" customHeight="1">
      <c r="A30" s="29">
        <v>4</v>
      </c>
      <c r="B30" s="64" t="s">
        <v>83</v>
      </c>
      <c r="C30" s="65" t="s">
        <v>93</v>
      </c>
      <c r="D30" s="64" t="s">
        <v>153</v>
      </c>
      <c r="E30" s="66">
        <v>18</v>
      </c>
      <c r="F30" s="66">
        <f>SUM(E30*70/1000)</f>
        <v>1.26</v>
      </c>
      <c r="G30" s="66">
        <v>5803.28</v>
      </c>
      <c r="H30" s="67">
        <f t="shared" si="2"/>
        <v>7.3121327999999997</v>
      </c>
      <c r="I30" s="13">
        <f t="shared" si="3"/>
        <v>1218.6887999999999</v>
      </c>
      <c r="J30" s="22"/>
      <c r="K30" s="8"/>
      <c r="L30" s="8"/>
      <c r="M30" s="8"/>
    </row>
    <row r="31" spans="1:13" ht="15.75" customHeight="1">
      <c r="A31" s="29">
        <v>5</v>
      </c>
      <c r="B31" s="64" t="s">
        <v>95</v>
      </c>
      <c r="C31" s="65" t="s">
        <v>93</v>
      </c>
      <c r="D31" s="64" t="s">
        <v>220</v>
      </c>
      <c r="E31" s="66">
        <v>48</v>
      </c>
      <c r="F31" s="66">
        <f>SUM(E31*45/1000)</f>
        <v>2.16</v>
      </c>
      <c r="G31" s="66">
        <v>428.7</v>
      </c>
      <c r="H31" s="67">
        <f t="shared" si="2"/>
        <v>0.92599200000000004</v>
      </c>
      <c r="I31" s="13">
        <f>G31*F31/45*2</f>
        <v>41.155200000000001</v>
      </c>
      <c r="J31" s="22"/>
      <c r="K31" s="8"/>
      <c r="L31" s="8"/>
      <c r="M31" s="8"/>
    </row>
    <row r="32" spans="1:13" ht="15.75" customHeight="1">
      <c r="A32" s="29">
        <v>6</v>
      </c>
      <c r="B32" s="64" t="s">
        <v>70</v>
      </c>
      <c r="C32" s="65" t="s">
        <v>31</v>
      </c>
      <c r="D32" s="64"/>
      <c r="E32" s="69"/>
      <c r="F32" s="66">
        <v>0.2</v>
      </c>
      <c r="G32" s="66">
        <v>798</v>
      </c>
      <c r="H32" s="67">
        <f t="shared" si="2"/>
        <v>0.15960000000000002</v>
      </c>
      <c r="I32" s="13">
        <f>G32*F32/45*2</f>
        <v>7.0933333333333346</v>
      </c>
      <c r="J32" s="22"/>
      <c r="K32" s="8"/>
      <c r="L32" s="8"/>
      <c r="M32" s="8"/>
    </row>
    <row r="33" spans="1:14" ht="15.75" customHeight="1">
      <c r="A33" s="145" t="s">
        <v>113</v>
      </c>
      <c r="B33" s="146"/>
      <c r="C33" s="146"/>
      <c r="D33" s="146"/>
      <c r="E33" s="146"/>
      <c r="F33" s="146"/>
      <c r="G33" s="146"/>
      <c r="H33" s="146"/>
      <c r="I33" s="147"/>
      <c r="J33" s="23"/>
    </row>
    <row r="34" spans="1:14" ht="15.75" hidden="1" customHeight="1">
      <c r="A34" s="29"/>
      <c r="B34" s="64" t="s">
        <v>96</v>
      </c>
      <c r="C34" s="65" t="s">
        <v>93</v>
      </c>
      <c r="D34" s="64" t="s">
        <v>40</v>
      </c>
      <c r="E34" s="69">
        <v>578.5</v>
      </c>
      <c r="F34" s="66">
        <f>SUM(E34*2/1000)</f>
        <v>1.157</v>
      </c>
      <c r="G34" s="13">
        <v>809.74</v>
      </c>
      <c r="H34" s="67">
        <f t="shared" ref="H34:H42" si="4">SUM(F34*G34/1000)</f>
        <v>0.93686918000000008</v>
      </c>
      <c r="I34" s="13">
        <v>0</v>
      </c>
      <c r="J34" s="23"/>
    </row>
    <row r="35" spans="1:14" ht="15.75" hidden="1" customHeight="1">
      <c r="A35" s="29"/>
      <c r="B35" s="64" t="s">
        <v>34</v>
      </c>
      <c r="C35" s="65" t="s">
        <v>93</v>
      </c>
      <c r="D35" s="64" t="s">
        <v>40</v>
      </c>
      <c r="E35" s="69">
        <v>21</v>
      </c>
      <c r="F35" s="66">
        <f>SUM(E35*2/1000)</f>
        <v>4.2000000000000003E-2</v>
      </c>
      <c r="G35" s="13">
        <v>579.48</v>
      </c>
      <c r="H35" s="67">
        <f t="shared" si="4"/>
        <v>2.4338160000000001E-2</v>
      </c>
      <c r="I35" s="13">
        <v>0</v>
      </c>
      <c r="J35" s="23"/>
    </row>
    <row r="36" spans="1:14" ht="15.75" hidden="1" customHeight="1">
      <c r="A36" s="29"/>
      <c r="B36" s="64" t="s">
        <v>35</v>
      </c>
      <c r="C36" s="65" t="s">
        <v>93</v>
      </c>
      <c r="D36" s="64" t="s">
        <v>40</v>
      </c>
      <c r="E36" s="69">
        <v>737</v>
      </c>
      <c r="F36" s="66">
        <f>SUM(E36*2/1000)</f>
        <v>1.474</v>
      </c>
      <c r="G36" s="13">
        <v>579.48</v>
      </c>
      <c r="H36" s="67">
        <f t="shared" si="4"/>
        <v>0.85415352</v>
      </c>
      <c r="I36" s="13">
        <v>0</v>
      </c>
      <c r="J36" s="23"/>
    </row>
    <row r="37" spans="1:14" ht="15.75" hidden="1" customHeight="1">
      <c r="A37" s="29"/>
      <c r="B37" s="64" t="s">
        <v>32</v>
      </c>
      <c r="C37" s="65" t="s">
        <v>33</v>
      </c>
      <c r="D37" s="64" t="s">
        <v>40</v>
      </c>
      <c r="E37" s="69">
        <v>59.75</v>
      </c>
      <c r="F37" s="66">
        <f>SUM(E37*2/100)</f>
        <v>1.1950000000000001</v>
      </c>
      <c r="G37" s="13">
        <v>72.81</v>
      </c>
      <c r="H37" s="67">
        <f t="shared" si="4"/>
        <v>8.7007950000000014E-2</v>
      </c>
      <c r="I37" s="13">
        <v>0</v>
      </c>
      <c r="J37" s="23"/>
    </row>
    <row r="38" spans="1:14" ht="15.75" hidden="1" customHeight="1">
      <c r="A38" s="29">
        <v>9</v>
      </c>
      <c r="B38" s="64" t="s">
        <v>54</v>
      </c>
      <c r="C38" s="65" t="s">
        <v>93</v>
      </c>
      <c r="D38" s="64" t="s">
        <v>124</v>
      </c>
      <c r="E38" s="69">
        <v>479.7</v>
      </c>
      <c r="F38" s="66">
        <f>SUM(E38*5/1000)</f>
        <v>2.3984999999999999</v>
      </c>
      <c r="G38" s="13">
        <v>1213.55</v>
      </c>
      <c r="H38" s="67">
        <f t="shared" si="4"/>
        <v>2.910699675</v>
      </c>
      <c r="I38" s="13">
        <f>F38/5*G38</f>
        <v>582.13993499999992</v>
      </c>
      <c r="J38" s="23"/>
    </row>
    <row r="39" spans="1:14" ht="31.5" hidden="1" customHeight="1">
      <c r="A39" s="29"/>
      <c r="B39" s="64" t="s">
        <v>97</v>
      </c>
      <c r="C39" s="65" t="s">
        <v>93</v>
      </c>
      <c r="D39" s="64" t="s">
        <v>40</v>
      </c>
      <c r="E39" s="69">
        <v>479.7</v>
      </c>
      <c r="F39" s="66">
        <f>SUM(E39*2/1000)</f>
        <v>0.95940000000000003</v>
      </c>
      <c r="G39" s="13">
        <v>1213.55</v>
      </c>
      <c r="H39" s="67">
        <f t="shared" si="4"/>
        <v>1.1642798700000001</v>
      </c>
      <c r="I39" s="13">
        <v>0</v>
      </c>
      <c r="J39" s="23"/>
    </row>
    <row r="40" spans="1:14" ht="31.5" hidden="1" customHeight="1">
      <c r="A40" s="29"/>
      <c r="B40" s="64" t="s">
        <v>98</v>
      </c>
      <c r="C40" s="65" t="s">
        <v>36</v>
      </c>
      <c r="D40" s="64" t="s">
        <v>40</v>
      </c>
      <c r="E40" s="69">
        <v>4</v>
      </c>
      <c r="F40" s="66">
        <f>SUM(E40*2/100)</f>
        <v>0.08</v>
      </c>
      <c r="G40" s="13">
        <v>2730.49</v>
      </c>
      <c r="H40" s="67">
        <f t="shared" si="4"/>
        <v>0.2184392</v>
      </c>
      <c r="I40" s="13">
        <v>0</v>
      </c>
      <c r="J40" s="23"/>
      <c r="L40" s="19"/>
      <c r="M40" s="20"/>
      <c r="N40" s="21"/>
    </row>
    <row r="41" spans="1:14" ht="15.75" hidden="1" customHeight="1">
      <c r="A41" s="29"/>
      <c r="B41" s="64" t="s">
        <v>37</v>
      </c>
      <c r="C41" s="65" t="s">
        <v>38</v>
      </c>
      <c r="D41" s="64" t="s">
        <v>40</v>
      </c>
      <c r="E41" s="69">
        <v>1</v>
      </c>
      <c r="F41" s="66">
        <v>0.02</v>
      </c>
      <c r="G41" s="13">
        <v>5652.13</v>
      </c>
      <c r="H41" s="67">
        <f t="shared" si="4"/>
        <v>0.11304260000000001</v>
      </c>
      <c r="I41" s="13">
        <v>0</v>
      </c>
      <c r="J41" s="23"/>
      <c r="L41" s="19"/>
      <c r="M41" s="20"/>
      <c r="N41" s="21"/>
    </row>
    <row r="42" spans="1:14" ht="15.75" customHeight="1">
      <c r="A42" s="29">
        <v>7</v>
      </c>
      <c r="B42" s="64" t="s">
        <v>39</v>
      </c>
      <c r="C42" s="65" t="s">
        <v>86</v>
      </c>
      <c r="D42" s="122">
        <v>44161</v>
      </c>
      <c r="E42" s="69">
        <v>24</v>
      </c>
      <c r="F42" s="66">
        <f>SUM(E42)*3</f>
        <v>72</v>
      </c>
      <c r="G42" s="13">
        <v>65.67</v>
      </c>
      <c r="H42" s="67">
        <f t="shared" si="4"/>
        <v>4.7282399999999996</v>
      </c>
      <c r="I42" s="13">
        <f>E42*G42</f>
        <v>1576.08</v>
      </c>
      <c r="J42" s="23"/>
      <c r="L42" s="19"/>
      <c r="M42" s="20"/>
      <c r="N42" s="21"/>
    </row>
    <row r="43" spans="1:14" ht="20.25" hidden="1" customHeight="1">
      <c r="A43" s="145" t="s">
        <v>127</v>
      </c>
      <c r="B43" s="146"/>
      <c r="C43" s="146"/>
      <c r="D43" s="146"/>
      <c r="E43" s="146"/>
      <c r="F43" s="146"/>
      <c r="G43" s="146"/>
      <c r="H43" s="146"/>
      <c r="I43" s="147"/>
      <c r="J43" s="23"/>
      <c r="L43" s="19"/>
      <c r="M43" s="20"/>
      <c r="N43" s="21"/>
    </row>
    <row r="44" spans="1:14" ht="24.75" hidden="1" customHeight="1">
      <c r="A44" s="29"/>
      <c r="B44" s="88" t="s">
        <v>41</v>
      </c>
      <c r="C44" s="65"/>
      <c r="D44" s="64"/>
      <c r="E44" s="69"/>
      <c r="F44" s="66"/>
      <c r="G44" s="66"/>
      <c r="H44" s="67"/>
      <c r="I44" s="72"/>
      <c r="J44" s="23"/>
      <c r="L44" s="19"/>
      <c r="M44" s="20"/>
      <c r="N44" s="21"/>
    </row>
    <row r="45" spans="1:14" ht="26.25" hidden="1" customHeight="1">
      <c r="A45" s="29">
        <v>9</v>
      </c>
      <c r="B45" s="64" t="s">
        <v>119</v>
      </c>
      <c r="C45" s="65" t="s">
        <v>89</v>
      </c>
      <c r="D45" s="64" t="s">
        <v>99</v>
      </c>
      <c r="E45" s="69">
        <v>57.85</v>
      </c>
      <c r="F45" s="66">
        <f>SUM(E45*6/100)</f>
        <v>3.4710000000000001</v>
      </c>
      <c r="G45" s="13">
        <v>1547.28</v>
      </c>
      <c r="H45" s="67">
        <f>SUM(F45*G45/1000)</f>
        <v>5.3706088799999998</v>
      </c>
      <c r="I45" s="13">
        <f>F45/6*G45</f>
        <v>895.10148000000004</v>
      </c>
      <c r="J45" s="23"/>
      <c r="L45" s="19"/>
      <c r="M45" s="20"/>
      <c r="N45" s="21"/>
    </row>
    <row r="46" spans="1:14" ht="30" hidden="1" customHeight="1">
      <c r="A46" s="29"/>
      <c r="B46" s="88" t="s">
        <v>42</v>
      </c>
      <c r="C46" s="65"/>
      <c r="D46" s="64"/>
      <c r="E46" s="69"/>
      <c r="F46" s="66"/>
      <c r="G46" s="59"/>
      <c r="H46" s="67"/>
      <c r="I46" s="72"/>
      <c r="J46" s="23"/>
      <c r="L46" s="19"/>
      <c r="M46" s="20"/>
      <c r="N46" s="21"/>
    </row>
    <row r="47" spans="1:14" ht="22.5" hidden="1" customHeight="1">
      <c r="A47" s="29"/>
      <c r="B47" s="64" t="s">
        <v>43</v>
      </c>
      <c r="C47" s="65" t="s">
        <v>89</v>
      </c>
      <c r="D47" s="64" t="s">
        <v>52</v>
      </c>
      <c r="E47" s="69">
        <v>479.7</v>
      </c>
      <c r="F47" s="67">
        <v>4.8</v>
      </c>
      <c r="G47" s="13">
        <v>793.61</v>
      </c>
      <c r="H47" s="73">
        <f>F47*G47/1000</f>
        <v>3.8093279999999998</v>
      </c>
      <c r="I47" s="13">
        <v>0</v>
      </c>
      <c r="J47" s="23"/>
      <c r="L47" s="19"/>
      <c r="M47" s="20"/>
      <c r="N47" s="21"/>
    </row>
    <row r="48" spans="1:14" ht="24.75" hidden="1" customHeight="1">
      <c r="A48" s="29"/>
      <c r="B48" s="88" t="s">
        <v>100</v>
      </c>
      <c r="C48" s="65"/>
      <c r="D48" s="64"/>
      <c r="E48" s="69"/>
      <c r="F48" s="66"/>
      <c r="G48" s="74"/>
      <c r="H48" s="67" t="s">
        <v>110</v>
      </c>
      <c r="I48" s="72"/>
      <c r="J48" s="23"/>
      <c r="L48" s="19"/>
      <c r="M48" s="20"/>
      <c r="N48" s="21"/>
    </row>
    <row r="49" spans="1:22" ht="23.25" hidden="1" customHeight="1">
      <c r="A49" s="29"/>
      <c r="B49" s="64" t="s">
        <v>101</v>
      </c>
      <c r="C49" s="65" t="s">
        <v>86</v>
      </c>
      <c r="D49" s="64" t="s">
        <v>64</v>
      </c>
      <c r="E49" s="69">
        <v>3</v>
      </c>
      <c r="F49" s="66">
        <f>SUM(E49)</f>
        <v>3</v>
      </c>
      <c r="G49" s="75">
        <v>237.75</v>
      </c>
      <c r="H49" s="67">
        <f t="shared" ref="H49:H63" si="5">SUM(F49*G49/1000)</f>
        <v>0.71325000000000005</v>
      </c>
      <c r="I49" s="13">
        <v>0</v>
      </c>
      <c r="J49" s="23"/>
      <c r="L49" s="19"/>
      <c r="M49" s="20"/>
      <c r="N49" s="21"/>
    </row>
    <row r="50" spans="1:22" ht="18.75" hidden="1" customHeight="1">
      <c r="A50" s="29"/>
      <c r="B50" s="89" t="s">
        <v>44</v>
      </c>
      <c r="C50" s="76"/>
      <c r="D50" s="77"/>
      <c r="E50" s="78"/>
      <c r="F50" s="79"/>
      <c r="G50" s="79"/>
      <c r="H50" s="80" t="s">
        <v>110</v>
      </c>
      <c r="I50" s="72"/>
      <c r="J50" s="23"/>
      <c r="L50" s="19"/>
      <c r="M50" s="20"/>
      <c r="N50" s="21"/>
    </row>
    <row r="51" spans="1:22" ht="19.5" hidden="1" customHeight="1">
      <c r="A51" s="29">
        <v>8</v>
      </c>
      <c r="B51" s="14" t="s">
        <v>45</v>
      </c>
      <c r="C51" s="16" t="s">
        <v>86</v>
      </c>
      <c r="D51" s="64" t="s">
        <v>64</v>
      </c>
      <c r="E51" s="18">
        <v>5</v>
      </c>
      <c r="F51" s="66">
        <v>5</v>
      </c>
      <c r="G51" s="13">
        <v>222.4</v>
      </c>
      <c r="H51" s="81">
        <f t="shared" si="5"/>
        <v>1.1120000000000001</v>
      </c>
      <c r="I51" s="13">
        <f>G51</f>
        <v>222.4</v>
      </c>
      <c r="J51" s="23"/>
      <c r="L51" s="19"/>
      <c r="M51" s="20"/>
      <c r="N51" s="21"/>
    </row>
    <row r="52" spans="1:22" ht="27.75" hidden="1" customHeight="1">
      <c r="A52" s="29"/>
      <c r="B52" s="14" t="s">
        <v>46</v>
      </c>
      <c r="C52" s="16" t="s">
        <v>86</v>
      </c>
      <c r="D52" s="64" t="s">
        <v>64</v>
      </c>
      <c r="E52" s="18">
        <v>3</v>
      </c>
      <c r="F52" s="66">
        <v>3</v>
      </c>
      <c r="G52" s="13">
        <v>76.25</v>
      </c>
      <c r="H52" s="81">
        <f t="shared" si="5"/>
        <v>0.22875000000000001</v>
      </c>
      <c r="I52" s="13">
        <v>0</v>
      </c>
      <c r="J52" s="23"/>
      <c r="L52" s="19"/>
      <c r="M52" s="20"/>
      <c r="N52" s="21"/>
    </row>
    <row r="53" spans="1:22" ht="24" hidden="1" customHeight="1">
      <c r="A53" s="29"/>
      <c r="B53" s="14" t="s">
        <v>47</v>
      </c>
      <c r="C53" s="16" t="s">
        <v>102</v>
      </c>
      <c r="D53" s="14" t="s">
        <v>52</v>
      </c>
      <c r="E53" s="69">
        <v>2753</v>
      </c>
      <c r="F53" s="13">
        <f>SUM(E53/100)</f>
        <v>27.53</v>
      </c>
      <c r="G53" s="13">
        <v>212.15</v>
      </c>
      <c r="H53" s="81">
        <f t="shared" si="5"/>
        <v>5.8404895000000003</v>
      </c>
      <c r="I53" s="13">
        <v>0</v>
      </c>
      <c r="J53" s="23"/>
      <c r="L53" s="19"/>
      <c r="M53" s="20"/>
      <c r="N53" s="21"/>
    </row>
    <row r="54" spans="1:22" ht="25.5" hidden="1" customHeight="1">
      <c r="A54" s="29"/>
      <c r="B54" s="14" t="s">
        <v>48</v>
      </c>
      <c r="C54" s="16" t="s">
        <v>103</v>
      </c>
      <c r="D54" s="14"/>
      <c r="E54" s="69">
        <v>2753</v>
      </c>
      <c r="F54" s="13">
        <f>SUM(E54/1000)</f>
        <v>2.7530000000000001</v>
      </c>
      <c r="G54" s="13">
        <v>165.21</v>
      </c>
      <c r="H54" s="81">
        <f t="shared" si="5"/>
        <v>0.45482313000000008</v>
      </c>
      <c r="I54" s="13">
        <v>0</v>
      </c>
      <c r="J54" s="23"/>
      <c r="L54" s="19"/>
      <c r="M54" s="20"/>
      <c r="N54" s="21"/>
    </row>
    <row r="55" spans="1:22" ht="25.5" hidden="1" customHeight="1">
      <c r="A55" s="29"/>
      <c r="B55" s="14" t="s">
        <v>49</v>
      </c>
      <c r="C55" s="16" t="s">
        <v>78</v>
      </c>
      <c r="D55" s="14" t="s">
        <v>52</v>
      </c>
      <c r="E55" s="69">
        <v>440</v>
      </c>
      <c r="F55" s="13">
        <f>SUM(E55/100)</f>
        <v>4.4000000000000004</v>
      </c>
      <c r="G55" s="13">
        <v>2074.63</v>
      </c>
      <c r="H55" s="81">
        <f t="shared" si="5"/>
        <v>9.1283720000000006</v>
      </c>
      <c r="I55" s="13">
        <v>0</v>
      </c>
      <c r="J55" s="23"/>
      <c r="L55" s="19"/>
      <c r="M55" s="20"/>
      <c r="N55" s="21"/>
    </row>
    <row r="56" spans="1:22" ht="27.75" hidden="1" customHeight="1">
      <c r="A56" s="29"/>
      <c r="B56" s="82" t="s">
        <v>72</v>
      </c>
      <c r="C56" s="16" t="s">
        <v>31</v>
      </c>
      <c r="D56" s="14"/>
      <c r="E56" s="69">
        <v>2.8</v>
      </c>
      <c r="F56" s="13">
        <f>SUM(E56)</f>
        <v>2.8</v>
      </c>
      <c r="G56" s="13">
        <v>45.32</v>
      </c>
      <c r="H56" s="81">
        <f t="shared" si="5"/>
        <v>0.12689599999999998</v>
      </c>
      <c r="I56" s="13">
        <v>0</v>
      </c>
      <c r="J56" s="23"/>
      <c r="L56" s="19"/>
      <c r="M56" s="20"/>
      <c r="N56" s="21"/>
    </row>
    <row r="57" spans="1:22" ht="22.5" hidden="1" customHeight="1">
      <c r="A57" s="29"/>
      <c r="B57" s="82" t="s">
        <v>73</v>
      </c>
      <c r="C57" s="16" t="s">
        <v>31</v>
      </c>
      <c r="D57" s="14"/>
      <c r="E57" s="69">
        <v>2.8</v>
      </c>
      <c r="F57" s="13">
        <f>SUM(E57)</f>
        <v>2.8</v>
      </c>
      <c r="G57" s="13">
        <v>42.28</v>
      </c>
      <c r="H57" s="81">
        <f t="shared" si="5"/>
        <v>0.118384</v>
      </c>
      <c r="I57" s="13">
        <v>0</v>
      </c>
      <c r="J57" s="23"/>
      <c r="L57" s="19"/>
      <c r="M57" s="20"/>
      <c r="N57" s="21"/>
    </row>
    <row r="58" spans="1:22" ht="23.25" hidden="1" customHeight="1">
      <c r="A58" s="29"/>
      <c r="B58" s="14" t="s">
        <v>55</v>
      </c>
      <c r="C58" s="16" t="s">
        <v>56</v>
      </c>
      <c r="D58" s="14" t="s">
        <v>52</v>
      </c>
      <c r="E58" s="18">
        <v>3</v>
      </c>
      <c r="F58" s="66">
        <f>SUM(E58)</f>
        <v>3</v>
      </c>
      <c r="G58" s="13">
        <v>49.88</v>
      </c>
      <c r="H58" s="81">
        <f t="shared" si="5"/>
        <v>0.14964000000000002</v>
      </c>
      <c r="I58" s="13">
        <v>0</v>
      </c>
      <c r="J58" s="23"/>
      <c r="L58" s="19"/>
      <c r="M58" s="20"/>
      <c r="N58" s="21"/>
    </row>
    <row r="59" spans="1:22" ht="24" hidden="1" customHeight="1">
      <c r="A59" s="29"/>
      <c r="B59" s="91" t="s">
        <v>74</v>
      </c>
      <c r="C59" s="16"/>
      <c r="D59" s="14"/>
      <c r="E59" s="18"/>
      <c r="F59" s="13"/>
      <c r="G59" s="13"/>
      <c r="H59" s="81" t="s">
        <v>110</v>
      </c>
      <c r="I59" s="72"/>
      <c r="J59" s="23"/>
      <c r="L59" s="19"/>
      <c r="M59" s="20"/>
      <c r="N59" s="21"/>
    </row>
    <row r="60" spans="1:22" ht="16.5" hidden="1" customHeight="1">
      <c r="A60" s="29">
        <v>8</v>
      </c>
      <c r="B60" s="14" t="s">
        <v>75</v>
      </c>
      <c r="C60" s="16" t="s">
        <v>76</v>
      </c>
      <c r="D60" s="14"/>
      <c r="E60" s="18">
        <v>15</v>
      </c>
      <c r="F60" s="13">
        <v>1.5</v>
      </c>
      <c r="G60" s="13">
        <v>501.62</v>
      </c>
      <c r="H60" s="81">
        <f t="shared" si="5"/>
        <v>0.75243000000000004</v>
      </c>
      <c r="I60" s="13">
        <f>G60*0.1</f>
        <v>50.162000000000006</v>
      </c>
      <c r="J60" s="23"/>
      <c r="L60" s="19"/>
    </row>
    <row r="61" spans="1:22" ht="29.25" hidden="1" customHeight="1">
      <c r="A61" s="29"/>
      <c r="B61" s="14" t="s">
        <v>106</v>
      </c>
      <c r="C61" s="16" t="s">
        <v>86</v>
      </c>
      <c r="D61" s="14"/>
      <c r="E61" s="18">
        <v>1</v>
      </c>
      <c r="F61" s="66">
        <f>SUM(E61)</f>
        <v>1</v>
      </c>
      <c r="G61" s="13">
        <v>358.51</v>
      </c>
      <c r="H61" s="81">
        <f t="shared" si="5"/>
        <v>0.35851</v>
      </c>
      <c r="I61" s="13">
        <v>0</v>
      </c>
    </row>
    <row r="62" spans="1:22" ht="29.25" hidden="1" customHeight="1">
      <c r="A62" s="29"/>
      <c r="B62" s="84" t="s">
        <v>77</v>
      </c>
      <c r="C62" s="16"/>
      <c r="D62" s="14"/>
      <c r="E62" s="18"/>
      <c r="F62" s="13"/>
      <c r="G62" s="13" t="s">
        <v>110</v>
      </c>
      <c r="H62" s="81" t="s">
        <v>110</v>
      </c>
      <c r="I62" s="72"/>
    </row>
    <row r="63" spans="1:22" ht="24.75" hidden="1" customHeight="1">
      <c r="A63" s="29"/>
      <c r="B63" s="42" t="s">
        <v>107</v>
      </c>
      <c r="C63" s="16" t="s">
        <v>78</v>
      </c>
      <c r="D63" s="14"/>
      <c r="E63" s="18"/>
      <c r="F63" s="13">
        <v>0.3</v>
      </c>
      <c r="G63" s="13">
        <v>2759.44</v>
      </c>
      <c r="H63" s="81">
        <f t="shared" si="5"/>
        <v>0.82783200000000001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23.25" hidden="1" customHeight="1">
      <c r="A64" s="29"/>
      <c r="B64" s="91" t="s">
        <v>104</v>
      </c>
      <c r="C64" s="84"/>
      <c r="D64" s="31"/>
      <c r="E64" s="32"/>
      <c r="F64" s="85"/>
      <c r="G64" s="85"/>
      <c r="H64" s="86">
        <f>SUM(H45:H63)</f>
        <v>28.991313509999998</v>
      </c>
      <c r="I64" s="71"/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8.75" hidden="1" customHeight="1">
      <c r="A65" s="29">
        <v>11</v>
      </c>
      <c r="B65" s="64" t="s">
        <v>105</v>
      </c>
      <c r="C65" s="16"/>
      <c r="D65" s="14"/>
      <c r="E65" s="60"/>
      <c r="F65" s="13">
        <v>1</v>
      </c>
      <c r="G65" s="13">
        <v>2285.1999999999998</v>
      </c>
      <c r="H65" s="81">
        <f>G65*F65/1000</f>
        <v>2.2851999999999997</v>
      </c>
      <c r="I65" s="13">
        <f>G65</f>
        <v>2285.1999999999998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145" t="s">
        <v>128</v>
      </c>
      <c r="B66" s="146"/>
      <c r="C66" s="146"/>
      <c r="D66" s="146"/>
      <c r="E66" s="146"/>
      <c r="F66" s="146"/>
      <c r="G66" s="146"/>
      <c r="H66" s="146"/>
      <c r="I66" s="147"/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customHeight="1">
      <c r="A67" s="29">
        <v>8</v>
      </c>
      <c r="B67" s="64" t="s">
        <v>108</v>
      </c>
      <c r="C67" s="16" t="s">
        <v>53</v>
      </c>
      <c r="D67" s="45"/>
      <c r="E67" s="13">
        <v>737</v>
      </c>
      <c r="F67" s="13">
        <f>SUM(E67*12)</f>
        <v>8844</v>
      </c>
      <c r="G67" s="13">
        <v>2.1</v>
      </c>
      <c r="H67" s="81">
        <f>SUM(F67*G67/1000)</f>
        <v>18.572400000000002</v>
      </c>
      <c r="I67" s="13">
        <f>F67/12*G67</f>
        <v>1547.7</v>
      </c>
      <c r="J67" s="5"/>
      <c r="K67" s="5"/>
      <c r="L67" s="5"/>
      <c r="M67" s="5"/>
      <c r="N67" s="5"/>
      <c r="O67" s="5"/>
      <c r="P67" s="5"/>
      <c r="Q67" s="5"/>
      <c r="R67" s="144"/>
      <c r="S67" s="144"/>
      <c r="T67" s="144"/>
      <c r="U67" s="144"/>
    </row>
    <row r="68" spans="1:21" ht="31.5" customHeight="1">
      <c r="A68" s="29">
        <v>9</v>
      </c>
      <c r="B68" s="14" t="s">
        <v>79</v>
      </c>
      <c r="C68" s="16"/>
      <c r="D68" s="45"/>
      <c r="E68" s="69">
        <f>E67</f>
        <v>737</v>
      </c>
      <c r="F68" s="13">
        <f>E68*12</f>
        <v>8844</v>
      </c>
      <c r="G68" s="13">
        <v>1.63</v>
      </c>
      <c r="H68" s="81">
        <f>F68*G68/1000</f>
        <v>14.415719999999999</v>
      </c>
      <c r="I68" s="13">
        <f>F68/12*G68</f>
        <v>1201.31</v>
      </c>
      <c r="J68" s="5"/>
      <c r="K68" s="5"/>
      <c r="L68" s="5"/>
      <c r="M68" s="5"/>
      <c r="N68" s="5"/>
      <c r="O68" s="5"/>
      <c r="P68" s="5"/>
      <c r="Q68" s="5"/>
      <c r="R68" s="94"/>
      <c r="S68" s="94"/>
      <c r="T68" s="94"/>
      <c r="U68" s="94"/>
    </row>
    <row r="69" spans="1:21" ht="15.75" customHeight="1">
      <c r="A69" s="29"/>
      <c r="B69" s="35" t="s">
        <v>81</v>
      </c>
      <c r="C69" s="84"/>
      <c r="D69" s="83"/>
      <c r="E69" s="85"/>
      <c r="F69" s="85"/>
      <c r="G69" s="85"/>
      <c r="H69" s="86">
        <f>SUM(H68)</f>
        <v>14.415719999999999</v>
      </c>
      <c r="I69" s="85">
        <f>I68+I67+I42+I32+I31+I30+I29+I28+I16</f>
        <v>7288.3109803333336</v>
      </c>
      <c r="J69" s="5"/>
      <c r="K69" s="5"/>
      <c r="L69" s="5"/>
      <c r="M69" s="5"/>
      <c r="N69" s="5"/>
      <c r="O69" s="5"/>
      <c r="P69" s="5"/>
      <c r="Q69" s="5"/>
      <c r="R69" s="94"/>
      <c r="S69" s="94"/>
      <c r="T69" s="94"/>
      <c r="U69" s="94"/>
    </row>
    <row r="70" spans="1:21" ht="15.75" customHeight="1">
      <c r="A70" s="148" t="s">
        <v>58</v>
      </c>
      <c r="B70" s="149"/>
      <c r="C70" s="149"/>
      <c r="D70" s="149"/>
      <c r="E70" s="149"/>
      <c r="F70" s="149"/>
      <c r="G70" s="149"/>
      <c r="H70" s="149"/>
      <c r="I70" s="150"/>
      <c r="J70" s="5"/>
      <c r="K70" s="5"/>
      <c r="L70" s="5"/>
      <c r="M70" s="5"/>
      <c r="N70" s="5"/>
      <c r="O70" s="5"/>
      <c r="P70" s="5"/>
      <c r="Q70" s="5"/>
      <c r="R70" s="94"/>
      <c r="S70" s="94"/>
      <c r="T70" s="94"/>
      <c r="U70" s="94"/>
    </row>
    <row r="71" spans="1:21" ht="16.5" customHeight="1">
      <c r="A71" s="29">
        <v>10</v>
      </c>
      <c r="B71" s="101" t="s">
        <v>144</v>
      </c>
      <c r="C71" s="16" t="s">
        <v>145</v>
      </c>
      <c r="D71" s="42"/>
      <c r="E71" s="13"/>
      <c r="F71" s="13">
        <v>200</v>
      </c>
      <c r="G71" s="13">
        <v>1.4</v>
      </c>
      <c r="H71" s="81">
        <f>SUM(F71*G71/1000)</f>
        <v>0.28000000000000003</v>
      </c>
      <c r="I71" s="13">
        <f>G71*100</f>
        <v>140</v>
      </c>
      <c r="J71" s="5"/>
      <c r="K71" s="5"/>
      <c r="L71" s="5"/>
      <c r="M71" s="5"/>
      <c r="N71" s="5"/>
      <c r="O71" s="5"/>
      <c r="P71" s="5"/>
      <c r="Q71" s="5"/>
      <c r="R71" s="94"/>
      <c r="S71" s="94"/>
      <c r="T71" s="94"/>
      <c r="U71" s="94"/>
    </row>
    <row r="72" spans="1:21" ht="33" customHeight="1">
      <c r="A72" s="29">
        <v>11</v>
      </c>
      <c r="B72" s="50" t="s">
        <v>149</v>
      </c>
      <c r="C72" s="51" t="s">
        <v>28</v>
      </c>
      <c r="D72" s="104"/>
      <c r="E72" s="34"/>
      <c r="F72" s="34"/>
      <c r="G72" s="111">
        <v>20547.34</v>
      </c>
      <c r="H72" s="98"/>
      <c r="I72" s="13">
        <f>G72*0.599*10/1000</f>
        <v>123.07856659999999</v>
      </c>
      <c r="J72" s="5"/>
      <c r="K72" s="5"/>
      <c r="L72" s="5"/>
      <c r="M72" s="5"/>
      <c r="N72" s="5"/>
      <c r="O72" s="5"/>
      <c r="P72" s="5"/>
      <c r="Q72" s="5"/>
      <c r="R72" s="123"/>
      <c r="S72" s="123"/>
      <c r="T72" s="123"/>
      <c r="U72" s="123"/>
    </row>
    <row r="73" spans="1:21" ht="15.75" customHeight="1">
      <c r="A73" s="29"/>
      <c r="B73" s="40" t="s">
        <v>50</v>
      </c>
      <c r="C73" s="36"/>
      <c r="D73" s="43"/>
      <c r="E73" s="36">
        <v>1</v>
      </c>
      <c r="F73" s="36"/>
      <c r="G73" s="36"/>
      <c r="H73" s="36"/>
      <c r="I73" s="32">
        <f>SUM(I71:I72)</f>
        <v>263.07856659999999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29"/>
      <c r="B74" s="42" t="s">
        <v>80</v>
      </c>
      <c r="C74" s="15"/>
      <c r="D74" s="15"/>
      <c r="E74" s="37"/>
      <c r="F74" s="37"/>
      <c r="G74" s="38"/>
      <c r="H74" s="38"/>
      <c r="I74" s="17">
        <v>0</v>
      </c>
    </row>
    <row r="75" spans="1:21" ht="15.75" customHeight="1">
      <c r="A75" s="44"/>
      <c r="B75" s="41" t="s">
        <v>51</v>
      </c>
      <c r="C75" s="33"/>
      <c r="D75" s="33"/>
      <c r="E75" s="33"/>
      <c r="F75" s="33"/>
      <c r="G75" s="33"/>
      <c r="H75" s="33"/>
      <c r="I75" s="39">
        <f>I69+I73</f>
        <v>7551.3895469333338</v>
      </c>
    </row>
    <row r="76" spans="1:21" ht="15.75" customHeight="1">
      <c r="A76" s="157" t="s">
        <v>221</v>
      </c>
      <c r="B76" s="157"/>
      <c r="C76" s="157"/>
      <c r="D76" s="157"/>
      <c r="E76" s="157"/>
      <c r="F76" s="157"/>
      <c r="G76" s="157"/>
      <c r="H76" s="157"/>
      <c r="I76" s="157"/>
    </row>
    <row r="77" spans="1:21" ht="15.75">
      <c r="A77" s="58"/>
      <c r="B77" s="158" t="s">
        <v>222</v>
      </c>
      <c r="C77" s="158"/>
      <c r="D77" s="158"/>
      <c r="E77" s="158"/>
      <c r="F77" s="158"/>
      <c r="G77" s="158"/>
      <c r="H77" s="63"/>
      <c r="I77" s="3"/>
    </row>
    <row r="78" spans="1:21">
      <c r="A78" s="94"/>
      <c r="B78" s="154" t="s">
        <v>6</v>
      </c>
      <c r="C78" s="154"/>
      <c r="D78" s="154"/>
      <c r="E78" s="154"/>
      <c r="F78" s="154"/>
      <c r="G78" s="154"/>
      <c r="H78" s="24"/>
      <c r="I78" s="5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</row>
    <row r="80" spans="1:21" ht="15.75" customHeight="1">
      <c r="A80" s="141" t="s">
        <v>7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1" t="s">
        <v>8</v>
      </c>
      <c r="B81" s="141"/>
      <c r="C81" s="141"/>
      <c r="D81" s="141"/>
      <c r="E81" s="141"/>
      <c r="F81" s="141"/>
      <c r="G81" s="141"/>
      <c r="H81" s="141"/>
      <c r="I81" s="141"/>
    </row>
    <row r="82" spans="1:9" ht="15.75">
      <c r="A82" s="142" t="s">
        <v>59</v>
      </c>
      <c r="B82" s="142"/>
      <c r="C82" s="142"/>
      <c r="D82" s="142"/>
      <c r="E82" s="142"/>
      <c r="F82" s="142"/>
      <c r="G82" s="142"/>
      <c r="H82" s="142"/>
      <c r="I82" s="142"/>
    </row>
    <row r="83" spans="1:9" ht="15.75" customHeight="1">
      <c r="A83" s="11"/>
    </row>
    <row r="84" spans="1:9" ht="15.75" customHeight="1">
      <c r="A84" s="152" t="s">
        <v>9</v>
      </c>
      <c r="B84" s="152"/>
      <c r="C84" s="152"/>
      <c r="D84" s="152"/>
      <c r="E84" s="152"/>
      <c r="F84" s="152"/>
      <c r="G84" s="152"/>
      <c r="H84" s="152"/>
      <c r="I84" s="152"/>
    </row>
    <row r="85" spans="1:9" ht="15.75" customHeight="1">
      <c r="A85" s="4"/>
    </row>
    <row r="86" spans="1:9" ht="15.75" customHeight="1">
      <c r="B86" s="93" t="s">
        <v>10</v>
      </c>
      <c r="C86" s="153" t="s">
        <v>217</v>
      </c>
      <c r="D86" s="153"/>
      <c r="E86" s="153"/>
      <c r="F86" s="61"/>
      <c r="I86" s="96"/>
    </row>
    <row r="87" spans="1:9" ht="15.75" customHeight="1">
      <c r="A87" s="94"/>
      <c r="C87" s="154" t="s">
        <v>11</v>
      </c>
      <c r="D87" s="154"/>
      <c r="E87" s="154"/>
      <c r="F87" s="24"/>
      <c r="I87" s="95" t="s">
        <v>12</v>
      </c>
    </row>
    <row r="88" spans="1:9" ht="15.75" customHeight="1">
      <c r="A88" s="25"/>
      <c r="C88" s="12"/>
      <c r="D88" s="12"/>
      <c r="G88" s="12"/>
      <c r="H88" s="12"/>
    </row>
    <row r="89" spans="1:9" ht="15.75" customHeight="1">
      <c r="B89" s="93" t="s">
        <v>13</v>
      </c>
      <c r="C89" s="155"/>
      <c r="D89" s="155"/>
      <c r="E89" s="155"/>
      <c r="F89" s="62"/>
      <c r="I89" s="96"/>
    </row>
    <row r="90" spans="1:9" ht="15.75" customHeight="1">
      <c r="A90" s="94"/>
      <c r="C90" s="144" t="s">
        <v>11</v>
      </c>
      <c r="D90" s="144"/>
      <c r="E90" s="144"/>
      <c r="F90" s="94"/>
      <c r="I90" s="95" t="s">
        <v>12</v>
      </c>
    </row>
    <row r="91" spans="1:9" ht="15.75" customHeight="1">
      <c r="A91" s="4" t="s">
        <v>14</v>
      </c>
    </row>
    <row r="92" spans="1:9">
      <c r="A92" s="156" t="s">
        <v>15</v>
      </c>
      <c r="B92" s="156"/>
      <c r="C92" s="156"/>
      <c r="D92" s="156"/>
      <c r="E92" s="156"/>
      <c r="F92" s="156"/>
      <c r="G92" s="156"/>
      <c r="H92" s="156"/>
      <c r="I92" s="156"/>
    </row>
    <row r="93" spans="1:9" ht="45" customHeight="1">
      <c r="A93" s="151" t="s">
        <v>16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17</v>
      </c>
      <c r="B94" s="151"/>
      <c r="C94" s="151"/>
      <c r="D94" s="151"/>
      <c r="E94" s="151"/>
      <c r="F94" s="151"/>
      <c r="G94" s="151"/>
      <c r="H94" s="151"/>
      <c r="I94" s="151"/>
    </row>
    <row r="95" spans="1:9" ht="30" customHeight="1">
      <c r="A95" s="151" t="s">
        <v>21</v>
      </c>
      <c r="B95" s="151"/>
      <c r="C95" s="151"/>
      <c r="D95" s="151"/>
      <c r="E95" s="151"/>
      <c r="F95" s="151"/>
      <c r="G95" s="151"/>
      <c r="H95" s="151"/>
      <c r="I95" s="151"/>
    </row>
    <row r="96" spans="1:9" ht="15" customHeight="1">
      <c r="A96" s="151" t="s">
        <v>20</v>
      </c>
      <c r="B96" s="151"/>
      <c r="C96" s="151"/>
      <c r="D96" s="151"/>
      <c r="E96" s="151"/>
      <c r="F96" s="151"/>
      <c r="G96" s="151"/>
      <c r="H96" s="151"/>
      <c r="I96" s="151"/>
    </row>
  </sheetData>
  <autoFilter ref="I12:I62"/>
  <mergeCells count="29">
    <mergeCell ref="R67:U67"/>
    <mergeCell ref="A3:I3"/>
    <mergeCell ref="A4:I4"/>
    <mergeCell ref="A5:I5"/>
    <mergeCell ref="A8:I8"/>
    <mergeCell ref="A10:I10"/>
    <mergeCell ref="A14:I14"/>
    <mergeCell ref="A15:I15"/>
    <mergeCell ref="A18:I18"/>
    <mergeCell ref="A33:I33"/>
    <mergeCell ref="A43:I43"/>
    <mergeCell ref="A66:I66"/>
    <mergeCell ref="C90:E90"/>
    <mergeCell ref="A70:I70"/>
    <mergeCell ref="A76:I76"/>
    <mergeCell ref="B77:G77"/>
    <mergeCell ref="B78:G78"/>
    <mergeCell ref="A80:I80"/>
    <mergeCell ref="A81:I81"/>
    <mergeCell ref="A82:I82"/>
    <mergeCell ref="A84:I84"/>
    <mergeCell ref="C86:E86"/>
    <mergeCell ref="C87:E87"/>
    <mergeCell ref="C89:E89"/>
    <mergeCell ref="A92:I92"/>
    <mergeCell ref="A93:I93"/>
    <mergeCell ref="A94:I94"/>
    <mergeCell ref="A95:I95"/>
    <mergeCell ref="A96:I9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98"/>
  <sheetViews>
    <sheetView tabSelected="1" topLeftCell="A130" workbookViewId="0">
      <selection activeCell="G91" sqref="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143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225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92"/>
      <c r="C6" s="92"/>
      <c r="D6" s="92"/>
      <c r="E6" s="92"/>
      <c r="F6" s="92"/>
      <c r="G6" s="92"/>
      <c r="H6" s="92"/>
      <c r="I6" s="30">
        <v>44196</v>
      </c>
      <c r="J6" s="2"/>
      <c r="K6" s="2"/>
      <c r="L6" s="2"/>
      <c r="M6" s="2"/>
    </row>
    <row r="7" spans="1:13" ht="15.75" customHeight="1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208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hidden="1" customHeight="1">
      <c r="A17" s="29">
        <v>2</v>
      </c>
      <c r="B17" s="70" t="s">
        <v>23</v>
      </c>
      <c r="C17" s="65" t="s">
        <v>24</v>
      </c>
      <c r="D17" s="64"/>
      <c r="E17" s="69">
        <v>737</v>
      </c>
      <c r="F17" s="66">
        <f>SUM(E17*12)</f>
        <v>8844</v>
      </c>
      <c r="G17" s="66">
        <v>6.76</v>
      </c>
      <c r="H17" s="67">
        <f>SUM(F17*G17/1000)</f>
        <v>59.785439999999994</v>
      </c>
      <c r="I17" s="13">
        <f>F17/12*G17</f>
        <v>4982.12</v>
      </c>
      <c r="J17" s="22"/>
      <c r="K17" s="8"/>
      <c r="L17" s="8"/>
      <c r="M17" s="8"/>
    </row>
    <row r="18" spans="1:13" ht="15.75" customHeight="1">
      <c r="A18" s="145" t="s">
        <v>84</v>
      </c>
      <c r="B18" s="146"/>
      <c r="C18" s="146"/>
      <c r="D18" s="146"/>
      <c r="E18" s="146"/>
      <c r="F18" s="146"/>
      <c r="G18" s="146"/>
      <c r="H18" s="146"/>
      <c r="I18" s="147"/>
      <c r="J18" s="22"/>
      <c r="K18" s="8"/>
      <c r="L18" s="8"/>
      <c r="M18" s="8"/>
    </row>
    <row r="19" spans="1:13" ht="15.75" hidden="1" customHeight="1">
      <c r="A19" s="29"/>
      <c r="B19" s="88" t="s">
        <v>27</v>
      </c>
      <c r="C19" s="65"/>
      <c r="D19" s="70"/>
      <c r="E19" s="69"/>
      <c r="F19" s="66"/>
      <c r="G19" s="66"/>
      <c r="H19" s="67"/>
      <c r="I19" s="13"/>
      <c r="J19" s="22"/>
      <c r="K19" s="8"/>
      <c r="L19" s="8"/>
      <c r="M19" s="8"/>
    </row>
    <row r="20" spans="1:13" ht="15.75" hidden="1" customHeight="1">
      <c r="A20" s="29">
        <v>3</v>
      </c>
      <c r="B20" s="64" t="s">
        <v>92</v>
      </c>
      <c r="C20" s="65" t="s">
        <v>93</v>
      </c>
      <c r="D20" s="64" t="s">
        <v>139</v>
      </c>
      <c r="E20" s="66">
        <v>783.5</v>
      </c>
      <c r="F20" s="66">
        <f>SUM(E20*52/1000)</f>
        <v>40.741999999999997</v>
      </c>
      <c r="G20" s="66">
        <v>155.88999999999999</v>
      </c>
      <c r="H20" s="67">
        <f t="shared" ref="H20:H25" si="0">SUM(F20*G20/1000)</f>
        <v>6.351270379999999</v>
      </c>
      <c r="I20" s="13">
        <f t="shared" ref="I20:I23" si="1">F20/6*G20</f>
        <v>1058.5450633333332</v>
      </c>
      <c r="J20" s="8"/>
      <c r="K20" s="8"/>
      <c r="L20" s="8"/>
      <c r="M20" s="8"/>
    </row>
    <row r="21" spans="1:13" ht="31.5" hidden="1" customHeight="1">
      <c r="A21" s="29">
        <v>4</v>
      </c>
      <c r="B21" s="64" t="s">
        <v>123</v>
      </c>
      <c r="C21" s="65" t="s">
        <v>93</v>
      </c>
      <c r="D21" s="64" t="s">
        <v>140</v>
      </c>
      <c r="E21" s="66">
        <v>171.9</v>
      </c>
      <c r="F21" s="66">
        <f>SUM(E21*78/1000)</f>
        <v>13.408200000000001</v>
      </c>
      <c r="G21" s="66">
        <v>258.63</v>
      </c>
      <c r="H21" s="67">
        <f t="shared" si="0"/>
        <v>3.4677627660000003</v>
      </c>
      <c r="I21" s="13">
        <f t="shared" si="1"/>
        <v>577.96046100000001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26</v>
      </c>
      <c r="C22" s="65" t="s">
        <v>93</v>
      </c>
      <c r="D22" s="64" t="s">
        <v>52</v>
      </c>
      <c r="E22" s="66">
        <v>783.5</v>
      </c>
      <c r="F22" s="66">
        <f>SUM(E22/1000)</f>
        <v>0.78349999999999997</v>
      </c>
      <c r="G22" s="66">
        <v>3020.33</v>
      </c>
      <c r="H22" s="67">
        <f t="shared" si="0"/>
        <v>2.3664285550000002</v>
      </c>
      <c r="I22" s="13">
        <f>F22*G22</f>
        <v>2366.428555</v>
      </c>
      <c r="J22" s="22"/>
      <c r="K22" s="8"/>
      <c r="L22" s="8"/>
      <c r="M22" s="8"/>
    </row>
    <row r="23" spans="1:13" ht="15.75" hidden="1" customHeight="1">
      <c r="A23" s="29">
        <v>5</v>
      </c>
      <c r="B23" s="64" t="s">
        <v>94</v>
      </c>
      <c r="C23" s="65" t="s">
        <v>29</v>
      </c>
      <c r="D23" s="64" t="s">
        <v>61</v>
      </c>
      <c r="E23" s="68">
        <v>0.33333333333333331</v>
      </c>
      <c r="F23" s="66">
        <f>155/3</f>
        <v>51.666666666666664</v>
      </c>
      <c r="G23" s="66">
        <v>56.69</v>
      </c>
      <c r="H23" s="67">
        <f>SUM(G23*155/3/1000)</f>
        <v>2.9289833333333331</v>
      </c>
      <c r="I23" s="13">
        <f t="shared" si="1"/>
        <v>488.16388888888883</v>
      </c>
      <c r="J23" s="22"/>
      <c r="K23" s="8"/>
      <c r="L23" s="8"/>
      <c r="M23" s="8"/>
    </row>
    <row r="24" spans="1:13" ht="15.75" hidden="1" customHeight="1">
      <c r="A24" s="29"/>
      <c r="B24" s="64" t="s">
        <v>62</v>
      </c>
      <c r="C24" s="65" t="s">
        <v>31</v>
      </c>
      <c r="D24" s="64" t="s">
        <v>64</v>
      </c>
      <c r="E24" s="69"/>
      <c r="F24" s="66">
        <v>2</v>
      </c>
      <c r="G24" s="66">
        <v>191.32</v>
      </c>
      <c r="H24" s="67">
        <f t="shared" si="0"/>
        <v>0.38263999999999998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64" t="s">
        <v>63</v>
      </c>
      <c r="C25" s="65" t="s">
        <v>30</v>
      </c>
      <c r="D25" s="64" t="s">
        <v>64</v>
      </c>
      <c r="E25" s="69"/>
      <c r="F25" s="66">
        <v>2</v>
      </c>
      <c r="G25" s="66">
        <v>1136.33</v>
      </c>
      <c r="H25" s="67">
        <f t="shared" si="0"/>
        <v>2.2726599999999997</v>
      </c>
      <c r="I25" s="13">
        <v>0</v>
      </c>
      <c r="J25" s="22"/>
      <c r="K25" s="8"/>
      <c r="L25" s="8"/>
      <c r="M25" s="8"/>
    </row>
    <row r="26" spans="1:13" ht="15.75" customHeight="1">
      <c r="A26" s="29"/>
      <c r="B26" s="88" t="s">
        <v>5</v>
      </c>
      <c r="C26" s="65"/>
      <c r="D26" s="64"/>
      <c r="E26" s="69"/>
      <c r="F26" s="66"/>
      <c r="G26" s="66"/>
      <c r="H26" s="67" t="s">
        <v>110</v>
      </c>
      <c r="I26" s="72"/>
      <c r="J26" s="22"/>
      <c r="K26" s="8"/>
      <c r="L26" s="8"/>
      <c r="M26" s="8"/>
    </row>
    <row r="27" spans="1:13" ht="15.75" customHeight="1">
      <c r="A27" s="29">
        <v>2</v>
      </c>
      <c r="B27" s="64" t="s">
        <v>25</v>
      </c>
      <c r="C27" s="65" t="s">
        <v>30</v>
      </c>
      <c r="D27" s="64" t="s">
        <v>226</v>
      </c>
      <c r="E27" s="69"/>
      <c r="F27" s="66">
        <v>3</v>
      </c>
      <c r="G27" s="66">
        <v>1527.22</v>
      </c>
      <c r="H27" s="67">
        <f t="shared" ref="H27:H32" si="2">SUM(F27*G27/1000)</f>
        <v>4.5816600000000003</v>
      </c>
      <c r="I27" s="13">
        <f>G27*0.9</f>
        <v>1374.498</v>
      </c>
      <c r="J27" s="22"/>
      <c r="K27" s="8"/>
      <c r="L27" s="8"/>
      <c r="M27" s="8"/>
    </row>
    <row r="28" spans="1:13" ht="15.75" customHeight="1">
      <c r="A28" s="29">
        <v>3</v>
      </c>
      <c r="B28" s="64" t="s">
        <v>65</v>
      </c>
      <c r="C28" s="65" t="s">
        <v>28</v>
      </c>
      <c r="D28" s="64" t="s">
        <v>164</v>
      </c>
      <c r="E28" s="66">
        <v>171.9</v>
      </c>
      <c r="F28" s="66">
        <f>SUM(E28*18/1000)</f>
        <v>3.0942000000000003</v>
      </c>
      <c r="G28" s="66">
        <v>2102.71</v>
      </c>
      <c r="H28" s="67">
        <f t="shared" si="2"/>
        <v>6.5062052820000007</v>
      </c>
      <c r="I28" s="13">
        <f>G28*F28/18*17</f>
        <v>6144.7494330000009</v>
      </c>
      <c r="J28" s="22"/>
      <c r="K28" s="8"/>
      <c r="L28" s="8"/>
      <c r="M28" s="8"/>
    </row>
    <row r="29" spans="1:13" ht="15.75" customHeight="1">
      <c r="A29" s="29">
        <v>4</v>
      </c>
      <c r="B29" s="64" t="s">
        <v>67</v>
      </c>
      <c r="C29" s="65" t="s">
        <v>28</v>
      </c>
      <c r="D29" s="64" t="s">
        <v>165</v>
      </c>
      <c r="E29" s="66">
        <v>48</v>
      </c>
      <c r="F29" s="66">
        <f>SUM(E29*70/1000)</f>
        <v>3.36</v>
      </c>
      <c r="G29" s="66">
        <v>350.75</v>
      </c>
      <c r="H29" s="67">
        <f t="shared" si="2"/>
        <v>1.17852</v>
      </c>
      <c r="I29" s="13">
        <f>G29*F29/70*18</f>
        <v>303.048</v>
      </c>
      <c r="J29" s="22"/>
      <c r="K29" s="8"/>
      <c r="L29" s="8"/>
      <c r="M29" s="8"/>
    </row>
    <row r="30" spans="1:13" ht="47.25" customHeight="1">
      <c r="A30" s="29">
        <v>5</v>
      </c>
      <c r="B30" s="64" t="s">
        <v>83</v>
      </c>
      <c r="C30" s="65" t="s">
        <v>93</v>
      </c>
      <c r="D30" s="64" t="s">
        <v>154</v>
      </c>
      <c r="E30" s="66">
        <v>18</v>
      </c>
      <c r="F30" s="66">
        <f>SUM(E30*70/1000)</f>
        <v>1.26</v>
      </c>
      <c r="G30" s="66">
        <v>5803.28</v>
      </c>
      <c r="H30" s="67">
        <f t="shared" si="2"/>
        <v>7.3121327999999997</v>
      </c>
      <c r="I30" s="13">
        <f>G30*F30/70*7</f>
        <v>731.21327999999994</v>
      </c>
      <c r="J30" s="22"/>
      <c r="K30" s="8"/>
      <c r="L30" s="8"/>
      <c r="M30" s="8"/>
    </row>
    <row r="31" spans="1:13" ht="15.75" hidden="1" customHeight="1">
      <c r="A31" s="29">
        <v>6</v>
      </c>
      <c r="B31" s="64" t="s">
        <v>95</v>
      </c>
      <c r="C31" s="65" t="s">
        <v>93</v>
      </c>
      <c r="D31" s="64" t="s">
        <v>166</v>
      </c>
      <c r="E31" s="66">
        <v>48</v>
      </c>
      <c r="F31" s="66">
        <f>SUM(E31*45/1000)</f>
        <v>2.16</v>
      </c>
      <c r="G31" s="66">
        <v>428.7</v>
      </c>
      <c r="H31" s="67">
        <f t="shared" si="2"/>
        <v>0.92599200000000004</v>
      </c>
      <c r="I31" s="13">
        <f>G31*F31/45*4</f>
        <v>82.310400000000001</v>
      </c>
      <c r="J31" s="22"/>
      <c r="K31" s="8"/>
      <c r="L31" s="8"/>
      <c r="M31" s="8"/>
    </row>
    <row r="32" spans="1:13" ht="15.75" hidden="1" customHeight="1">
      <c r="A32" s="29">
        <v>7</v>
      </c>
      <c r="B32" s="64" t="s">
        <v>70</v>
      </c>
      <c r="C32" s="65" t="s">
        <v>31</v>
      </c>
      <c r="D32" s="64"/>
      <c r="E32" s="69"/>
      <c r="F32" s="66">
        <v>0.2</v>
      </c>
      <c r="G32" s="66">
        <v>798</v>
      </c>
      <c r="H32" s="67">
        <f t="shared" si="2"/>
        <v>0.15960000000000002</v>
      </c>
      <c r="I32" s="13">
        <f>G32*F32/45*4</f>
        <v>14.186666666666669</v>
      </c>
      <c r="J32" s="22"/>
      <c r="K32" s="8"/>
      <c r="L32" s="8"/>
      <c r="M32" s="8"/>
    </row>
    <row r="33" spans="1:14" ht="15.75" customHeight="1">
      <c r="A33" s="145" t="s">
        <v>113</v>
      </c>
      <c r="B33" s="146"/>
      <c r="C33" s="146"/>
      <c r="D33" s="146"/>
      <c r="E33" s="146"/>
      <c r="F33" s="146"/>
      <c r="G33" s="146"/>
      <c r="H33" s="146"/>
      <c r="I33" s="147"/>
      <c r="J33" s="23"/>
    </row>
    <row r="34" spans="1:14" ht="15.75" hidden="1" customHeight="1">
      <c r="A34" s="29"/>
      <c r="B34" s="64" t="s">
        <v>96</v>
      </c>
      <c r="C34" s="65" t="s">
        <v>93</v>
      </c>
      <c r="D34" s="64" t="s">
        <v>40</v>
      </c>
      <c r="E34" s="69">
        <v>578.5</v>
      </c>
      <c r="F34" s="66">
        <f>SUM(E34*2/1000)</f>
        <v>1.157</v>
      </c>
      <c r="G34" s="13">
        <v>809.74</v>
      </c>
      <c r="H34" s="67">
        <f t="shared" ref="H34:H42" si="3">SUM(F34*G34/1000)</f>
        <v>0.93686918000000008</v>
      </c>
      <c r="I34" s="13">
        <v>0</v>
      </c>
      <c r="J34" s="23"/>
    </row>
    <row r="35" spans="1:14" ht="15.75" hidden="1" customHeight="1">
      <c r="A35" s="29"/>
      <c r="B35" s="64" t="s">
        <v>34</v>
      </c>
      <c r="C35" s="65" t="s">
        <v>93</v>
      </c>
      <c r="D35" s="64" t="s">
        <v>40</v>
      </c>
      <c r="E35" s="69">
        <v>21</v>
      </c>
      <c r="F35" s="66">
        <f>SUM(E35*2/1000)</f>
        <v>4.2000000000000003E-2</v>
      </c>
      <c r="G35" s="13">
        <v>579.48</v>
      </c>
      <c r="H35" s="67">
        <f t="shared" si="3"/>
        <v>2.4338160000000001E-2</v>
      </c>
      <c r="I35" s="13">
        <v>0</v>
      </c>
      <c r="J35" s="23"/>
    </row>
    <row r="36" spans="1:14" ht="15.75" hidden="1" customHeight="1">
      <c r="A36" s="29"/>
      <c r="B36" s="64" t="s">
        <v>35</v>
      </c>
      <c r="C36" s="65" t="s">
        <v>93</v>
      </c>
      <c r="D36" s="64" t="s">
        <v>40</v>
      </c>
      <c r="E36" s="69">
        <v>737</v>
      </c>
      <c r="F36" s="66">
        <f>SUM(E36*2/1000)</f>
        <v>1.474</v>
      </c>
      <c r="G36" s="13">
        <v>579.48</v>
      </c>
      <c r="H36" s="67">
        <f t="shared" si="3"/>
        <v>0.85415352</v>
      </c>
      <c r="I36" s="13">
        <v>0</v>
      </c>
      <c r="J36" s="23"/>
    </row>
    <row r="37" spans="1:14" ht="15.75" hidden="1" customHeight="1">
      <c r="A37" s="29"/>
      <c r="B37" s="64" t="s">
        <v>32</v>
      </c>
      <c r="C37" s="65" t="s">
        <v>33</v>
      </c>
      <c r="D37" s="64" t="s">
        <v>40</v>
      </c>
      <c r="E37" s="69">
        <v>59.75</v>
      </c>
      <c r="F37" s="66">
        <f>SUM(E37*2/100)</f>
        <v>1.1950000000000001</v>
      </c>
      <c r="G37" s="13">
        <v>72.81</v>
      </c>
      <c r="H37" s="67">
        <f t="shared" si="3"/>
        <v>8.7007950000000014E-2</v>
      </c>
      <c r="I37" s="13">
        <v>0</v>
      </c>
      <c r="J37" s="23"/>
    </row>
    <row r="38" spans="1:14" ht="15.75" customHeight="1">
      <c r="A38" s="29">
        <v>6</v>
      </c>
      <c r="B38" s="64" t="s">
        <v>54</v>
      </c>
      <c r="C38" s="65" t="s">
        <v>93</v>
      </c>
      <c r="D38" s="64" t="s">
        <v>155</v>
      </c>
      <c r="E38" s="69">
        <v>479.7</v>
      </c>
      <c r="F38" s="66">
        <f>SUM(E38*5/1000)</f>
        <v>2.3984999999999999</v>
      </c>
      <c r="G38" s="13">
        <v>1213.55</v>
      </c>
      <c r="H38" s="67">
        <f t="shared" si="3"/>
        <v>2.910699675</v>
      </c>
      <c r="I38" s="13">
        <f>F38/5*G38</f>
        <v>582.13993499999992</v>
      </c>
      <c r="J38" s="23"/>
    </row>
    <row r="39" spans="1:14" ht="31.5" hidden="1" customHeight="1">
      <c r="A39" s="29">
        <v>10</v>
      </c>
      <c r="B39" s="64" t="s">
        <v>97</v>
      </c>
      <c r="C39" s="65" t="s">
        <v>93</v>
      </c>
      <c r="D39" s="64" t="s">
        <v>40</v>
      </c>
      <c r="E39" s="69">
        <v>479.7</v>
      </c>
      <c r="F39" s="66">
        <f>SUM(E39*2/1000)</f>
        <v>0.95940000000000003</v>
      </c>
      <c r="G39" s="13">
        <v>1213.55</v>
      </c>
      <c r="H39" s="67">
        <f t="shared" si="3"/>
        <v>1.1642798700000001</v>
      </c>
      <c r="I39" s="13">
        <f>F39/2*G39</f>
        <v>582.13993500000004</v>
      </c>
      <c r="J39" s="23"/>
    </row>
    <row r="40" spans="1:14" ht="31.5" hidden="1" customHeight="1">
      <c r="A40" s="29">
        <v>11</v>
      </c>
      <c r="B40" s="64" t="s">
        <v>98</v>
      </c>
      <c r="C40" s="65" t="s">
        <v>36</v>
      </c>
      <c r="D40" s="64" t="s">
        <v>40</v>
      </c>
      <c r="E40" s="69">
        <v>4</v>
      </c>
      <c r="F40" s="66">
        <f>SUM(E40*2/100)</f>
        <v>0.08</v>
      </c>
      <c r="G40" s="13">
        <v>2730.49</v>
      </c>
      <c r="H40" s="67">
        <f t="shared" si="3"/>
        <v>0.2184392</v>
      </c>
      <c r="I40" s="13">
        <f t="shared" ref="I40:I41" si="4">F40/2*G40</f>
        <v>109.2196</v>
      </c>
      <c r="J40" s="23"/>
      <c r="L40" s="19"/>
      <c r="M40" s="20"/>
      <c r="N40" s="21"/>
    </row>
    <row r="41" spans="1:14" ht="15.75" hidden="1" customHeight="1">
      <c r="A41" s="29">
        <v>12</v>
      </c>
      <c r="B41" s="64" t="s">
        <v>37</v>
      </c>
      <c r="C41" s="65" t="s">
        <v>38</v>
      </c>
      <c r="D41" s="64" t="s">
        <v>40</v>
      </c>
      <c r="E41" s="69">
        <v>1</v>
      </c>
      <c r="F41" s="66">
        <v>0.02</v>
      </c>
      <c r="G41" s="13">
        <v>5652.13</v>
      </c>
      <c r="H41" s="67">
        <f t="shared" si="3"/>
        <v>0.11304260000000001</v>
      </c>
      <c r="I41" s="13">
        <f t="shared" si="4"/>
        <v>56.521300000000004</v>
      </c>
      <c r="J41" s="23"/>
      <c r="L41" s="19"/>
      <c r="M41" s="20"/>
      <c r="N41" s="21"/>
    </row>
    <row r="42" spans="1:14" ht="15.75" hidden="1" customHeight="1">
      <c r="A42" s="29">
        <v>10</v>
      </c>
      <c r="B42" s="64" t="s">
        <v>39</v>
      </c>
      <c r="C42" s="65" t="s">
        <v>86</v>
      </c>
      <c r="D42" s="64" t="s">
        <v>71</v>
      </c>
      <c r="E42" s="69">
        <v>24</v>
      </c>
      <c r="F42" s="66">
        <f>SUM(E42)*3</f>
        <v>72</v>
      </c>
      <c r="G42" s="13">
        <v>65.67</v>
      </c>
      <c r="H42" s="67">
        <f t="shared" si="3"/>
        <v>4.7282399999999996</v>
      </c>
      <c r="I42" s="13">
        <f>E42*G42</f>
        <v>1576.08</v>
      </c>
      <c r="J42" s="23"/>
      <c r="L42" s="19"/>
      <c r="M42" s="20"/>
      <c r="N42" s="21"/>
    </row>
    <row r="43" spans="1:14" ht="15.75" hidden="1" customHeight="1">
      <c r="A43" s="145" t="s">
        <v>114</v>
      </c>
      <c r="B43" s="146"/>
      <c r="C43" s="146"/>
      <c r="D43" s="146"/>
      <c r="E43" s="146"/>
      <c r="F43" s="146"/>
      <c r="G43" s="146"/>
      <c r="H43" s="146"/>
      <c r="I43" s="147"/>
      <c r="J43" s="23"/>
      <c r="L43" s="19"/>
      <c r="M43" s="20"/>
      <c r="N43" s="21"/>
    </row>
    <row r="44" spans="1:14" ht="15.75" hidden="1" customHeight="1">
      <c r="A44" s="29"/>
      <c r="B44" s="88" t="s">
        <v>41</v>
      </c>
      <c r="C44" s="65"/>
      <c r="D44" s="64"/>
      <c r="E44" s="69"/>
      <c r="F44" s="66"/>
      <c r="G44" s="66"/>
      <c r="H44" s="67"/>
      <c r="I44" s="72"/>
      <c r="J44" s="23"/>
      <c r="L44" s="19"/>
      <c r="M44" s="20"/>
      <c r="N44" s="21"/>
    </row>
    <row r="45" spans="1:14" ht="31.5" hidden="1" customHeight="1">
      <c r="A45" s="29">
        <v>13</v>
      </c>
      <c r="B45" s="64" t="s">
        <v>119</v>
      </c>
      <c r="C45" s="65" t="s">
        <v>89</v>
      </c>
      <c r="D45" s="64" t="s">
        <v>99</v>
      </c>
      <c r="E45" s="69">
        <v>57.85</v>
      </c>
      <c r="F45" s="66">
        <f>SUM(E45*6/100)</f>
        <v>3.4710000000000001</v>
      </c>
      <c r="G45" s="13">
        <v>1547.28</v>
      </c>
      <c r="H45" s="67">
        <f>SUM(F45*G45/1000)</f>
        <v>5.3706088799999998</v>
      </c>
      <c r="I45" s="13">
        <f>F45/6*G45</f>
        <v>895.10148000000004</v>
      </c>
      <c r="J45" s="23"/>
      <c r="L45" s="19"/>
      <c r="M45" s="20"/>
      <c r="N45" s="21"/>
    </row>
    <row r="46" spans="1:14" ht="15.75" hidden="1" customHeight="1">
      <c r="A46" s="29"/>
      <c r="B46" s="88" t="s">
        <v>42</v>
      </c>
      <c r="C46" s="65"/>
      <c r="D46" s="64"/>
      <c r="E46" s="69"/>
      <c r="F46" s="66"/>
      <c r="G46" s="59"/>
      <c r="H46" s="67"/>
      <c r="I46" s="72"/>
      <c r="J46" s="23"/>
      <c r="L46" s="19"/>
      <c r="M46" s="20"/>
      <c r="N46" s="21"/>
    </row>
    <row r="47" spans="1:14" ht="15.75" hidden="1" customHeight="1">
      <c r="A47" s="29"/>
      <c r="B47" s="64" t="s">
        <v>43</v>
      </c>
      <c r="C47" s="65" t="s">
        <v>89</v>
      </c>
      <c r="D47" s="64" t="s">
        <v>52</v>
      </c>
      <c r="E47" s="69">
        <v>479.7</v>
      </c>
      <c r="F47" s="67">
        <v>4.8</v>
      </c>
      <c r="G47" s="13">
        <v>793.61</v>
      </c>
      <c r="H47" s="73">
        <f>F47*G47/1000</f>
        <v>3.8093279999999998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88" t="s">
        <v>100</v>
      </c>
      <c r="C48" s="65"/>
      <c r="D48" s="64"/>
      <c r="E48" s="69"/>
      <c r="F48" s="66"/>
      <c r="G48" s="74"/>
      <c r="H48" s="67" t="s">
        <v>110</v>
      </c>
      <c r="I48" s="72"/>
      <c r="J48" s="23"/>
      <c r="L48" s="19"/>
      <c r="M48" s="20"/>
      <c r="N48" s="21"/>
    </row>
    <row r="49" spans="1:22" ht="15.75" hidden="1" customHeight="1">
      <c r="A49" s="29"/>
      <c r="B49" s="64" t="s">
        <v>101</v>
      </c>
      <c r="C49" s="65" t="s">
        <v>86</v>
      </c>
      <c r="D49" s="64" t="s">
        <v>64</v>
      </c>
      <c r="E49" s="69">
        <v>3</v>
      </c>
      <c r="F49" s="66">
        <f>SUM(E49)</f>
        <v>3</v>
      </c>
      <c r="G49" s="75">
        <v>237.75</v>
      </c>
      <c r="H49" s="67">
        <f t="shared" ref="H49:H63" si="5">SUM(F49*G49/1000)</f>
        <v>0.71325000000000005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89" t="s">
        <v>44</v>
      </c>
      <c r="C50" s="76"/>
      <c r="D50" s="77"/>
      <c r="E50" s="78"/>
      <c r="F50" s="79"/>
      <c r="G50" s="79"/>
      <c r="H50" s="80" t="s">
        <v>110</v>
      </c>
      <c r="I50" s="72"/>
      <c r="J50" s="23"/>
      <c r="L50" s="19"/>
      <c r="M50" s="20"/>
      <c r="N50" s="21"/>
    </row>
    <row r="51" spans="1:22" ht="15.75" hidden="1" customHeight="1">
      <c r="A51" s="29">
        <v>6</v>
      </c>
      <c r="B51" s="14" t="s">
        <v>45</v>
      </c>
      <c r="C51" s="16" t="s">
        <v>86</v>
      </c>
      <c r="D51" s="64" t="s">
        <v>64</v>
      </c>
      <c r="E51" s="18">
        <v>5</v>
      </c>
      <c r="F51" s="66">
        <v>5</v>
      </c>
      <c r="G51" s="13">
        <v>222.4</v>
      </c>
      <c r="H51" s="81">
        <f t="shared" si="5"/>
        <v>1.1120000000000001</v>
      </c>
      <c r="I51" s="13">
        <f>G51</f>
        <v>222.4</v>
      </c>
      <c r="J51" s="23"/>
      <c r="L51" s="19"/>
      <c r="M51" s="20"/>
      <c r="N51" s="21"/>
    </row>
    <row r="52" spans="1:22" ht="15.75" hidden="1" customHeight="1">
      <c r="A52" s="29"/>
      <c r="B52" s="14" t="s">
        <v>46</v>
      </c>
      <c r="C52" s="16" t="s">
        <v>86</v>
      </c>
      <c r="D52" s="64" t="s">
        <v>64</v>
      </c>
      <c r="E52" s="18">
        <v>3</v>
      </c>
      <c r="F52" s="66">
        <v>3</v>
      </c>
      <c r="G52" s="13">
        <v>76.25</v>
      </c>
      <c r="H52" s="81">
        <f t="shared" si="5"/>
        <v>0.22875000000000001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47</v>
      </c>
      <c r="C53" s="16" t="s">
        <v>102</v>
      </c>
      <c r="D53" s="14" t="s">
        <v>52</v>
      </c>
      <c r="E53" s="69">
        <v>2753</v>
      </c>
      <c r="F53" s="13">
        <f>SUM(E53/100)</f>
        <v>27.53</v>
      </c>
      <c r="G53" s="13">
        <v>212.15</v>
      </c>
      <c r="H53" s="81">
        <f t="shared" si="5"/>
        <v>5.8404895000000003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48</v>
      </c>
      <c r="C54" s="16" t="s">
        <v>103</v>
      </c>
      <c r="D54" s="14"/>
      <c r="E54" s="69">
        <v>2753</v>
      </c>
      <c r="F54" s="13">
        <f>SUM(E54/1000)</f>
        <v>2.7530000000000001</v>
      </c>
      <c r="G54" s="13">
        <v>165.21</v>
      </c>
      <c r="H54" s="81">
        <f t="shared" si="5"/>
        <v>0.45482313000000008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14" t="s">
        <v>49</v>
      </c>
      <c r="C55" s="16" t="s">
        <v>78</v>
      </c>
      <c r="D55" s="14" t="s">
        <v>52</v>
      </c>
      <c r="E55" s="69">
        <v>440</v>
      </c>
      <c r="F55" s="13">
        <f>SUM(E55/100)</f>
        <v>4.4000000000000004</v>
      </c>
      <c r="G55" s="13">
        <v>2074.63</v>
      </c>
      <c r="H55" s="81">
        <f t="shared" si="5"/>
        <v>9.1283720000000006</v>
      </c>
      <c r="I55" s="13">
        <v>0</v>
      </c>
      <c r="J55" s="23"/>
      <c r="L55" s="19"/>
      <c r="M55" s="20"/>
      <c r="N55" s="21"/>
    </row>
    <row r="56" spans="1:22" ht="15.75" hidden="1" customHeight="1">
      <c r="A56" s="29"/>
      <c r="B56" s="82" t="s">
        <v>72</v>
      </c>
      <c r="C56" s="16" t="s">
        <v>31</v>
      </c>
      <c r="D56" s="14"/>
      <c r="E56" s="69">
        <v>2.8</v>
      </c>
      <c r="F56" s="13">
        <f>SUM(E56)</f>
        <v>2.8</v>
      </c>
      <c r="G56" s="13">
        <v>45.32</v>
      </c>
      <c r="H56" s="81">
        <f t="shared" si="5"/>
        <v>0.12689599999999998</v>
      </c>
      <c r="I56" s="13">
        <v>0</v>
      </c>
      <c r="J56" s="23"/>
      <c r="L56" s="19"/>
      <c r="M56" s="20"/>
      <c r="N56" s="21"/>
    </row>
    <row r="57" spans="1:22" ht="31.5" hidden="1" customHeight="1">
      <c r="A57" s="29"/>
      <c r="B57" s="82" t="s">
        <v>73</v>
      </c>
      <c r="C57" s="16" t="s">
        <v>31</v>
      </c>
      <c r="D57" s="14"/>
      <c r="E57" s="69">
        <v>2.8</v>
      </c>
      <c r="F57" s="13">
        <f>SUM(E57)</f>
        <v>2.8</v>
      </c>
      <c r="G57" s="13">
        <v>42.28</v>
      </c>
      <c r="H57" s="81">
        <f t="shared" si="5"/>
        <v>0.118384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14" t="s">
        <v>55</v>
      </c>
      <c r="C58" s="16" t="s">
        <v>56</v>
      </c>
      <c r="D58" s="14" t="s">
        <v>52</v>
      </c>
      <c r="E58" s="18">
        <v>3</v>
      </c>
      <c r="F58" s="66">
        <f>SUM(E58)</f>
        <v>3</v>
      </c>
      <c r="G58" s="13">
        <v>49.88</v>
      </c>
      <c r="H58" s="81">
        <f t="shared" si="5"/>
        <v>0.14964000000000002</v>
      </c>
      <c r="I58" s="13">
        <v>0</v>
      </c>
      <c r="J58" s="23"/>
      <c r="L58" s="19"/>
      <c r="M58" s="20"/>
      <c r="N58" s="21"/>
    </row>
    <row r="59" spans="1:22" ht="15.75" hidden="1" customHeight="1">
      <c r="A59" s="29"/>
      <c r="B59" s="91" t="s">
        <v>74</v>
      </c>
      <c r="C59" s="16"/>
      <c r="D59" s="14"/>
      <c r="E59" s="18"/>
      <c r="F59" s="13"/>
      <c r="G59" s="13"/>
      <c r="H59" s="81" t="s">
        <v>110</v>
      </c>
      <c r="I59" s="72"/>
      <c r="J59" s="23"/>
      <c r="L59" s="19"/>
      <c r="M59" s="20"/>
      <c r="N59" s="21"/>
    </row>
    <row r="60" spans="1:22" ht="15.75" hidden="1" customHeight="1">
      <c r="A60" s="29">
        <v>9</v>
      </c>
      <c r="B60" s="14" t="s">
        <v>75</v>
      </c>
      <c r="C60" s="16" t="s">
        <v>76</v>
      </c>
      <c r="D60" s="14"/>
      <c r="E60" s="18">
        <v>15</v>
      </c>
      <c r="F60" s="13">
        <v>1.5</v>
      </c>
      <c r="G60" s="13">
        <v>501.62</v>
      </c>
      <c r="H60" s="81">
        <f t="shared" si="5"/>
        <v>0.75243000000000004</v>
      </c>
      <c r="I60" s="13">
        <f>G60*0.3</f>
        <v>150.48599999999999</v>
      </c>
      <c r="J60" s="23"/>
      <c r="L60" s="19"/>
    </row>
    <row r="61" spans="1:22" ht="15.75" hidden="1" customHeight="1">
      <c r="A61" s="29"/>
      <c r="B61" s="14" t="s">
        <v>106</v>
      </c>
      <c r="C61" s="16" t="s">
        <v>86</v>
      </c>
      <c r="D61" s="14"/>
      <c r="E61" s="18">
        <v>1</v>
      </c>
      <c r="F61" s="66">
        <f>SUM(E61)</f>
        <v>1</v>
      </c>
      <c r="G61" s="13">
        <v>358.51</v>
      </c>
      <c r="H61" s="81">
        <f t="shared" si="5"/>
        <v>0.35851</v>
      </c>
      <c r="I61" s="13">
        <v>0</v>
      </c>
    </row>
    <row r="62" spans="1:22" ht="15.75" hidden="1" customHeight="1">
      <c r="A62" s="29"/>
      <c r="B62" s="84" t="s">
        <v>77</v>
      </c>
      <c r="C62" s="16"/>
      <c r="D62" s="14"/>
      <c r="E62" s="18"/>
      <c r="F62" s="13"/>
      <c r="G62" s="13" t="s">
        <v>110</v>
      </c>
      <c r="H62" s="81" t="s">
        <v>110</v>
      </c>
      <c r="I62" s="72"/>
    </row>
    <row r="63" spans="1:22" ht="15.75" hidden="1" customHeight="1">
      <c r="A63" s="29"/>
      <c r="B63" s="42" t="s">
        <v>107</v>
      </c>
      <c r="C63" s="16" t="s">
        <v>78</v>
      </c>
      <c r="D63" s="14"/>
      <c r="E63" s="18"/>
      <c r="F63" s="13">
        <v>0.3</v>
      </c>
      <c r="G63" s="13">
        <v>2759.44</v>
      </c>
      <c r="H63" s="81">
        <f t="shared" si="5"/>
        <v>0.82783200000000001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29"/>
      <c r="B64" s="91" t="s">
        <v>104</v>
      </c>
      <c r="C64" s="84"/>
      <c r="D64" s="31"/>
      <c r="E64" s="32"/>
      <c r="F64" s="85"/>
      <c r="G64" s="85"/>
      <c r="H64" s="86">
        <f>SUM(H45:H63)</f>
        <v>28.991313509999998</v>
      </c>
      <c r="I64" s="71"/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29">
        <v>7</v>
      </c>
      <c r="B65" s="64" t="s">
        <v>105</v>
      </c>
      <c r="C65" s="16"/>
      <c r="D65" s="14"/>
      <c r="E65" s="60"/>
      <c r="F65" s="13">
        <v>1</v>
      </c>
      <c r="G65" s="13">
        <v>304.39999999999998</v>
      </c>
      <c r="H65" s="81">
        <f>G65*F65/1000</f>
        <v>0.3044</v>
      </c>
      <c r="I65" s="13">
        <f>G65</f>
        <v>304.39999999999998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145" t="s">
        <v>115</v>
      </c>
      <c r="B66" s="146"/>
      <c r="C66" s="146"/>
      <c r="D66" s="146"/>
      <c r="E66" s="146"/>
      <c r="F66" s="146"/>
      <c r="G66" s="146"/>
      <c r="H66" s="146"/>
      <c r="I66" s="147"/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customHeight="1">
      <c r="A67" s="29">
        <v>8</v>
      </c>
      <c r="B67" s="64" t="s">
        <v>108</v>
      </c>
      <c r="C67" s="16" t="s">
        <v>53</v>
      </c>
      <c r="D67" s="45"/>
      <c r="E67" s="13">
        <v>737</v>
      </c>
      <c r="F67" s="13">
        <f>SUM(E67*12)</f>
        <v>8844</v>
      </c>
      <c r="G67" s="13">
        <v>2.1</v>
      </c>
      <c r="H67" s="81">
        <f>SUM(F67*G67/1000)</f>
        <v>18.572400000000002</v>
      </c>
      <c r="I67" s="13">
        <f>F67/12*G67</f>
        <v>1547.7</v>
      </c>
      <c r="J67" s="5"/>
      <c r="K67" s="5"/>
      <c r="L67" s="5"/>
      <c r="M67" s="5"/>
      <c r="N67" s="5"/>
      <c r="O67" s="5"/>
      <c r="P67" s="5"/>
      <c r="Q67" s="5"/>
      <c r="R67" s="144"/>
      <c r="S67" s="144"/>
      <c r="T67" s="144"/>
      <c r="U67" s="144"/>
    </row>
    <row r="68" spans="1:21" ht="31.5" customHeight="1">
      <c r="A68" s="29">
        <v>9</v>
      </c>
      <c r="B68" s="14" t="s">
        <v>79</v>
      </c>
      <c r="C68" s="16"/>
      <c r="D68" s="45"/>
      <c r="E68" s="69">
        <f>E67</f>
        <v>737</v>
      </c>
      <c r="F68" s="13">
        <f>E68*12</f>
        <v>8844</v>
      </c>
      <c r="G68" s="13">
        <v>1.63</v>
      </c>
      <c r="H68" s="81">
        <f>F68*G68/1000</f>
        <v>14.415719999999999</v>
      </c>
      <c r="I68" s="13">
        <f>F68/12*G68</f>
        <v>1201.31</v>
      </c>
      <c r="J68" s="5"/>
      <c r="K68" s="5"/>
      <c r="L68" s="5"/>
      <c r="M68" s="5"/>
      <c r="N68" s="5"/>
      <c r="O68" s="5"/>
      <c r="P68" s="5"/>
      <c r="Q68" s="5"/>
      <c r="R68" s="94"/>
      <c r="S68" s="94"/>
      <c r="T68" s="94"/>
      <c r="U68" s="94"/>
    </row>
    <row r="69" spans="1:21" ht="15.75" customHeight="1">
      <c r="A69" s="29"/>
      <c r="B69" s="35" t="s">
        <v>81</v>
      </c>
      <c r="C69" s="84"/>
      <c r="D69" s="83"/>
      <c r="E69" s="85"/>
      <c r="F69" s="85"/>
      <c r="G69" s="85"/>
      <c r="H69" s="86">
        <f>SUM(H68)</f>
        <v>14.415719999999999</v>
      </c>
      <c r="I69" s="85">
        <f>I68+I67+I38+I30+I29+I28+I27+I16+I65</f>
        <v>12604.554748</v>
      </c>
      <c r="J69" s="5"/>
      <c r="K69" s="5"/>
      <c r="L69" s="5"/>
      <c r="M69" s="5"/>
      <c r="N69" s="5"/>
      <c r="O69" s="5"/>
      <c r="P69" s="5"/>
      <c r="Q69" s="5"/>
      <c r="R69" s="94"/>
      <c r="S69" s="94"/>
      <c r="T69" s="94"/>
      <c r="U69" s="94"/>
    </row>
    <row r="70" spans="1:21" ht="15.75" customHeight="1">
      <c r="A70" s="148" t="s">
        <v>58</v>
      </c>
      <c r="B70" s="149"/>
      <c r="C70" s="149"/>
      <c r="D70" s="149"/>
      <c r="E70" s="149"/>
      <c r="F70" s="149"/>
      <c r="G70" s="149"/>
      <c r="H70" s="149"/>
      <c r="I70" s="150"/>
      <c r="J70" s="5"/>
      <c r="K70" s="5"/>
      <c r="L70" s="5"/>
      <c r="M70" s="5"/>
      <c r="N70" s="5"/>
      <c r="O70" s="5"/>
      <c r="P70" s="5"/>
      <c r="Q70" s="5"/>
      <c r="R70" s="94"/>
      <c r="S70" s="94"/>
      <c r="T70" s="94"/>
      <c r="U70" s="94"/>
    </row>
    <row r="71" spans="1:21" ht="15.75" customHeight="1">
      <c r="A71" s="29">
        <v>10</v>
      </c>
      <c r="B71" s="101" t="s">
        <v>144</v>
      </c>
      <c r="C71" s="16" t="s">
        <v>145</v>
      </c>
      <c r="D71" s="42"/>
      <c r="E71" s="13"/>
      <c r="F71" s="13">
        <v>200</v>
      </c>
      <c r="G71" s="13">
        <v>1.4</v>
      </c>
      <c r="H71" s="81">
        <f>SUM(F71*G71/1000)</f>
        <v>0.28000000000000003</v>
      </c>
      <c r="I71" s="13">
        <f>G71*100</f>
        <v>140</v>
      </c>
      <c r="J71" s="5"/>
      <c r="K71" s="5"/>
      <c r="L71" s="5"/>
      <c r="M71" s="5"/>
      <c r="N71" s="5"/>
      <c r="O71" s="5"/>
      <c r="P71" s="5"/>
      <c r="Q71" s="5"/>
      <c r="R71" s="94"/>
      <c r="S71" s="94"/>
      <c r="T71" s="94"/>
      <c r="U71" s="94"/>
    </row>
    <row r="72" spans="1:21" ht="29.25" customHeight="1">
      <c r="A72" s="29">
        <v>11</v>
      </c>
      <c r="B72" s="50" t="s">
        <v>149</v>
      </c>
      <c r="C72" s="51" t="s">
        <v>28</v>
      </c>
      <c r="D72" s="104"/>
      <c r="E72" s="34"/>
      <c r="F72" s="34"/>
      <c r="G72" s="111">
        <v>20547.34</v>
      </c>
      <c r="H72" s="98"/>
      <c r="I72" s="13">
        <f>G72*0.599*10/1000</f>
        <v>123.07856659999999</v>
      </c>
      <c r="J72" s="5"/>
      <c r="K72" s="5"/>
      <c r="L72" s="5"/>
      <c r="M72" s="5"/>
      <c r="N72" s="5"/>
      <c r="O72" s="5"/>
      <c r="P72" s="5"/>
      <c r="Q72" s="5"/>
      <c r="R72" s="94"/>
      <c r="S72" s="94"/>
      <c r="T72" s="94"/>
      <c r="U72" s="94"/>
    </row>
    <row r="73" spans="1:21" ht="16.5" customHeight="1">
      <c r="A73" s="29">
        <v>12</v>
      </c>
      <c r="B73" s="50" t="s">
        <v>181</v>
      </c>
      <c r="C73" s="51" t="s">
        <v>148</v>
      </c>
      <c r="D73" s="97"/>
      <c r="E73" s="34"/>
      <c r="F73" s="105">
        <v>21</v>
      </c>
      <c r="G73" s="105">
        <v>284</v>
      </c>
      <c r="H73" s="98"/>
      <c r="I73" s="13">
        <f>G73*4</f>
        <v>1136</v>
      </c>
      <c r="J73" s="5"/>
      <c r="K73" s="5"/>
      <c r="L73" s="5"/>
      <c r="M73" s="5"/>
      <c r="N73" s="5"/>
      <c r="O73" s="5"/>
      <c r="P73" s="5"/>
      <c r="Q73" s="5"/>
      <c r="R73" s="134"/>
      <c r="S73" s="134"/>
      <c r="T73" s="134"/>
      <c r="U73" s="134"/>
    </row>
    <row r="74" spans="1:21" ht="16.5" customHeight="1">
      <c r="A74" s="29">
        <v>13</v>
      </c>
      <c r="B74" s="50" t="s">
        <v>162</v>
      </c>
      <c r="C74" s="51" t="s">
        <v>163</v>
      </c>
      <c r="D74" s="97" t="s">
        <v>227</v>
      </c>
      <c r="E74" s="34"/>
      <c r="F74" s="105">
        <v>4</v>
      </c>
      <c r="G74" s="105">
        <v>222.63</v>
      </c>
      <c r="H74" s="98"/>
      <c r="I74" s="13">
        <f>G74*1</f>
        <v>222.63</v>
      </c>
      <c r="J74" s="5"/>
      <c r="K74" s="5"/>
      <c r="L74" s="5"/>
      <c r="M74" s="5"/>
      <c r="N74" s="5"/>
      <c r="O74" s="5"/>
      <c r="P74" s="5"/>
      <c r="Q74" s="5"/>
      <c r="R74" s="134"/>
      <c r="S74" s="134"/>
      <c r="T74" s="134"/>
      <c r="U74" s="134"/>
    </row>
    <row r="75" spans="1:21" ht="15.75" customHeight="1">
      <c r="A75" s="29"/>
      <c r="B75" s="40" t="s">
        <v>50</v>
      </c>
      <c r="C75" s="36"/>
      <c r="D75" s="43"/>
      <c r="E75" s="36">
        <v>1</v>
      </c>
      <c r="F75" s="36"/>
      <c r="G75" s="36"/>
      <c r="H75" s="36"/>
      <c r="I75" s="32">
        <f>SUM(I71:I74)</f>
        <v>1621.7085665999998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75" customHeight="1">
      <c r="A76" s="29"/>
      <c r="B76" s="42" t="s">
        <v>80</v>
      </c>
      <c r="C76" s="15"/>
      <c r="D76" s="15"/>
      <c r="E76" s="37"/>
      <c r="F76" s="37"/>
      <c r="G76" s="38"/>
      <c r="H76" s="38"/>
      <c r="I76" s="17">
        <v>0</v>
      </c>
    </row>
    <row r="77" spans="1:21" ht="15.75" customHeight="1">
      <c r="A77" s="44"/>
      <c r="B77" s="41" t="s">
        <v>51</v>
      </c>
      <c r="C77" s="33"/>
      <c r="D77" s="33"/>
      <c r="E77" s="33"/>
      <c r="F77" s="33"/>
      <c r="G77" s="33"/>
      <c r="H77" s="33"/>
      <c r="I77" s="39">
        <f>I69+I75</f>
        <v>14226.263314600001</v>
      </c>
    </row>
    <row r="78" spans="1:21" ht="15.75" customHeight="1">
      <c r="A78" s="157" t="s">
        <v>228</v>
      </c>
      <c r="B78" s="157"/>
      <c r="C78" s="157"/>
      <c r="D78" s="157"/>
      <c r="E78" s="157"/>
      <c r="F78" s="157"/>
      <c r="G78" s="157"/>
      <c r="H78" s="157"/>
      <c r="I78" s="157"/>
    </row>
    <row r="79" spans="1:21" ht="15.75">
      <c r="A79" s="58"/>
      <c r="B79" s="158" t="s">
        <v>229</v>
      </c>
      <c r="C79" s="158"/>
      <c r="D79" s="158"/>
      <c r="E79" s="158"/>
      <c r="F79" s="158"/>
      <c r="G79" s="158"/>
      <c r="H79" s="63"/>
      <c r="I79" s="3"/>
    </row>
    <row r="80" spans="1:21">
      <c r="A80" s="94"/>
      <c r="B80" s="154" t="s">
        <v>6</v>
      </c>
      <c r="C80" s="154"/>
      <c r="D80" s="154"/>
      <c r="E80" s="154"/>
      <c r="F80" s="154"/>
      <c r="G80" s="154"/>
      <c r="H80" s="24"/>
      <c r="I80" s="5"/>
    </row>
    <row r="81" spans="1:9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5.75" customHeight="1">
      <c r="A82" s="141" t="s">
        <v>7</v>
      </c>
      <c r="B82" s="141"/>
      <c r="C82" s="141"/>
      <c r="D82" s="141"/>
      <c r="E82" s="141"/>
      <c r="F82" s="141"/>
      <c r="G82" s="141"/>
      <c r="H82" s="141"/>
      <c r="I82" s="141"/>
    </row>
    <row r="83" spans="1:9" ht="15.75">
      <c r="A83" s="141" t="s">
        <v>8</v>
      </c>
      <c r="B83" s="141"/>
      <c r="C83" s="141"/>
      <c r="D83" s="141"/>
      <c r="E83" s="141"/>
      <c r="F83" s="141"/>
      <c r="G83" s="141"/>
      <c r="H83" s="141"/>
      <c r="I83" s="141"/>
    </row>
    <row r="84" spans="1:9" ht="15.75">
      <c r="A84" s="142" t="s">
        <v>59</v>
      </c>
      <c r="B84" s="142"/>
      <c r="C84" s="142"/>
      <c r="D84" s="142"/>
      <c r="E84" s="142"/>
      <c r="F84" s="142"/>
      <c r="G84" s="142"/>
      <c r="H84" s="142"/>
      <c r="I84" s="142"/>
    </row>
    <row r="85" spans="1:9" ht="15.75" customHeight="1">
      <c r="A85" s="11"/>
    </row>
    <row r="86" spans="1:9" ht="15.75" customHeight="1">
      <c r="A86" s="152" t="s">
        <v>9</v>
      </c>
      <c r="B86" s="152"/>
      <c r="C86" s="152"/>
      <c r="D86" s="152"/>
      <c r="E86" s="152"/>
      <c r="F86" s="152"/>
      <c r="G86" s="152"/>
      <c r="H86" s="152"/>
      <c r="I86" s="152"/>
    </row>
    <row r="87" spans="1:9" ht="15.75" customHeight="1">
      <c r="A87" s="4"/>
    </row>
    <row r="88" spans="1:9" ht="15.75" customHeight="1">
      <c r="B88" s="93" t="s">
        <v>10</v>
      </c>
      <c r="C88" s="153" t="s">
        <v>217</v>
      </c>
      <c r="D88" s="153"/>
      <c r="E88" s="153"/>
      <c r="F88" s="61"/>
      <c r="I88" s="96"/>
    </row>
    <row r="89" spans="1:9" ht="15.75" customHeight="1">
      <c r="A89" s="94"/>
      <c r="C89" s="154" t="s">
        <v>11</v>
      </c>
      <c r="D89" s="154"/>
      <c r="E89" s="154"/>
      <c r="F89" s="24"/>
      <c r="I89" s="95" t="s">
        <v>12</v>
      </c>
    </row>
    <row r="90" spans="1:9" ht="15.75" customHeight="1">
      <c r="A90" s="25"/>
      <c r="C90" s="12"/>
      <c r="D90" s="12"/>
      <c r="G90" s="12"/>
      <c r="H90" s="12"/>
    </row>
    <row r="91" spans="1:9" ht="15.75" customHeight="1">
      <c r="B91" s="93" t="s">
        <v>13</v>
      </c>
      <c r="C91" s="155"/>
      <c r="D91" s="155"/>
      <c r="E91" s="155"/>
      <c r="F91" s="62"/>
      <c r="I91" s="96"/>
    </row>
    <row r="92" spans="1:9" ht="15.75" customHeight="1">
      <c r="A92" s="94"/>
      <c r="C92" s="144" t="s">
        <v>11</v>
      </c>
      <c r="D92" s="144"/>
      <c r="E92" s="144"/>
      <c r="F92" s="94"/>
      <c r="I92" s="95" t="s">
        <v>12</v>
      </c>
    </row>
    <row r="93" spans="1:9" ht="15.75" customHeight="1">
      <c r="A93" s="4" t="s">
        <v>14</v>
      </c>
    </row>
    <row r="94" spans="1:9">
      <c r="A94" s="156" t="s">
        <v>15</v>
      </c>
      <c r="B94" s="156"/>
      <c r="C94" s="156"/>
      <c r="D94" s="156"/>
      <c r="E94" s="156"/>
      <c r="F94" s="156"/>
      <c r="G94" s="156"/>
      <c r="H94" s="156"/>
      <c r="I94" s="156"/>
    </row>
    <row r="95" spans="1:9" ht="45" customHeight="1">
      <c r="A95" s="151" t="s">
        <v>16</v>
      </c>
      <c r="B95" s="151"/>
      <c r="C95" s="151"/>
      <c r="D95" s="151"/>
      <c r="E95" s="151"/>
      <c r="F95" s="151"/>
      <c r="G95" s="151"/>
      <c r="H95" s="151"/>
      <c r="I95" s="151"/>
    </row>
    <row r="96" spans="1:9" ht="30" customHeight="1">
      <c r="A96" s="151" t="s">
        <v>17</v>
      </c>
      <c r="B96" s="151"/>
      <c r="C96" s="151"/>
      <c r="D96" s="151"/>
      <c r="E96" s="151"/>
      <c r="F96" s="151"/>
      <c r="G96" s="151"/>
      <c r="H96" s="151"/>
      <c r="I96" s="151"/>
    </row>
    <row r="97" spans="1:9" ht="30" customHeight="1">
      <c r="A97" s="151" t="s">
        <v>21</v>
      </c>
      <c r="B97" s="151"/>
      <c r="C97" s="151"/>
      <c r="D97" s="151"/>
      <c r="E97" s="151"/>
      <c r="F97" s="151"/>
      <c r="G97" s="151"/>
      <c r="H97" s="151"/>
      <c r="I97" s="151"/>
    </row>
    <row r="98" spans="1:9" ht="15" customHeight="1">
      <c r="A98" s="151" t="s">
        <v>20</v>
      </c>
      <c r="B98" s="151"/>
      <c r="C98" s="151"/>
      <c r="D98" s="151"/>
      <c r="E98" s="151"/>
      <c r="F98" s="151"/>
      <c r="G98" s="151"/>
      <c r="H98" s="151"/>
      <c r="I98" s="151"/>
    </row>
  </sheetData>
  <autoFilter ref="I12:I62"/>
  <mergeCells count="29">
    <mergeCell ref="R67:U67"/>
    <mergeCell ref="A3:I3"/>
    <mergeCell ref="A4:I4"/>
    <mergeCell ref="A5:I5"/>
    <mergeCell ref="A8:I8"/>
    <mergeCell ref="A10:I10"/>
    <mergeCell ref="A14:I14"/>
    <mergeCell ref="A15:I15"/>
    <mergeCell ref="A18:I18"/>
    <mergeCell ref="A33:I33"/>
    <mergeCell ref="A43:I43"/>
    <mergeCell ref="A66:I66"/>
    <mergeCell ref="C92:E92"/>
    <mergeCell ref="A70:I70"/>
    <mergeCell ref="A78:I78"/>
    <mergeCell ref="B79:G79"/>
    <mergeCell ref="B80:G80"/>
    <mergeCell ref="A82:I82"/>
    <mergeCell ref="A83:I83"/>
    <mergeCell ref="A84:I84"/>
    <mergeCell ref="A86:I86"/>
    <mergeCell ref="C88:E88"/>
    <mergeCell ref="C89:E89"/>
    <mergeCell ref="C91:E91"/>
    <mergeCell ref="A94:I94"/>
    <mergeCell ref="A95:I95"/>
    <mergeCell ref="A96:I96"/>
    <mergeCell ref="A97:I97"/>
    <mergeCell ref="A98:I9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96"/>
  <sheetViews>
    <sheetView topLeftCell="A65" workbookViewId="0">
      <selection activeCell="A81" sqref="A81:I8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125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174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43890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151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hidden="1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31.5" hidden="1" customHeight="1">
      <c r="A19" s="29">
        <v>3</v>
      </c>
      <c r="B19" s="64" t="s">
        <v>92</v>
      </c>
      <c r="C19" s="65" t="s">
        <v>93</v>
      </c>
      <c r="D19" s="64" t="s">
        <v>117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4" si="0">SUM(F19*G19/1000)</f>
        <v>6.351270379999999</v>
      </c>
      <c r="I19" s="13">
        <f t="shared" ref="I19:I22" si="1">F19/6*G19</f>
        <v>1058.5450633333332</v>
      </c>
      <c r="J19" s="8"/>
      <c r="K19" s="8"/>
      <c r="L19" s="8"/>
      <c r="M19" s="8"/>
    </row>
    <row r="20" spans="1:13" ht="31.5" hidden="1" customHeight="1">
      <c r="A20" s="29">
        <v>4</v>
      </c>
      <c r="B20" s="64" t="s">
        <v>123</v>
      </c>
      <c r="C20" s="65" t="s">
        <v>93</v>
      </c>
      <c r="D20" s="64" t="s">
        <v>118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94</v>
      </c>
      <c r="C22" s="65" t="s">
        <v>29</v>
      </c>
      <c r="D22" s="64" t="s">
        <v>61</v>
      </c>
      <c r="E22" s="68">
        <v>0.33333333333333331</v>
      </c>
      <c r="F22" s="66">
        <f>155/3</f>
        <v>51.666666666666664</v>
      </c>
      <c r="G22" s="66">
        <v>56.69</v>
      </c>
      <c r="H22" s="67">
        <f>SUM(G22*155/3/1000)</f>
        <v>2.9289833333333331</v>
      </c>
      <c r="I22" s="13">
        <f t="shared" si="1"/>
        <v>488.16388888888883</v>
      </c>
      <c r="J22" s="22"/>
      <c r="K22" s="8"/>
      <c r="L22" s="8"/>
      <c r="M22" s="8"/>
    </row>
    <row r="23" spans="1:13" ht="15.75" hidden="1" customHeight="1">
      <c r="A23" s="29"/>
      <c r="B23" s="64" t="s">
        <v>62</v>
      </c>
      <c r="C23" s="65" t="s">
        <v>31</v>
      </c>
      <c r="D23" s="64" t="s">
        <v>64</v>
      </c>
      <c r="E23" s="69"/>
      <c r="F23" s="66">
        <v>2</v>
      </c>
      <c r="G23" s="66">
        <v>191.32</v>
      </c>
      <c r="H23" s="67">
        <f t="shared" si="0"/>
        <v>0.38263999999999998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4" t="s">
        <v>63</v>
      </c>
      <c r="C24" s="65" t="s">
        <v>30</v>
      </c>
      <c r="D24" s="64" t="s">
        <v>64</v>
      </c>
      <c r="E24" s="69"/>
      <c r="F24" s="66">
        <v>2</v>
      </c>
      <c r="G24" s="66">
        <v>1136.33</v>
      </c>
      <c r="H24" s="67">
        <f t="shared" si="0"/>
        <v>2.2726599999999997</v>
      </c>
      <c r="I24" s="13">
        <v>0</v>
      </c>
      <c r="J24" s="22"/>
      <c r="K24" s="8"/>
      <c r="L24" s="8"/>
      <c r="M24" s="8"/>
    </row>
    <row r="25" spans="1:13" ht="15.75" customHeight="1">
      <c r="A25" s="29"/>
      <c r="B25" s="88" t="s">
        <v>5</v>
      </c>
      <c r="C25" s="65"/>
      <c r="D25" s="64"/>
      <c r="E25" s="69"/>
      <c r="F25" s="66"/>
      <c r="G25" s="66"/>
      <c r="H25" s="67" t="s">
        <v>110</v>
      </c>
      <c r="I25" s="72"/>
      <c r="J25" s="22"/>
      <c r="K25" s="8"/>
      <c r="L25" s="8"/>
      <c r="M25" s="8"/>
    </row>
    <row r="26" spans="1:13" ht="15.75" hidden="1" customHeight="1">
      <c r="A26" s="29">
        <v>2</v>
      </c>
      <c r="B26" s="64" t="s">
        <v>25</v>
      </c>
      <c r="C26" s="65" t="s">
        <v>30</v>
      </c>
      <c r="D26" s="64"/>
      <c r="E26" s="69"/>
      <c r="F26" s="66">
        <v>3</v>
      </c>
      <c r="G26" s="66">
        <v>1527.22</v>
      </c>
      <c r="H26" s="67">
        <f t="shared" ref="H26:H31" si="2">SUM(F26*G26/1000)</f>
        <v>4.5816600000000003</v>
      </c>
      <c r="I26" s="13">
        <f>G26*0.8</f>
        <v>1221.7760000000001</v>
      </c>
      <c r="J26" s="22"/>
      <c r="K26" s="8"/>
      <c r="L26" s="8"/>
      <c r="M26" s="8"/>
    </row>
    <row r="27" spans="1:13" ht="15.75" customHeight="1">
      <c r="A27" s="29">
        <v>2</v>
      </c>
      <c r="B27" s="64" t="s">
        <v>65</v>
      </c>
      <c r="C27" s="65" t="s">
        <v>28</v>
      </c>
      <c r="D27" s="64" t="s">
        <v>152</v>
      </c>
      <c r="E27" s="66">
        <v>171.9</v>
      </c>
      <c r="F27" s="66">
        <f>SUM(E27*18/1000)</f>
        <v>3.0942000000000003</v>
      </c>
      <c r="G27" s="66">
        <v>2102.71</v>
      </c>
      <c r="H27" s="67">
        <f t="shared" si="2"/>
        <v>6.5062052820000007</v>
      </c>
      <c r="I27" s="13">
        <f t="shared" ref="I27:I29" si="3">F27/6*G27</f>
        <v>1084.3675470000001</v>
      </c>
      <c r="J27" s="22"/>
      <c r="K27" s="8"/>
      <c r="L27" s="8"/>
      <c r="M27" s="8"/>
    </row>
    <row r="28" spans="1:13" ht="15.75" customHeight="1">
      <c r="A28" s="29">
        <v>3</v>
      </c>
      <c r="B28" s="64" t="s">
        <v>67</v>
      </c>
      <c r="C28" s="65" t="s">
        <v>28</v>
      </c>
      <c r="D28" s="64" t="s">
        <v>153</v>
      </c>
      <c r="E28" s="66">
        <v>48</v>
      </c>
      <c r="F28" s="66">
        <f>SUM(E28*70/1000)</f>
        <v>3.36</v>
      </c>
      <c r="G28" s="66">
        <v>350.75</v>
      </c>
      <c r="H28" s="67">
        <f t="shared" si="2"/>
        <v>1.17852</v>
      </c>
      <c r="I28" s="13">
        <f t="shared" si="3"/>
        <v>196.42</v>
      </c>
      <c r="J28" s="22"/>
      <c r="K28" s="8"/>
      <c r="L28" s="8"/>
      <c r="M28" s="8"/>
    </row>
    <row r="29" spans="1:13" ht="47.25" customHeight="1">
      <c r="A29" s="29">
        <v>4</v>
      </c>
      <c r="B29" s="64" t="s">
        <v>83</v>
      </c>
      <c r="C29" s="65" t="s">
        <v>93</v>
      </c>
      <c r="D29" s="64" t="s">
        <v>153</v>
      </c>
      <c r="E29" s="66">
        <v>18</v>
      </c>
      <c r="F29" s="66">
        <f>SUM(E29*70/1000)</f>
        <v>1.26</v>
      </c>
      <c r="G29" s="66">
        <v>5803.28</v>
      </c>
      <c r="H29" s="67">
        <f t="shared" si="2"/>
        <v>7.3121327999999997</v>
      </c>
      <c r="I29" s="13">
        <f t="shared" si="3"/>
        <v>1218.6887999999999</v>
      </c>
      <c r="J29" s="22"/>
      <c r="K29" s="8"/>
      <c r="L29" s="8"/>
      <c r="M29" s="8"/>
    </row>
    <row r="30" spans="1:13" ht="15.75" hidden="1" customHeight="1">
      <c r="A30" s="29">
        <v>6</v>
      </c>
      <c r="B30" s="64" t="s">
        <v>95</v>
      </c>
      <c r="C30" s="65" t="s">
        <v>93</v>
      </c>
      <c r="D30" s="64" t="s">
        <v>154</v>
      </c>
      <c r="E30" s="66">
        <v>48</v>
      </c>
      <c r="F30" s="66">
        <f>SUM(E30*45/1000)</f>
        <v>2.16</v>
      </c>
      <c r="G30" s="66">
        <v>428.7</v>
      </c>
      <c r="H30" s="67">
        <f t="shared" si="2"/>
        <v>0.92599200000000004</v>
      </c>
      <c r="I30" s="13">
        <f>F30/7.5*G30</f>
        <v>123.46560000000001</v>
      </c>
      <c r="J30" s="22"/>
      <c r="K30" s="8"/>
      <c r="L30" s="8"/>
      <c r="M30" s="8"/>
    </row>
    <row r="31" spans="1:13" ht="15.75" hidden="1" customHeight="1">
      <c r="A31" s="29">
        <v>7</v>
      </c>
      <c r="B31" s="64" t="s">
        <v>70</v>
      </c>
      <c r="C31" s="65" t="s">
        <v>31</v>
      </c>
      <c r="D31" s="64"/>
      <c r="E31" s="69"/>
      <c r="F31" s="66">
        <v>0.2</v>
      </c>
      <c r="G31" s="66">
        <v>798</v>
      </c>
      <c r="H31" s="67">
        <f t="shared" si="2"/>
        <v>0.15960000000000002</v>
      </c>
      <c r="I31" s="13">
        <f>F31/7.5*G31</f>
        <v>21.28</v>
      </c>
      <c r="J31" s="22"/>
      <c r="K31" s="8"/>
      <c r="L31" s="8"/>
      <c r="M31" s="8"/>
    </row>
    <row r="32" spans="1:13" ht="15.75" customHeight="1">
      <c r="A32" s="145" t="s">
        <v>113</v>
      </c>
      <c r="B32" s="146"/>
      <c r="C32" s="146"/>
      <c r="D32" s="146"/>
      <c r="E32" s="146"/>
      <c r="F32" s="146"/>
      <c r="G32" s="146"/>
      <c r="H32" s="146"/>
      <c r="I32" s="147"/>
      <c r="J32" s="23"/>
    </row>
    <row r="33" spans="1:14" ht="15.75" hidden="1" customHeight="1">
      <c r="A33" s="29"/>
      <c r="B33" s="64" t="s">
        <v>96</v>
      </c>
      <c r="C33" s="65" t="s">
        <v>93</v>
      </c>
      <c r="D33" s="64" t="s">
        <v>40</v>
      </c>
      <c r="E33" s="69">
        <v>578.5</v>
      </c>
      <c r="F33" s="66">
        <f>SUM(E33*2/1000)</f>
        <v>1.157</v>
      </c>
      <c r="G33" s="13">
        <v>809.74</v>
      </c>
      <c r="H33" s="67">
        <f t="shared" ref="H33:H41" si="4">SUM(F33*G33/1000)</f>
        <v>0.93686918000000008</v>
      </c>
      <c r="I33" s="13">
        <v>0</v>
      </c>
      <c r="J33" s="23"/>
    </row>
    <row r="34" spans="1:14" ht="15.75" hidden="1" customHeight="1">
      <c r="A34" s="29"/>
      <c r="B34" s="64" t="s">
        <v>34</v>
      </c>
      <c r="C34" s="65" t="s">
        <v>93</v>
      </c>
      <c r="D34" s="64" t="s">
        <v>40</v>
      </c>
      <c r="E34" s="69">
        <v>21</v>
      </c>
      <c r="F34" s="66">
        <f>SUM(E34*2/1000)</f>
        <v>4.2000000000000003E-2</v>
      </c>
      <c r="G34" s="13">
        <v>579.48</v>
      </c>
      <c r="H34" s="67">
        <f t="shared" si="4"/>
        <v>2.4338160000000001E-2</v>
      </c>
      <c r="I34" s="13">
        <v>0</v>
      </c>
      <c r="J34" s="23"/>
    </row>
    <row r="35" spans="1:14" ht="15.75" hidden="1" customHeight="1">
      <c r="A35" s="29"/>
      <c r="B35" s="64" t="s">
        <v>35</v>
      </c>
      <c r="C35" s="65" t="s">
        <v>93</v>
      </c>
      <c r="D35" s="64" t="s">
        <v>40</v>
      </c>
      <c r="E35" s="69">
        <v>737</v>
      </c>
      <c r="F35" s="66">
        <f>SUM(E35*2/1000)</f>
        <v>1.474</v>
      </c>
      <c r="G35" s="13">
        <v>579.48</v>
      </c>
      <c r="H35" s="67">
        <f t="shared" si="4"/>
        <v>0.85415352</v>
      </c>
      <c r="I35" s="13">
        <v>0</v>
      </c>
      <c r="J35" s="23"/>
    </row>
    <row r="36" spans="1:14" ht="15.75" hidden="1" customHeight="1">
      <c r="A36" s="29"/>
      <c r="B36" s="64" t="s">
        <v>32</v>
      </c>
      <c r="C36" s="65" t="s">
        <v>33</v>
      </c>
      <c r="D36" s="64" t="s">
        <v>40</v>
      </c>
      <c r="E36" s="69">
        <v>59.75</v>
      </c>
      <c r="F36" s="66">
        <f>SUM(E36*2/100)</f>
        <v>1.1950000000000001</v>
      </c>
      <c r="G36" s="13">
        <v>72.81</v>
      </c>
      <c r="H36" s="67">
        <f t="shared" si="4"/>
        <v>8.7007950000000014E-2</v>
      </c>
      <c r="I36" s="13">
        <v>0</v>
      </c>
      <c r="J36" s="23"/>
    </row>
    <row r="37" spans="1:14" ht="15.75" customHeight="1">
      <c r="A37" s="29">
        <v>5</v>
      </c>
      <c r="B37" s="64" t="s">
        <v>54</v>
      </c>
      <c r="C37" s="65" t="s">
        <v>93</v>
      </c>
      <c r="D37" s="64" t="s">
        <v>155</v>
      </c>
      <c r="E37" s="69">
        <v>479.7</v>
      </c>
      <c r="F37" s="66">
        <f>SUM(E37*5/1000)</f>
        <v>2.3984999999999999</v>
      </c>
      <c r="G37" s="13">
        <v>1213.55</v>
      </c>
      <c r="H37" s="67">
        <f t="shared" si="4"/>
        <v>2.910699675</v>
      </c>
      <c r="I37" s="13">
        <f>F37/5*G37</f>
        <v>582.13993499999992</v>
      </c>
      <c r="J37" s="23"/>
    </row>
    <row r="38" spans="1:14" ht="31.5" hidden="1" customHeight="1">
      <c r="A38" s="29"/>
      <c r="B38" s="64" t="s">
        <v>97</v>
      </c>
      <c r="C38" s="65" t="s">
        <v>93</v>
      </c>
      <c r="D38" s="64" t="s">
        <v>40</v>
      </c>
      <c r="E38" s="69">
        <v>479.7</v>
      </c>
      <c r="F38" s="66">
        <f>SUM(E38*2/1000)</f>
        <v>0.95940000000000003</v>
      </c>
      <c r="G38" s="13">
        <v>1213.55</v>
      </c>
      <c r="H38" s="67">
        <f t="shared" si="4"/>
        <v>1.1642798700000001</v>
      </c>
      <c r="I38" s="13">
        <v>0</v>
      </c>
      <c r="J38" s="23"/>
    </row>
    <row r="39" spans="1:14" ht="31.5" hidden="1" customHeight="1">
      <c r="A39" s="29"/>
      <c r="B39" s="64" t="s">
        <v>98</v>
      </c>
      <c r="C39" s="65" t="s">
        <v>36</v>
      </c>
      <c r="D39" s="64" t="s">
        <v>40</v>
      </c>
      <c r="E39" s="69">
        <v>4</v>
      </c>
      <c r="F39" s="66">
        <f>SUM(E39*2/100)</f>
        <v>0.08</v>
      </c>
      <c r="G39" s="13">
        <v>2730.49</v>
      </c>
      <c r="H39" s="67">
        <f t="shared" si="4"/>
        <v>0.2184392</v>
      </c>
      <c r="I39" s="13">
        <v>0</v>
      </c>
      <c r="J39" s="23"/>
      <c r="L39" s="19"/>
      <c r="M39" s="20"/>
      <c r="N39" s="21"/>
    </row>
    <row r="40" spans="1:14" ht="15.75" hidden="1" customHeight="1">
      <c r="A40" s="29"/>
      <c r="B40" s="64" t="s">
        <v>37</v>
      </c>
      <c r="C40" s="65" t="s">
        <v>38</v>
      </c>
      <c r="D40" s="64" t="s">
        <v>40</v>
      </c>
      <c r="E40" s="69">
        <v>1</v>
      </c>
      <c r="F40" s="66">
        <v>0.02</v>
      </c>
      <c r="G40" s="13">
        <v>5652.13</v>
      </c>
      <c r="H40" s="67">
        <f t="shared" si="4"/>
        <v>0.11304260000000001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10</v>
      </c>
      <c r="B41" s="64" t="s">
        <v>39</v>
      </c>
      <c r="C41" s="65" t="s">
        <v>86</v>
      </c>
      <c r="D41" s="64" t="s">
        <v>71</v>
      </c>
      <c r="E41" s="69">
        <v>24</v>
      </c>
      <c r="F41" s="66">
        <f>SUM(E41)*3</f>
        <v>72</v>
      </c>
      <c r="G41" s="13">
        <v>65.67</v>
      </c>
      <c r="H41" s="67">
        <f t="shared" si="4"/>
        <v>4.7282399999999996</v>
      </c>
      <c r="I41" s="13">
        <f>E41*G41</f>
        <v>1576.08</v>
      </c>
      <c r="J41" s="23"/>
      <c r="L41" s="19"/>
      <c r="M41" s="20"/>
      <c r="N41" s="21"/>
    </row>
    <row r="42" spans="1:14" ht="15.75" customHeight="1">
      <c r="A42" s="145" t="s">
        <v>114</v>
      </c>
      <c r="B42" s="146"/>
      <c r="C42" s="146"/>
      <c r="D42" s="146"/>
      <c r="E42" s="146"/>
      <c r="F42" s="146"/>
      <c r="G42" s="146"/>
      <c r="H42" s="146"/>
      <c r="I42" s="147"/>
      <c r="J42" s="23"/>
      <c r="L42" s="19"/>
      <c r="M42" s="20"/>
      <c r="N42" s="21"/>
    </row>
    <row r="43" spans="1:14" ht="15.75" customHeight="1">
      <c r="A43" s="29"/>
      <c r="B43" s="88" t="s">
        <v>41</v>
      </c>
      <c r="C43" s="65"/>
      <c r="D43" s="64"/>
      <c r="E43" s="69"/>
      <c r="F43" s="66"/>
      <c r="G43" s="66"/>
      <c r="H43" s="67"/>
      <c r="I43" s="72"/>
      <c r="J43" s="23"/>
      <c r="L43" s="19"/>
      <c r="M43" s="20"/>
      <c r="N43" s="21"/>
    </row>
    <row r="44" spans="1:14" ht="31.5" customHeight="1">
      <c r="A44" s="29">
        <v>6</v>
      </c>
      <c r="B44" s="64" t="s">
        <v>119</v>
      </c>
      <c r="C44" s="65" t="s">
        <v>89</v>
      </c>
      <c r="D44" s="64"/>
      <c r="E44" s="69">
        <v>57.85</v>
      </c>
      <c r="F44" s="66">
        <f>SUM(E44*6/100)</f>
        <v>3.4710000000000001</v>
      </c>
      <c r="G44" s="13">
        <v>1547.28</v>
      </c>
      <c r="H44" s="67">
        <f>SUM(F44*G44/1000)</f>
        <v>5.3706088799999998</v>
      </c>
      <c r="I44" s="13">
        <f>G44*0.36</f>
        <v>557.02080000000001</v>
      </c>
      <c r="J44" s="23"/>
      <c r="L44" s="19"/>
      <c r="M44" s="20"/>
      <c r="N44" s="21"/>
    </row>
    <row r="45" spans="1:14" ht="15.75" hidden="1" customHeight="1">
      <c r="A45" s="29"/>
      <c r="B45" s="88" t="s">
        <v>42</v>
      </c>
      <c r="C45" s="65"/>
      <c r="D45" s="64"/>
      <c r="E45" s="69"/>
      <c r="F45" s="66"/>
      <c r="G45" s="59"/>
      <c r="H45" s="67"/>
      <c r="I45" s="72"/>
      <c r="J45" s="23"/>
      <c r="L45" s="19"/>
      <c r="M45" s="20"/>
      <c r="N45" s="21"/>
    </row>
    <row r="46" spans="1:14" ht="15.75" hidden="1" customHeight="1">
      <c r="A46" s="29"/>
      <c r="B46" s="64" t="s">
        <v>43</v>
      </c>
      <c r="C46" s="65" t="s">
        <v>89</v>
      </c>
      <c r="D46" s="64" t="s">
        <v>52</v>
      </c>
      <c r="E46" s="69">
        <v>479.7</v>
      </c>
      <c r="F46" s="67">
        <v>4.8</v>
      </c>
      <c r="G46" s="13">
        <v>793.61</v>
      </c>
      <c r="H46" s="73">
        <f>F46*G46/1000</f>
        <v>3.8093279999999998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88" t="s">
        <v>100</v>
      </c>
      <c r="C47" s="65"/>
      <c r="D47" s="64"/>
      <c r="E47" s="69"/>
      <c r="F47" s="66"/>
      <c r="G47" s="74"/>
      <c r="H47" s="67" t="s">
        <v>110</v>
      </c>
      <c r="I47" s="72"/>
      <c r="J47" s="23"/>
      <c r="L47" s="19"/>
      <c r="M47" s="20"/>
      <c r="N47" s="21"/>
    </row>
    <row r="48" spans="1:14" ht="15.75" hidden="1" customHeight="1">
      <c r="A48" s="29"/>
      <c r="B48" s="64" t="s">
        <v>101</v>
      </c>
      <c r="C48" s="65" t="s">
        <v>86</v>
      </c>
      <c r="D48" s="64" t="s">
        <v>64</v>
      </c>
      <c r="E48" s="69">
        <v>3</v>
      </c>
      <c r="F48" s="66">
        <f>SUM(E48)</f>
        <v>3</v>
      </c>
      <c r="G48" s="75">
        <v>237.75</v>
      </c>
      <c r="H48" s="67">
        <f t="shared" ref="H48:H62" si="5">SUM(F48*G48/1000)</f>
        <v>0.71325000000000005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89" t="s">
        <v>44</v>
      </c>
      <c r="C49" s="76"/>
      <c r="D49" s="77"/>
      <c r="E49" s="78"/>
      <c r="F49" s="79"/>
      <c r="G49" s="79"/>
      <c r="H49" s="80" t="s">
        <v>110</v>
      </c>
      <c r="I49" s="72"/>
      <c r="J49" s="23"/>
      <c r="L49" s="19"/>
      <c r="M49" s="20"/>
      <c r="N49" s="21"/>
    </row>
    <row r="50" spans="1:22" ht="15.75" hidden="1" customHeight="1">
      <c r="A50" s="29"/>
      <c r="B50" s="14" t="s">
        <v>45</v>
      </c>
      <c r="C50" s="16" t="s">
        <v>86</v>
      </c>
      <c r="D50" s="64" t="s">
        <v>64</v>
      </c>
      <c r="E50" s="18">
        <v>5</v>
      </c>
      <c r="F50" s="66">
        <v>5</v>
      </c>
      <c r="G50" s="13">
        <v>222.4</v>
      </c>
      <c r="H50" s="81">
        <f t="shared" si="5"/>
        <v>1.1120000000000001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12</v>
      </c>
      <c r="B51" s="14" t="s">
        <v>46</v>
      </c>
      <c r="C51" s="16" t="s">
        <v>86</v>
      </c>
      <c r="D51" s="64" t="s">
        <v>64</v>
      </c>
      <c r="E51" s="18">
        <v>3</v>
      </c>
      <c r="F51" s="66">
        <v>3</v>
      </c>
      <c r="G51" s="13">
        <v>76.25</v>
      </c>
      <c r="H51" s="81">
        <f t="shared" si="5"/>
        <v>0.22875000000000001</v>
      </c>
      <c r="I51" s="13">
        <f>G51</f>
        <v>76.25</v>
      </c>
      <c r="J51" s="23"/>
      <c r="L51" s="19"/>
      <c r="M51" s="20"/>
      <c r="N51" s="21"/>
    </row>
    <row r="52" spans="1:22" ht="15.75" hidden="1" customHeight="1">
      <c r="A52" s="29"/>
      <c r="B52" s="14" t="s">
        <v>47</v>
      </c>
      <c r="C52" s="16" t="s">
        <v>102</v>
      </c>
      <c r="D52" s="14" t="s">
        <v>52</v>
      </c>
      <c r="E52" s="69">
        <v>2753</v>
      </c>
      <c r="F52" s="13">
        <f>SUM(E52/100)</f>
        <v>27.53</v>
      </c>
      <c r="G52" s="13">
        <v>212.15</v>
      </c>
      <c r="H52" s="81">
        <f t="shared" si="5"/>
        <v>5.8404895000000003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48</v>
      </c>
      <c r="C53" s="16" t="s">
        <v>103</v>
      </c>
      <c r="D53" s="14"/>
      <c r="E53" s="69">
        <v>2753</v>
      </c>
      <c r="F53" s="13">
        <f>SUM(E53/1000)</f>
        <v>2.7530000000000001</v>
      </c>
      <c r="G53" s="13">
        <v>165.21</v>
      </c>
      <c r="H53" s="81">
        <f t="shared" si="5"/>
        <v>0.45482313000000008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49</v>
      </c>
      <c r="C54" s="16" t="s">
        <v>78</v>
      </c>
      <c r="D54" s="14" t="s">
        <v>52</v>
      </c>
      <c r="E54" s="69">
        <v>440</v>
      </c>
      <c r="F54" s="13">
        <f>SUM(E54/100)</f>
        <v>4.4000000000000004</v>
      </c>
      <c r="G54" s="13">
        <v>2074.63</v>
      </c>
      <c r="H54" s="81">
        <f t="shared" si="5"/>
        <v>9.1283720000000006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82" t="s">
        <v>72</v>
      </c>
      <c r="C55" s="16" t="s">
        <v>31</v>
      </c>
      <c r="D55" s="14"/>
      <c r="E55" s="69">
        <v>2.8</v>
      </c>
      <c r="F55" s="13">
        <f>SUM(E55)</f>
        <v>2.8</v>
      </c>
      <c r="G55" s="13">
        <v>45.32</v>
      </c>
      <c r="H55" s="81">
        <f t="shared" si="5"/>
        <v>0.12689599999999998</v>
      </c>
      <c r="I55" s="13">
        <v>0</v>
      </c>
      <c r="J55" s="23"/>
      <c r="L55" s="19"/>
      <c r="M55" s="20"/>
      <c r="N55" s="21"/>
    </row>
    <row r="56" spans="1:22" ht="31.5" hidden="1" customHeight="1">
      <c r="A56" s="29"/>
      <c r="B56" s="82" t="s">
        <v>73</v>
      </c>
      <c r="C56" s="16" t="s">
        <v>31</v>
      </c>
      <c r="D56" s="14"/>
      <c r="E56" s="69">
        <v>2.8</v>
      </c>
      <c r="F56" s="13">
        <f>SUM(E56)</f>
        <v>2.8</v>
      </c>
      <c r="G56" s="13">
        <v>42.28</v>
      </c>
      <c r="H56" s="81">
        <f t="shared" si="5"/>
        <v>0.118384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4" t="s">
        <v>55</v>
      </c>
      <c r="C57" s="16" t="s">
        <v>56</v>
      </c>
      <c r="D57" s="14" t="s">
        <v>52</v>
      </c>
      <c r="E57" s="18">
        <v>3</v>
      </c>
      <c r="F57" s="66">
        <f>SUM(E57)</f>
        <v>3</v>
      </c>
      <c r="G57" s="13">
        <v>49.88</v>
      </c>
      <c r="H57" s="81">
        <f t="shared" si="5"/>
        <v>0.14964000000000002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56" t="s">
        <v>74</v>
      </c>
      <c r="C58" s="16"/>
      <c r="D58" s="14"/>
      <c r="E58" s="18"/>
      <c r="F58" s="13"/>
      <c r="G58" s="13"/>
      <c r="H58" s="81" t="s">
        <v>110</v>
      </c>
      <c r="I58" s="72"/>
      <c r="J58" s="23"/>
      <c r="L58" s="19"/>
      <c r="M58" s="20"/>
      <c r="N58" s="21"/>
    </row>
    <row r="59" spans="1:22" ht="15.75" hidden="1" customHeight="1">
      <c r="A59" s="29">
        <v>11</v>
      </c>
      <c r="B59" s="14" t="s">
        <v>75</v>
      </c>
      <c r="C59" s="16" t="s">
        <v>76</v>
      </c>
      <c r="D59" s="14"/>
      <c r="E59" s="18">
        <v>15</v>
      </c>
      <c r="F59" s="13">
        <v>1.5</v>
      </c>
      <c r="G59" s="13">
        <v>501.62</v>
      </c>
      <c r="H59" s="81">
        <f t="shared" si="5"/>
        <v>0.75243000000000004</v>
      </c>
      <c r="I59" s="13">
        <f>G59*0.2</f>
        <v>100.32400000000001</v>
      </c>
      <c r="J59" s="23"/>
      <c r="L59" s="19"/>
    </row>
    <row r="60" spans="1:22" ht="15.75" hidden="1" customHeight="1">
      <c r="A60" s="29"/>
      <c r="B60" s="14" t="s">
        <v>106</v>
      </c>
      <c r="C60" s="16" t="s">
        <v>86</v>
      </c>
      <c r="D60" s="14"/>
      <c r="E60" s="18">
        <v>1</v>
      </c>
      <c r="F60" s="66">
        <f>SUM(E60)</f>
        <v>1</v>
      </c>
      <c r="G60" s="13">
        <v>358.51</v>
      </c>
      <c r="H60" s="81">
        <f t="shared" si="5"/>
        <v>0.35851</v>
      </c>
      <c r="I60" s="13">
        <v>0</v>
      </c>
    </row>
    <row r="61" spans="1:22" ht="15.75" hidden="1" customHeight="1">
      <c r="A61" s="29"/>
      <c r="B61" s="84" t="s">
        <v>77</v>
      </c>
      <c r="C61" s="16"/>
      <c r="D61" s="14"/>
      <c r="E61" s="18"/>
      <c r="F61" s="13"/>
      <c r="G61" s="13" t="s">
        <v>110</v>
      </c>
      <c r="H61" s="81" t="s">
        <v>110</v>
      </c>
      <c r="I61" s="72"/>
    </row>
    <row r="62" spans="1:22" ht="15.75" hidden="1" customHeight="1">
      <c r="A62" s="29"/>
      <c r="B62" s="42" t="s">
        <v>107</v>
      </c>
      <c r="C62" s="16" t="s">
        <v>78</v>
      </c>
      <c r="D62" s="14"/>
      <c r="E62" s="18"/>
      <c r="F62" s="13">
        <v>0.3</v>
      </c>
      <c r="G62" s="13">
        <v>2759.44</v>
      </c>
      <c r="H62" s="81">
        <f t="shared" si="5"/>
        <v>0.82783200000000001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56" t="s">
        <v>104</v>
      </c>
      <c r="C63" s="84"/>
      <c r="D63" s="31"/>
      <c r="E63" s="32"/>
      <c r="F63" s="85"/>
      <c r="G63" s="85"/>
      <c r="H63" s="86">
        <f>SUM(H44:H62)</f>
        <v>28.991313509999998</v>
      </c>
      <c r="I63" s="71"/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64" t="s">
        <v>105</v>
      </c>
      <c r="C64" s="16"/>
      <c r="D64" s="14"/>
      <c r="E64" s="60"/>
      <c r="F64" s="13">
        <v>1</v>
      </c>
      <c r="G64" s="13">
        <v>2119.1999999999998</v>
      </c>
      <c r="H64" s="81">
        <f>G64*F64/1000</f>
        <v>2.1191999999999998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145" t="s">
        <v>115</v>
      </c>
      <c r="B65" s="146"/>
      <c r="C65" s="146"/>
      <c r="D65" s="146"/>
      <c r="E65" s="146"/>
      <c r="F65" s="146"/>
      <c r="G65" s="146"/>
      <c r="H65" s="146"/>
      <c r="I65" s="147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7</v>
      </c>
      <c r="B66" s="64" t="s">
        <v>108</v>
      </c>
      <c r="C66" s="16" t="s">
        <v>53</v>
      </c>
      <c r="D66" s="45"/>
      <c r="E66" s="13">
        <v>737</v>
      </c>
      <c r="F66" s="13">
        <f>SUM(E66*12)</f>
        <v>8844</v>
      </c>
      <c r="G66" s="13">
        <v>2.1</v>
      </c>
      <c r="H66" s="81">
        <f>SUM(F66*G66/1000)</f>
        <v>18.572400000000002</v>
      </c>
      <c r="I66" s="13">
        <f>F66/12*G66</f>
        <v>1547.7</v>
      </c>
      <c r="J66" s="5"/>
      <c r="K66" s="5"/>
      <c r="L66" s="5"/>
      <c r="M66" s="5"/>
      <c r="N66" s="5"/>
      <c r="O66" s="5"/>
      <c r="P66" s="5"/>
      <c r="Q66" s="5"/>
      <c r="R66" s="144"/>
      <c r="S66" s="144"/>
      <c r="T66" s="144"/>
      <c r="U66" s="144"/>
    </row>
    <row r="67" spans="1:21" ht="31.5" customHeight="1">
      <c r="A67" s="29">
        <v>8</v>
      </c>
      <c r="B67" s="14" t="s">
        <v>79</v>
      </c>
      <c r="C67" s="16"/>
      <c r="D67" s="45"/>
      <c r="E67" s="69">
        <f>E66</f>
        <v>737</v>
      </c>
      <c r="F67" s="13">
        <f>E67*12</f>
        <v>8844</v>
      </c>
      <c r="G67" s="13">
        <v>1.63</v>
      </c>
      <c r="H67" s="81">
        <f>F67*G67/1000</f>
        <v>14.415719999999999</v>
      </c>
      <c r="I67" s="13">
        <f>F67/12*G67</f>
        <v>1201.31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29"/>
      <c r="B68" s="35" t="s">
        <v>81</v>
      </c>
      <c r="C68" s="84"/>
      <c r="D68" s="83"/>
      <c r="E68" s="85"/>
      <c r="F68" s="85"/>
      <c r="G68" s="85"/>
      <c r="H68" s="86">
        <f>SUM(H67)</f>
        <v>14.415719999999999</v>
      </c>
      <c r="I68" s="85">
        <f>I67+I66+I44+I37+I29+I28+I27+I16</f>
        <v>6803.1431820000007</v>
      </c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148" t="s">
        <v>58</v>
      </c>
      <c r="B69" s="149"/>
      <c r="C69" s="149"/>
      <c r="D69" s="149"/>
      <c r="E69" s="149"/>
      <c r="F69" s="149"/>
      <c r="G69" s="149"/>
      <c r="H69" s="149"/>
      <c r="I69" s="150"/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>
        <v>9</v>
      </c>
      <c r="B70" s="101" t="s">
        <v>144</v>
      </c>
      <c r="C70" s="110" t="s">
        <v>145</v>
      </c>
      <c r="D70" s="42"/>
      <c r="E70" s="13"/>
      <c r="F70" s="13">
        <v>200</v>
      </c>
      <c r="G70" s="13">
        <v>1.4</v>
      </c>
      <c r="H70" s="81">
        <f>SUM(F70*G70/1000)</f>
        <v>0.28000000000000003</v>
      </c>
      <c r="I70" s="13">
        <f>G70*100</f>
        <v>140</v>
      </c>
      <c r="J70" s="5"/>
      <c r="K70" s="5"/>
      <c r="L70" s="5"/>
      <c r="M70" s="5"/>
      <c r="N70" s="5"/>
      <c r="O70" s="5"/>
      <c r="P70" s="5"/>
      <c r="Q70" s="5"/>
      <c r="R70" s="99"/>
      <c r="S70" s="99"/>
      <c r="T70" s="99"/>
      <c r="U70" s="99"/>
    </row>
    <row r="71" spans="1:21" ht="33" customHeight="1">
      <c r="A71" s="29">
        <v>10</v>
      </c>
      <c r="B71" s="50" t="s">
        <v>149</v>
      </c>
      <c r="C71" s="51" t="s">
        <v>28</v>
      </c>
      <c r="D71" s="42"/>
      <c r="E71" s="13"/>
      <c r="F71" s="13"/>
      <c r="G71" s="111">
        <v>20547.34</v>
      </c>
      <c r="H71" s="81"/>
      <c r="I71" s="13">
        <f>G71*0.599*10/1000</f>
        <v>123.07856659999999</v>
      </c>
      <c r="J71" s="5"/>
      <c r="K71" s="5"/>
      <c r="L71" s="5"/>
      <c r="M71" s="5"/>
      <c r="N71" s="5"/>
      <c r="O71" s="5"/>
      <c r="P71" s="5"/>
      <c r="Q71" s="5"/>
      <c r="R71" s="108"/>
      <c r="S71" s="108"/>
      <c r="T71" s="108"/>
      <c r="U71" s="108"/>
    </row>
    <row r="72" spans="1:21" ht="16.5" customHeight="1">
      <c r="A72" s="29">
        <v>11</v>
      </c>
      <c r="B72" s="50" t="s">
        <v>175</v>
      </c>
      <c r="C72" s="51" t="s">
        <v>28</v>
      </c>
      <c r="D72" s="97" t="s">
        <v>155</v>
      </c>
      <c r="E72" s="34"/>
      <c r="F72" s="105">
        <v>0.06</v>
      </c>
      <c r="G72" s="105">
        <v>1207.24</v>
      </c>
      <c r="H72" s="81"/>
      <c r="I72" s="13">
        <v>0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1" ht="15.75" customHeight="1">
      <c r="A73" s="29"/>
      <c r="B73" s="40" t="s">
        <v>50</v>
      </c>
      <c r="C73" s="36"/>
      <c r="D73" s="43"/>
      <c r="E73" s="36">
        <v>1</v>
      </c>
      <c r="F73" s="36"/>
      <c r="G73" s="36"/>
      <c r="H73" s="36"/>
      <c r="I73" s="32">
        <f>SUM(I70:I72)</f>
        <v>263.07856659999999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29"/>
      <c r="B74" s="42" t="s">
        <v>80</v>
      </c>
      <c r="C74" s="15"/>
      <c r="D74" s="15"/>
      <c r="E74" s="37"/>
      <c r="F74" s="37"/>
      <c r="G74" s="38"/>
      <c r="H74" s="38"/>
      <c r="I74" s="17">
        <v>0</v>
      </c>
    </row>
    <row r="75" spans="1:21" ht="15.75" customHeight="1">
      <c r="A75" s="44"/>
      <c r="B75" s="41" t="s">
        <v>138</v>
      </c>
      <c r="C75" s="33"/>
      <c r="D75" s="33"/>
      <c r="E75" s="33"/>
      <c r="F75" s="33"/>
      <c r="G75" s="33"/>
      <c r="H75" s="33"/>
      <c r="I75" s="39">
        <f>I68+I73</f>
        <v>7066.2217486000009</v>
      </c>
    </row>
    <row r="76" spans="1:21" ht="15.75" customHeight="1">
      <c r="A76" s="157" t="s">
        <v>223</v>
      </c>
      <c r="B76" s="157"/>
      <c r="C76" s="157"/>
      <c r="D76" s="157"/>
      <c r="E76" s="157"/>
      <c r="F76" s="157"/>
      <c r="G76" s="157"/>
      <c r="H76" s="157"/>
      <c r="I76" s="157"/>
    </row>
    <row r="77" spans="1:21" ht="15.75">
      <c r="A77" s="58"/>
      <c r="B77" s="158" t="s">
        <v>224</v>
      </c>
      <c r="C77" s="158"/>
      <c r="D77" s="158"/>
      <c r="E77" s="158"/>
      <c r="F77" s="158"/>
      <c r="G77" s="158"/>
      <c r="H77" s="63"/>
      <c r="I77" s="3"/>
    </row>
    <row r="78" spans="1:21">
      <c r="A78" s="54"/>
      <c r="B78" s="154" t="s">
        <v>6</v>
      </c>
      <c r="C78" s="154"/>
      <c r="D78" s="154"/>
      <c r="E78" s="154"/>
      <c r="F78" s="154"/>
      <c r="G78" s="154"/>
      <c r="H78" s="24"/>
      <c r="I78" s="5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</row>
    <row r="80" spans="1:21" ht="15.75" customHeight="1">
      <c r="A80" s="141" t="s">
        <v>7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1" t="s">
        <v>8</v>
      </c>
      <c r="B81" s="141"/>
      <c r="C81" s="141"/>
      <c r="D81" s="141"/>
      <c r="E81" s="141"/>
      <c r="F81" s="141"/>
      <c r="G81" s="141"/>
      <c r="H81" s="141"/>
      <c r="I81" s="141"/>
    </row>
    <row r="82" spans="1:9" ht="15.75">
      <c r="A82" s="142" t="s">
        <v>59</v>
      </c>
      <c r="B82" s="142"/>
      <c r="C82" s="142"/>
      <c r="D82" s="142"/>
      <c r="E82" s="142"/>
      <c r="F82" s="142"/>
      <c r="G82" s="142"/>
      <c r="H82" s="142"/>
      <c r="I82" s="142"/>
    </row>
    <row r="83" spans="1:9" ht="15.75" customHeight="1">
      <c r="A83" s="11"/>
    </row>
    <row r="84" spans="1:9" ht="15.75" customHeight="1">
      <c r="A84" s="152" t="s">
        <v>9</v>
      </c>
      <c r="B84" s="152"/>
      <c r="C84" s="152"/>
      <c r="D84" s="152"/>
      <c r="E84" s="152"/>
      <c r="F84" s="152"/>
      <c r="G84" s="152"/>
      <c r="H84" s="152"/>
      <c r="I84" s="152"/>
    </row>
    <row r="85" spans="1:9" ht="15.75" customHeight="1">
      <c r="A85" s="4"/>
    </row>
    <row r="86" spans="1:9" ht="15.75" customHeight="1">
      <c r="B86" s="55" t="s">
        <v>10</v>
      </c>
      <c r="C86" s="153" t="s">
        <v>85</v>
      </c>
      <c r="D86" s="153"/>
      <c r="E86" s="153"/>
      <c r="F86" s="61"/>
      <c r="I86" s="53"/>
    </row>
    <row r="87" spans="1:9" ht="15.75" customHeight="1">
      <c r="A87" s="54"/>
      <c r="C87" s="154" t="s">
        <v>11</v>
      </c>
      <c r="D87" s="154"/>
      <c r="E87" s="154"/>
      <c r="F87" s="24"/>
      <c r="I87" s="52" t="s">
        <v>12</v>
      </c>
    </row>
    <row r="88" spans="1:9" ht="15.75" customHeight="1">
      <c r="A88" s="25"/>
      <c r="C88" s="12"/>
      <c r="D88" s="12"/>
      <c r="G88" s="12"/>
      <c r="H88" s="12"/>
    </row>
    <row r="89" spans="1:9" ht="15.75" customHeight="1">
      <c r="B89" s="55" t="s">
        <v>13</v>
      </c>
      <c r="C89" s="155"/>
      <c r="D89" s="155"/>
      <c r="E89" s="155"/>
      <c r="F89" s="62"/>
      <c r="I89" s="53"/>
    </row>
    <row r="90" spans="1:9" ht="15.75" customHeight="1">
      <c r="A90" s="54"/>
      <c r="C90" s="144" t="s">
        <v>11</v>
      </c>
      <c r="D90" s="144"/>
      <c r="E90" s="144"/>
      <c r="F90" s="54"/>
      <c r="I90" s="52" t="s">
        <v>12</v>
      </c>
    </row>
    <row r="91" spans="1:9" ht="15.75" customHeight="1">
      <c r="A91" s="4" t="s">
        <v>14</v>
      </c>
    </row>
    <row r="92" spans="1:9">
      <c r="A92" s="156" t="s">
        <v>15</v>
      </c>
      <c r="B92" s="156"/>
      <c r="C92" s="156"/>
      <c r="D92" s="156"/>
      <c r="E92" s="156"/>
      <c r="F92" s="156"/>
      <c r="G92" s="156"/>
      <c r="H92" s="156"/>
      <c r="I92" s="156"/>
    </row>
    <row r="93" spans="1:9" ht="45" customHeight="1">
      <c r="A93" s="151" t="s">
        <v>16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17</v>
      </c>
      <c r="B94" s="151"/>
      <c r="C94" s="151"/>
      <c r="D94" s="151"/>
      <c r="E94" s="151"/>
      <c r="F94" s="151"/>
      <c r="G94" s="151"/>
      <c r="H94" s="151"/>
      <c r="I94" s="151"/>
    </row>
    <row r="95" spans="1:9" ht="30" customHeight="1">
      <c r="A95" s="151" t="s">
        <v>21</v>
      </c>
      <c r="B95" s="151"/>
      <c r="C95" s="151"/>
      <c r="D95" s="151"/>
      <c r="E95" s="151"/>
      <c r="F95" s="151"/>
      <c r="G95" s="151"/>
      <c r="H95" s="151"/>
      <c r="I95" s="151"/>
    </row>
    <row r="96" spans="1:9" ht="15" customHeight="1">
      <c r="A96" s="151" t="s">
        <v>20</v>
      </c>
      <c r="B96" s="151"/>
      <c r="C96" s="151"/>
      <c r="D96" s="151"/>
      <c r="E96" s="151"/>
      <c r="F96" s="151"/>
      <c r="G96" s="151"/>
      <c r="H96" s="151"/>
      <c r="I96" s="151"/>
    </row>
  </sheetData>
  <autoFilter ref="I12:I61"/>
  <mergeCells count="29">
    <mergeCell ref="A93:I93"/>
    <mergeCell ref="A94:I94"/>
    <mergeCell ref="A95:I95"/>
    <mergeCell ref="A96:I96"/>
    <mergeCell ref="A84:I84"/>
    <mergeCell ref="C86:E86"/>
    <mergeCell ref="C87:E87"/>
    <mergeCell ref="C89:E89"/>
    <mergeCell ref="C90:E90"/>
    <mergeCell ref="A92:I92"/>
    <mergeCell ref="A82:I82"/>
    <mergeCell ref="A15:I15"/>
    <mergeCell ref="A17:I17"/>
    <mergeCell ref="A32:I32"/>
    <mergeCell ref="A42:I42"/>
    <mergeCell ref="A65:I65"/>
    <mergeCell ref="A76:I76"/>
    <mergeCell ref="B77:G77"/>
    <mergeCell ref="B78:G78"/>
    <mergeCell ref="A80:I80"/>
    <mergeCell ref="A81:I81"/>
    <mergeCell ref="A69:I69"/>
    <mergeCell ref="R66:U6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95"/>
  <sheetViews>
    <sheetView topLeftCell="A25" workbookViewId="0">
      <selection activeCell="B71" sqref="B71:I7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126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176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43921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151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hidden="1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31.5" hidden="1" customHeight="1">
      <c r="A19" s="29">
        <v>3</v>
      </c>
      <c r="B19" s="64" t="s">
        <v>92</v>
      </c>
      <c r="C19" s="65" t="s">
        <v>93</v>
      </c>
      <c r="D19" s="64" t="s">
        <v>117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4" si="0">SUM(F19*G19/1000)</f>
        <v>6.351270379999999</v>
      </c>
      <c r="I19" s="13">
        <f t="shared" ref="I19:I22" si="1">F19/6*G19</f>
        <v>1058.5450633333332</v>
      </c>
      <c r="J19" s="8"/>
      <c r="K19" s="8"/>
      <c r="L19" s="8"/>
      <c r="M19" s="8"/>
    </row>
    <row r="20" spans="1:13" ht="31.5" hidden="1" customHeight="1">
      <c r="A20" s="29">
        <v>4</v>
      </c>
      <c r="B20" s="64" t="s">
        <v>123</v>
      </c>
      <c r="C20" s="65" t="s">
        <v>93</v>
      </c>
      <c r="D20" s="64" t="s">
        <v>118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94</v>
      </c>
      <c r="C22" s="65" t="s">
        <v>29</v>
      </c>
      <c r="D22" s="64" t="s">
        <v>61</v>
      </c>
      <c r="E22" s="68">
        <v>0.33333333333333331</v>
      </c>
      <c r="F22" s="66">
        <f>155/3</f>
        <v>51.666666666666664</v>
      </c>
      <c r="G22" s="66">
        <v>56.69</v>
      </c>
      <c r="H22" s="67">
        <f>SUM(G22*155/3/1000)</f>
        <v>2.9289833333333331</v>
      </c>
      <c r="I22" s="13">
        <f t="shared" si="1"/>
        <v>488.16388888888883</v>
      </c>
      <c r="J22" s="22"/>
      <c r="K22" s="8"/>
      <c r="L22" s="8"/>
      <c r="M22" s="8"/>
    </row>
    <row r="23" spans="1:13" ht="15.75" hidden="1" customHeight="1">
      <c r="A23" s="29"/>
      <c r="B23" s="64" t="s">
        <v>62</v>
      </c>
      <c r="C23" s="65" t="s">
        <v>31</v>
      </c>
      <c r="D23" s="64" t="s">
        <v>64</v>
      </c>
      <c r="E23" s="69"/>
      <c r="F23" s="66">
        <v>2</v>
      </c>
      <c r="G23" s="66">
        <v>191.32</v>
      </c>
      <c r="H23" s="67">
        <f t="shared" si="0"/>
        <v>0.38263999999999998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4" t="s">
        <v>63</v>
      </c>
      <c r="C24" s="65" t="s">
        <v>30</v>
      </c>
      <c r="D24" s="64" t="s">
        <v>64</v>
      </c>
      <c r="E24" s="69"/>
      <c r="F24" s="66">
        <v>2</v>
      </c>
      <c r="G24" s="66">
        <v>1136.33</v>
      </c>
      <c r="H24" s="67">
        <f t="shared" si="0"/>
        <v>2.2726599999999997</v>
      </c>
      <c r="I24" s="13">
        <v>0</v>
      </c>
      <c r="J24" s="22"/>
      <c r="K24" s="8"/>
      <c r="L24" s="8"/>
      <c r="M24" s="8"/>
    </row>
    <row r="25" spans="1:13" ht="15.75" customHeight="1">
      <c r="A25" s="29"/>
      <c r="B25" s="88" t="s">
        <v>5</v>
      </c>
      <c r="C25" s="65"/>
      <c r="D25" s="64"/>
      <c r="E25" s="69"/>
      <c r="F25" s="66"/>
      <c r="G25" s="66"/>
      <c r="H25" s="67" t="s">
        <v>110</v>
      </c>
      <c r="I25" s="72"/>
      <c r="J25" s="22"/>
      <c r="K25" s="8"/>
      <c r="L25" s="8"/>
      <c r="M25" s="8"/>
    </row>
    <row r="26" spans="1:13" ht="15" customHeight="1">
      <c r="A26" s="29">
        <v>2</v>
      </c>
      <c r="B26" s="64" t="s">
        <v>25</v>
      </c>
      <c r="C26" s="65" t="s">
        <v>30</v>
      </c>
      <c r="D26" s="64" t="s">
        <v>177</v>
      </c>
      <c r="E26" s="69"/>
      <c r="F26" s="66">
        <v>3</v>
      </c>
      <c r="G26" s="66">
        <v>1527.22</v>
      </c>
      <c r="H26" s="67">
        <f t="shared" ref="H26:H31" si="2">SUM(F26*G26/1000)</f>
        <v>4.5816600000000003</v>
      </c>
      <c r="I26" s="13">
        <f>G26*0.4</f>
        <v>610.88800000000003</v>
      </c>
      <c r="J26" s="22"/>
      <c r="K26" s="8"/>
      <c r="L26" s="8"/>
      <c r="M26" s="8"/>
    </row>
    <row r="27" spans="1:13" ht="15.75" customHeight="1">
      <c r="A27" s="29">
        <v>3</v>
      </c>
      <c r="B27" s="64" t="s">
        <v>65</v>
      </c>
      <c r="C27" s="65" t="s">
        <v>28</v>
      </c>
      <c r="D27" s="64" t="s">
        <v>152</v>
      </c>
      <c r="E27" s="66">
        <v>171.9</v>
      </c>
      <c r="F27" s="66">
        <f>SUM(E27*18/1000)</f>
        <v>3.0942000000000003</v>
      </c>
      <c r="G27" s="66">
        <v>2102.71</v>
      </c>
      <c r="H27" s="67">
        <f t="shared" si="2"/>
        <v>6.5062052820000007</v>
      </c>
      <c r="I27" s="13">
        <f t="shared" ref="I27:I29" si="3">F27/6*G27</f>
        <v>1084.3675470000001</v>
      </c>
      <c r="J27" s="22"/>
      <c r="K27" s="8"/>
      <c r="L27" s="8"/>
      <c r="M27" s="8"/>
    </row>
    <row r="28" spans="1:13" ht="15.75" customHeight="1">
      <c r="A28" s="29">
        <v>4</v>
      </c>
      <c r="B28" s="64" t="s">
        <v>67</v>
      </c>
      <c r="C28" s="65" t="s">
        <v>28</v>
      </c>
      <c r="D28" s="64" t="s">
        <v>153</v>
      </c>
      <c r="E28" s="66">
        <v>48</v>
      </c>
      <c r="F28" s="66">
        <f>SUM(E28*70/1000)</f>
        <v>3.36</v>
      </c>
      <c r="G28" s="66">
        <v>350.75</v>
      </c>
      <c r="H28" s="67">
        <f t="shared" si="2"/>
        <v>1.17852</v>
      </c>
      <c r="I28" s="13">
        <f t="shared" si="3"/>
        <v>196.42</v>
      </c>
      <c r="J28" s="22"/>
      <c r="K28" s="8"/>
      <c r="L28" s="8"/>
      <c r="M28" s="8"/>
    </row>
    <row r="29" spans="1:13" ht="47.25" customHeight="1">
      <c r="A29" s="29">
        <v>5</v>
      </c>
      <c r="B29" s="64" t="s">
        <v>83</v>
      </c>
      <c r="C29" s="65" t="s">
        <v>93</v>
      </c>
      <c r="D29" s="64" t="s">
        <v>153</v>
      </c>
      <c r="E29" s="66">
        <v>18</v>
      </c>
      <c r="F29" s="66">
        <f>SUM(E29*70/1000)</f>
        <v>1.26</v>
      </c>
      <c r="G29" s="66">
        <v>5803.28</v>
      </c>
      <c r="H29" s="67">
        <f t="shared" si="2"/>
        <v>7.3121327999999997</v>
      </c>
      <c r="I29" s="13">
        <f t="shared" si="3"/>
        <v>1218.6887999999999</v>
      </c>
      <c r="J29" s="22"/>
      <c r="K29" s="8"/>
      <c r="L29" s="8"/>
      <c r="M29" s="8"/>
    </row>
    <row r="30" spans="1:13" ht="15.75" hidden="1" customHeight="1">
      <c r="A30" s="29">
        <v>5</v>
      </c>
      <c r="B30" s="64" t="s">
        <v>95</v>
      </c>
      <c r="C30" s="65" t="s">
        <v>93</v>
      </c>
      <c r="D30" s="64" t="s">
        <v>154</v>
      </c>
      <c r="E30" s="66">
        <v>48</v>
      </c>
      <c r="F30" s="66">
        <f>SUM(E30*45/1000)</f>
        <v>2.16</v>
      </c>
      <c r="G30" s="66">
        <v>428.7</v>
      </c>
      <c r="H30" s="67">
        <f t="shared" si="2"/>
        <v>0.92599200000000004</v>
      </c>
      <c r="I30" s="13">
        <f>(F30/7.5*1.5)*G30</f>
        <v>185.19840000000002</v>
      </c>
      <c r="J30" s="22"/>
      <c r="K30" s="8"/>
      <c r="L30" s="8"/>
      <c r="M30" s="8"/>
    </row>
    <row r="31" spans="1:13" ht="15.75" hidden="1" customHeight="1">
      <c r="A31" s="29">
        <v>6</v>
      </c>
      <c r="B31" s="64" t="s">
        <v>70</v>
      </c>
      <c r="C31" s="65" t="s">
        <v>31</v>
      </c>
      <c r="D31" s="64"/>
      <c r="E31" s="69"/>
      <c r="F31" s="66">
        <v>0.2</v>
      </c>
      <c r="G31" s="66">
        <v>798</v>
      </c>
      <c r="H31" s="67">
        <f t="shared" si="2"/>
        <v>0.15960000000000002</v>
      </c>
      <c r="I31" s="13">
        <f>(F31/7.5*1.5)*G31</f>
        <v>31.92</v>
      </c>
      <c r="J31" s="22"/>
      <c r="K31" s="8"/>
      <c r="L31" s="8"/>
      <c r="M31" s="8"/>
    </row>
    <row r="32" spans="1:13" ht="15.75" hidden="1" customHeight="1">
      <c r="A32" s="145" t="s">
        <v>113</v>
      </c>
      <c r="B32" s="146"/>
      <c r="C32" s="146"/>
      <c r="D32" s="146"/>
      <c r="E32" s="146"/>
      <c r="F32" s="146"/>
      <c r="G32" s="146"/>
      <c r="H32" s="146"/>
      <c r="I32" s="147"/>
      <c r="J32" s="23"/>
    </row>
    <row r="33" spans="1:14" ht="15.75" hidden="1" customHeight="1">
      <c r="A33" s="29"/>
      <c r="B33" s="64" t="s">
        <v>96</v>
      </c>
      <c r="C33" s="65" t="s">
        <v>93</v>
      </c>
      <c r="D33" s="64" t="s">
        <v>40</v>
      </c>
      <c r="E33" s="69">
        <v>578.5</v>
      </c>
      <c r="F33" s="66">
        <f>SUM(E33*2/1000)</f>
        <v>1.157</v>
      </c>
      <c r="G33" s="13">
        <v>809.74</v>
      </c>
      <c r="H33" s="67">
        <f t="shared" ref="H33:H41" si="4">SUM(F33*G33/1000)</f>
        <v>0.93686918000000008</v>
      </c>
      <c r="I33" s="13">
        <v>0</v>
      </c>
      <c r="J33" s="23"/>
    </row>
    <row r="34" spans="1:14" ht="15.75" hidden="1" customHeight="1">
      <c r="A34" s="29"/>
      <c r="B34" s="64" t="s">
        <v>34</v>
      </c>
      <c r="C34" s="65" t="s">
        <v>93</v>
      </c>
      <c r="D34" s="64" t="s">
        <v>40</v>
      </c>
      <c r="E34" s="69">
        <v>21</v>
      </c>
      <c r="F34" s="66">
        <f>SUM(E34*2/1000)</f>
        <v>4.2000000000000003E-2</v>
      </c>
      <c r="G34" s="13">
        <v>579.48</v>
      </c>
      <c r="H34" s="67">
        <f t="shared" si="4"/>
        <v>2.4338160000000001E-2</v>
      </c>
      <c r="I34" s="13">
        <v>0</v>
      </c>
      <c r="J34" s="23"/>
    </row>
    <row r="35" spans="1:14" ht="15.75" hidden="1" customHeight="1">
      <c r="A35" s="29"/>
      <c r="B35" s="64" t="s">
        <v>35</v>
      </c>
      <c r="C35" s="65" t="s">
        <v>93</v>
      </c>
      <c r="D35" s="64" t="s">
        <v>40</v>
      </c>
      <c r="E35" s="69">
        <v>737</v>
      </c>
      <c r="F35" s="66">
        <f>SUM(E35*2/1000)</f>
        <v>1.474</v>
      </c>
      <c r="G35" s="13">
        <v>579.48</v>
      </c>
      <c r="H35" s="67">
        <f t="shared" si="4"/>
        <v>0.85415352</v>
      </c>
      <c r="I35" s="13">
        <v>0</v>
      </c>
      <c r="J35" s="23"/>
    </row>
    <row r="36" spans="1:14" ht="15.75" hidden="1" customHeight="1">
      <c r="A36" s="29"/>
      <c r="B36" s="64" t="s">
        <v>32</v>
      </c>
      <c r="C36" s="65" t="s">
        <v>33</v>
      </c>
      <c r="D36" s="64" t="s">
        <v>40</v>
      </c>
      <c r="E36" s="69">
        <v>59.75</v>
      </c>
      <c r="F36" s="66">
        <f>SUM(E36*2/100)</f>
        <v>1.1950000000000001</v>
      </c>
      <c r="G36" s="13">
        <v>72.81</v>
      </c>
      <c r="H36" s="67">
        <f t="shared" si="4"/>
        <v>8.7007950000000014E-2</v>
      </c>
      <c r="I36" s="13">
        <v>0</v>
      </c>
      <c r="J36" s="23"/>
    </row>
    <row r="37" spans="1:14" ht="15.75" hidden="1" customHeight="1">
      <c r="A37" s="29">
        <v>9</v>
      </c>
      <c r="B37" s="64" t="s">
        <v>54</v>
      </c>
      <c r="C37" s="65" t="s">
        <v>93</v>
      </c>
      <c r="D37" s="64" t="s">
        <v>124</v>
      </c>
      <c r="E37" s="69">
        <v>479.7</v>
      </c>
      <c r="F37" s="66">
        <f>SUM(E37*5/1000)</f>
        <v>2.3984999999999999</v>
      </c>
      <c r="G37" s="13">
        <v>1213.55</v>
      </c>
      <c r="H37" s="67">
        <f t="shared" si="4"/>
        <v>2.910699675</v>
      </c>
      <c r="I37" s="13">
        <f>F37/5*G37</f>
        <v>582.13993499999992</v>
      </c>
      <c r="J37" s="23"/>
    </row>
    <row r="38" spans="1:14" ht="31.5" hidden="1" customHeight="1">
      <c r="A38" s="29"/>
      <c r="B38" s="64" t="s">
        <v>97</v>
      </c>
      <c r="C38" s="65" t="s">
        <v>93</v>
      </c>
      <c r="D38" s="64" t="s">
        <v>40</v>
      </c>
      <c r="E38" s="69">
        <v>479.7</v>
      </c>
      <c r="F38" s="66">
        <f>SUM(E38*2/1000)</f>
        <v>0.95940000000000003</v>
      </c>
      <c r="G38" s="13">
        <v>1213.55</v>
      </c>
      <c r="H38" s="67">
        <f t="shared" si="4"/>
        <v>1.1642798700000001</v>
      </c>
      <c r="I38" s="13">
        <v>0</v>
      </c>
      <c r="J38" s="23"/>
    </row>
    <row r="39" spans="1:14" ht="31.5" hidden="1" customHeight="1">
      <c r="A39" s="29"/>
      <c r="B39" s="64" t="s">
        <v>98</v>
      </c>
      <c r="C39" s="65" t="s">
        <v>36</v>
      </c>
      <c r="D39" s="64" t="s">
        <v>40</v>
      </c>
      <c r="E39" s="69">
        <v>4</v>
      </c>
      <c r="F39" s="66">
        <f>SUM(E39*2/100)</f>
        <v>0.08</v>
      </c>
      <c r="G39" s="13">
        <v>2730.49</v>
      </c>
      <c r="H39" s="67">
        <f t="shared" si="4"/>
        <v>0.2184392</v>
      </c>
      <c r="I39" s="13">
        <v>0</v>
      </c>
      <c r="J39" s="23"/>
      <c r="L39" s="19"/>
      <c r="M39" s="20"/>
      <c r="N39" s="21"/>
    </row>
    <row r="40" spans="1:14" ht="15.75" hidden="1" customHeight="1">
      <c r="A40" s="29"/>
      <c r="B40" s="64" t="s">
        <v>37</v>
      </c>
      <c r="C40" s="65" t="s">
        <v>38</v>
      </c>
      <c r="D40" s="64" t="s">
        <v>40</v>
      </c>
      <c r="E40" s="69">
        <v>1</v>
      </c>
      <c r="F40" s="66">
        <v>0.02</v>
      </c>
      <c r="G40" s="13">
        <v>5652.13</v>
      </c>
      <c r="H40" s="67">
        <f t="shared" si="4"/>
        <v>0.11304260000000001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10</v>
      </c>
      <c r="B41" s="64" t="s">
        <v>39</v>
      </c>
      <c r="C41" s="65" t="s">
        <v>86</v>
      </c>
      <c r="D41" s="64" t="s">
        <v>71</v>
      </c>
      <c r="E41" s="69">
        <v>24</v>
      </c>
      <c r="F41" s="66">
        <f>SUM(E41)*3</f>
        <v>72</v>
      </c>
      <c r="G41" s="13">
        <v>65.67</v>
      </c>
      <c r="H41" s="67">
        <f t="shared" si="4"/>
        <v>4.7282399999999996</v>
      </c>
      <c r="I41" s="13">
        <f>E41*G41</f>
        <v>1576.08</v>
      </c>
      <c r="J41" s="23"/>
      <c r="L41" s="19"/>
      <c r="M41" s="20"/>
      <c r="N41" s="21"/>
    </row>
    <row r="42" spans="1:14" ht="15.75" hidden="1" customHeight="1">
      <c r="A42" s="145" t="s">
        <v>127</v>
      </c>
      <c r="B42" s="146"/>
      <c r="C42" s="146"/>
      <c r="D42" s="146"/>
      <c r="E42" s="146"/>
      <c r="F42" s="146"/>
      <c r="G42" s="146"/>
      <c r="H42" s="146"/>
      <c r="I42" s="147"/>
      <c r="J42" s="23"/>
      <c r="L42" s="19"/>
      <c r="M42" s="20"/>
      <c r="N42" s="21"/>
    </row>
    <row r="43" spans="1:14" ht="15.75" hidden="1" customHeight="1">
      <c r="A43" s="29"/>
      <c r="B43" s="88" t="s">
        <v>41</v>
      </c>
      <c r="C43" s="65"/>
      <c r="D43" s="64"/>
      <c r="E43" s="69"/>
      <c r="F43" s="66"/>
      <c r="G43" s="66"/>
      <c r="H43" s="67"/>
      <c r="I43" s="72"/>
      <c r="J43" s="23"/>
      <c r="L43" s="19"/>
      <c r="M43" s="20"/>
      <c r="N43" s="21"/>
    </row>
    <row r="44" spans="1:14" ht="31.5" hidden="1" customHeight="1">
      <c r="A44" s="29">
        <v>9</v>
      </c>
      <c r="B44" s="64" t="s">
        <v>119</v>
      </c>
      <c r="C44" s="65" t="s">
        <v>89</v>
      </c>
      <c r="D44" s="64" t="s">
        <v>99</v>
      </c>
      <c r="E44" s="69">
        <v>57.85</v>
      </c>
      <c r="F44" s="66">
        <f>SUM(E44*6/100)</f>
        <v>3.4710000000000001</v>
      </c>
      <c r="G44" s="13">
        <v>1547.28</v>
      </c>
      <c r="H44" s="67">
        <f>SUM(F44*G44/1000)</f>
        <v>5.3706088799999998</v>
      </c>
      <c r="I44" s="13">
        <f>F44/6*G44</f>
        <v>895.10148000000004</v>
      </c>
      <c r="J44" s="23"/>
      <c r="L44" s="19"/>
      <c r="M44" s="20"/>
      <c r="N44" s="21"/>
    </row>
    <row r="45" spans="1:14" ht="15.75" hidden="1" customHeight="1">
      <c r="A45" s="29"/>
      <c r="B45" s="88" t="s">
        <v>42</v>
      </c>
      <c r="C45" s="65"/>
      <c r="D45" s="64"/>
      <c r="E45" s="69"/>
      <c r="F45" s="66"/>
      <c r="G45" s="59"/>
      <c r="H45" s="67"/>
      <c r="I45" s="72"/>
      <c r="J45" s="23"/>
      <c r="L45" s="19"/>
      <c r="M45" s="20"/>
      <c r="N45" s="21"/>
    </row>
    <row r="46" spans="1:14" ht="15.75" hidden="1" customHeight="1">
      <c r="A46" s="29"/>
      <c r="B46" s="64" t="s">
        <v>43</v>
      </c>
      <c r="C46" s="65" t="s">
        <v>89</v>
      </c>
      <c r="D46" s="64" t="s">
        <v>52</v>
      </c>
      <c r="E46" s="69">
        <v>479.7</v>
      </c>
      <c r="F46" s="67">
        <v>4.8</v>
      </c>
      <c r="G46" s="13">
        <v>793.61</v>
      </c>
      <c r="H46" s="73">
        <f>F46*G46/1000</f>
        <v>3.8093279999999998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88" t="s">
        <v>100</v>
      </c>
      <c r="C47" s="65"/>
      <c r="D47" s="64"/>
      <c r="E47" s="69"/>
      <c r="F47" s="66"/>
      <c r="G47" s="74"/>
      <c r="H47" s="67" t="s">
        <v>110</v>
      </c>
      <c r="I47" s="72"/>
      <c r="J47" s="23"/>
      <c r="L47" s="19"/>
      <c r="M47" s="20"/>
      <c r="N47" s="21"/>
    </row>
    <row r="48" spans="1:14" ht="15.75" hidden="1" customHeight="1">
      <c r="A48" s="29"/>
      <c r="B48" s="64" t="s">
        <v>101</v>
      </c>
      <c r="C48" s="65" t="s">
        <v>86</v>
      </c>
      <c r="D48" s="64" t="s">
        <v>64</v>
      </c>
      <c r="E48" s="69">
        <v>3</v>
      </c>
      <c r="F48" s="66">
        <f>SUM(E48)</f>
        <v>3</v>
      </c>
      <c r="G48" s="75">
        <v>237.75</v>
      </c>
      <c r="H48" s="67">
        <f t="shared" ref="H48:H62" si="5">SUM(F48*G48/1000)</f>
        <v>0.71325000000000005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89" t="s">
        <v>44</v>
      </c>
      <c r="C49" s="76"/>
      <c r="D49" s="77"/>
      <c r="E49" s="78"/>
      <c r="F49" s="79"/>
      <c r="G49" s="79"/>
      <c r="H49" s="80" t="s">
        <v>110</v>
      </c>
      <c r="I49" s="72"/>
      <c r="J49" s="23"/>
      <c r="L49" s="19"/>
      <c r="M49" s="20"/>
      <c r="N49" s="21"/>
    </row>
    <row r="50" spans="1:22" ht="15.75" hidden="1" customHeight="1">
      <c r="A50" s="29"/>
      <c r="B50" s="14" t="s">
        <v>45</v>
      </c>
      <c r="C50" s="16" t="s">
        <v>86</v>
      </c>
      <c r="D50" s="64" t="s">
        <v>64</v>
      </c>
      <c r="E50" s="18">
        <v>5</v>
      </c>
      <c r="F50" s="66">
        <v>5</v>
      </c>
      <c r="G50" s="13">
        <v>222.4</v>
      </c>
      <c r="H50" s="81">
        <f t="shared" si="5"/>
        <v>1.1120000000000001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14" t="s">
        <v>46</v>
      </c>
      <c r="C51" s="16" t="s">
        <v>86</v>
      </c>
      <c r="D51" s="64" t="s">
        <v>64</v>
      </c>
      <c r="E51" s="18">
        <v>3</v>
      </c>
      <c r="F51" s="66">
        <v>3</v>
      </c>
      <c r="G51" s="13">
        <v>76.25</v>
      </c>
      <c r="H51" s="81">
        <f t="shared" si="5"/>
        <v>0.22875000000000001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14" t="s">
        <v>47</v>
      </c>
      <c r="C52" s="16" t="s">
        <v>102</v>
      </c>
      <c r="D52" s="14" t="s">
        <v>52</v>
      </c>
      <c r="E52" s="69">
        <v>2753</v>
      </c>
      <c r="F52" s="13">
        <f>SUM(E52/100)</f>
        <v>27.53</v>
      </c>
      <c r="G52" s="13">
        <v>212.15</v>
      </c>
      <c r="H52" s="81">
        <f t="shared" si="5"/>
        <v>5.8404895000000003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48</v>
      </c>
      <c r="C53" s="16" t="s">
        <v>103</v>
      </c>
      <c r="D53" s="14"/>
      <c r="E53" s="69">
        <v>2753</v>
      </c>
      <c r="F53" s="13">
        <f>SUM(E53/1000)</f>
        <v>2.7530000000000001</v>
      </c>
      <c r="G53" s="13">
        <v>165.21</v>
      </c>
      <c r="H53" s="81">
        <f t="shared" si="5"/>
        <v>0.45482313000000008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49</v>
      </c>
      <c r="C54" s="16" t="s">
        <v>78</v>
      </c>
      <c r="D54" s="14" t="s">
        <v>52</v>
      </c>
      <c r="E54" s="69">
        <v>440</v>
      </c>
      <c r="F54" s="13">
        <f>SUM(E54/100)</f>
        <v>4.4000000000000004</v>
      </c>
      <c r="G54" s="13">
        <v>2074.63</v>
      </c>
      <c r="H54" s="81">
        <f t="shared" si="5"/>
        <v>9.1283720000000006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82" t="s">
        <v>72</v>
      </c>
      <c r="C55" s="16" t="s">
        <v>31</v>
      </c>
      <c r="D55" s="14"/>
      <c r="E55" s="69">
        <v>2.8</v>
      </c>
      <c r="F55" s="13">
        <f>SUM(E55)</f>
        <v>2.8</v>
      </c>
      <c r="G55" s="13">
        <v>45.32</v>
      </c>
      <c r="H55" s="81">
        <f t="shared" si="5"/>
        <v>0.12689599999999998</v>
      </c>
      <c r="I55" s="13">
        <v>0</v>
      </c>
      <c r="J55" s="23"/>
      <c r="L55" s="19"/>
      <c r="M55" s="20"/>
      <c r="N55" s="21"/>
    </row>
    <row r="56" spans="1:22" ht="31.5" hidden="1" customHeight="1">
      <c r="A56" s="29"/>
      <c r="B56" s="82" t="s">
        <v>73</v>
      </c>
      <c r="C56" s="16" t="s">
        <v>31</v>
      </c>
      <c r="D56" s="14"/>
      <c r="E56" s="69">
        <v>2.8</v>
      </c>
      <c r="F56" s="13">
        <f>SUM(E56)</f>
        <v>2.8</v>
      </c>
      <c r="G56" s="13">
        <v>42.28</v>
      </c>
      <c r="H56" s="81">
        <f t="shared" si="5"/>
        <v>0.118384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4" t="s">
        <v>55</v>
      </c>
      <c r="C57" s="16" t="s">
        <v>56</v>
      </c>
      <c r="D57" s="14" t="s">
        <v>52</v>
      </c>
      <c r="E57" s="18">
        <v>3</v>
      </c>
      <c r="F57" s="66">
        <f>SUM(E57)</f>
        <v>3</v>
      </c>
      <c r="G57" s="13">
        <v>49.88</v>
      </c>
      <c r="H57" s="81">
        <f t="shared" si="5"/>
        <v>0.14964000000000002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56" t="s">
        <v>74</v>
      </c>
      <c r="C58" s="16"/>
      <c r="D58" s="14"/>
      <c r="E58" s="18"/>
      <c r="F58" s="13"/>
      <c r="G58" s="13"/>
      <c r="H58" s="81" t="s">
        <v>110</v>
      </c>
      <c r="I58" s="72"/>
      <c r="J58" s="23"/>
      <c r="L58" s="19"/>
      <c r="M58" s="20"/>
      <c r="N58" s="21"/>
    </row>
    <row r="59" spans="1:22" ht="15.75" hidden="1" customHeight="1">
      <c r="A59" s="29">
        <v>10</v>
      </c>
      <c r="B59" s="14" t="s">
        <v>75</v>
      </c>
      <c r="C59" s="16" t="s">
        <v>76</v>
      </c>
      <c r="D59" s="14"/>
      <c r="E59" s="18">
        <v>15</v>
      </c>
      <c r="F59" s="13">
        <v>1.5</v>
      </c>
      <c r="G59" s="13">
        <v>501.62</v>
      </c>
      <c r="H59" s="81">
        <f t="shared" si="5"/>
        <v>0.75243000000000004</v>
      </c>
      <c r="I59" s="13">
        <f>G59*0.2</f>
        <v>100.32400000000001</v>
      </c>
      <c r="J59" s="23"/>
      <c r="L59" s="19"/>
    </row>
    <row r="60" spans="1:22" ht="15.75" hidden="1" customHeight="1">
      <c r="A60" s="29"/>
      <c r="B60" s="14" t="s">
        <v>106</v>
      </c>
      <c r="C60" s="16" t="s">
        <v>86</v>
      </c>
      <c r="D60" s="14"/>
      <c r="E60" s="18">
        <v>1</v>
      </c>
      <c r="F60" s="66">
        <f>SUM(E60)</f>
        <v>1</v>
      </c>
      <c r="G60" s="13">
        <v>358.51</v>
      </c>
      <c r="H60" s="81">
        <f t="shared" si="5"/>
        <v>0.35851</v>
      </c>
      <c r="I60" s="13">
        <v>0</v>
      </c>
    </row>
    <row r="61" spans="1:22" ht="15.75" hidden="1" customHeight="1">
      <c r="A61" s="29"/>
      <c r="B61" s="84" t="s">
        <v>77</v>
      </c>
      <c r="C61" s="16"/>
      <c r="D61" s="14"/>
      <c r="E61" s="18"/>
      <c r="F61" s="13"/>
      <c r="G61" s="13" t="s">
        <v>110</v>
      </c>
      <c r="H61" s="81" t="s">
        <v>110</v>
      </c>
      <c r="I61" s="72"/>
    </row>
    <row r="62" spans="1:22" ht="15.75" hidden="1" customHeight="1">
      <c r="A62" s="29"/>
      <c r="B62" s="42" t="s">
        <v>107</v>
      </c>
      <c r="C62" s="16" t="s">
        <v>78</v>
      </c>
      <c r="D62" s="14"/>
      <c r="E62" s="18"/>
      <c r="F62" s="13">
        <v>0.3</v>
      </c>
      <c r="G62" s="13">
        <v>2759.44</v>
      </c>
      <c r="H62" s="81">
        <f t="shared" si="5"/>
        <v>0.82783200000000001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56" t="s">
        <v>104</v>
      </c>
      <c r="C63" s="84"/>
      <c r="D63" s="31"/>
      <c r="E63" s="32"/>
      <c r="F63" s="85"/>
      <c r="G63" s="85"/>
      <c r="H63" s="86">
        <f>SUM(H44:H62)</f>
        <v>28.991313509999998</v>
      </c>
      <c r="I63" s="71"/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64" t="s">
        <v>105</v>
      </c>
      <c r="C64" s="16"/>
      <c r="D64" s="14"/>
      <c r="E64" s="60"/>
      <c r="F64" s="13">
        <v>1</v>
      </c>
      <c r="G64" s="13">
        <v>2119.1999999999998</v>
      </c>
      <c r="H64" s="81">
        <f>G64*F64/1000</f>
        <v>2.1191999999999998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145" t="s">
        <v>133</v>
      </c>
      <c r="B65" s="146"/>
      <c r="C65" s="146"/>
      <c r="D65" s="146"/>
      <c r="E65" s="146"/>
      <c r="F65" s="146"/>
      <c r="G65" s="146"/>
      <c r="H65" s="146"/>
      <c r="I65" s="147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6</v>
      </c>
      <c r="B66" s="64" t="s">
        <v>108</v>
      </c>
      <c r="C66" s="16" t="s">
        <v>53</v>
      </c>
      <c r="D66" s="45"/>
      <c r="E66" s="13">
        <v>737</v>
      </c>
      <c r="F66" s="13">
        <f>SUM(E66*12)</f>
        <v>8844</v>
      </c>
      <c r="G66" s="13">
        <v>2.1</v>
      </c>
      <c r="H66" s="81">
        <f>SUM(F66*G66/1000)</f>
        <v>18.572400000000002</v>
      </c>
      <c r="I66" s="13">
        <f>F66/12*G66</f>
        <v>1547.7</v>
      </c>
      <c r="J66" s="5"/>
      <c r="K66" s="5"/>
      <c r="L66" s="5"/>
      <c r="M66" s="5"/>
      <c r="N66" s="5"/>
      <c r="O66" s="5"/>
      <c r="P66" s="5"/>
      <c r="Q66" s="5"/>
      <c r="R66" s="144"/>
      <c r="S66" s="144"/>
      <c r="T66" s="144"/>
      <c r="U66" s="144"/>
    </row>
    <row r="67" spans="1:21" ht="31.5" customHeight="1">
      <c r="A67" s="29">
        <v>7</v>
      </c>
      <c r="B67" s="14" t="s">
        <v>79</v>
      </c>
      <c r="C67" s="16"/>
      <c r="D67" s="45"/>
      <c r="E67" s="69">
        <f>E66</f>
        <v>737</v>
      </c>
      <c r="F67" s="13">
        <f>E67*12</f>
        <v>8844</v>
      </c>
      <c r="G67" s="13">
        <v>1.63</v>
      </c>
      <c r="H67" s="81">
        <f>F67*G67/1000</f>
        <v>14.415719999999999</v>
      </c>
      <c r="I67" s="13">
        <f>F67/12*G67</f>
        <v>1201.31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29"/>
      <c r="B68" s="35" t="s">
        <v>81</v>
      </c>
      <c r="C68" s="84"/>
      <c r="D68" s="83"/>
      <c r="E68" s="85"/>
      <c r="F68" s="85"/>
      <c r="G68" s="85"/>
      <c r="H68" s="86">
        <f>SUM(H67)</f>
        <v>14.415719999999999</v>
      </c>
      <c r="I68" s="85">
        <f>I67+I66+I29+I28+I27+I26+I16</f>
        <v>6274.8704470000002</v>
      </c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148" t="s">
        <v>58</v>
      </c>
      <c r="B69" s="149"/>
      <c r="C69" s="149"/>
      <c r="D69" s="149"/>
      <c r="E69" s="149"/>
      <c r="F69" s="149"/>
      <c r="G69" s="149"/>
      <c r="H69" s="149"/>
      <c r="I69" s="150"/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>
        <v>8</v>
      </c>
      <c r="B70" s="101" t="s">
        <v>144</v>
      </c>
      <c r="C70" s="16" t="s">
        <v>145</v>
      </c>
      <c r="D70" s="42"/>
      <c r="E70" s="13"/>
      <c r="F70" s="13">
        <v>200</v>
      </c>
      <c r="G70" s="13">
        <v>1.4</v>
      </c>
      <c r="H70" s="81">
        <f>SUM(F70*G70/1000)</f>
        <v>0.28000000000000003</v>
      </c>
      <c r="I70" s="13">
        <f>G70*100</f>
        <v>140</v>
      </c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36" customHeight="1">
      <c r="A71" s="29">
        <v>9</v>
      </c>
      <c r="B71" s="50" t="s">
        <v>149</v>
      </c>
      <c r="C71" s="51" t="s">
        <v>28</v>
      </c>
      <c r="D71" s="42"/>
      <c r="E71" s="13"/>
      <c r="F71" s="13"/>
      <c r="G71" s="111">
        <v>20547.34</v>
      </c>
      <c r="H71" s="81"/>
      <c r="I71" s="13">
        <f>G71*0.599*5/1000</f>
        <v>61.539283299999994</v>
      </c>
      <c r="J71" s="5"/>
      <c r="K71" s="5"/>
      <c r="L71" s="5"/>
      <c r="M71" s="5"/>
      <c r="N71" s="5"/>
      <c r="O71" s="5"/>
      <c r="P71" s="5"/>
      <c r="Q71" s="5"/>
      <c r="R71" s="109"/>
      <c r="S71" s="109"/>
      <c r="T71" s="109"/>
      <c r="U71" s="109"/>
    </row>
    <row r="72" spans="1:21" ht="15.75" customHeight="1">
      <c r="A72" s="29"/>
      <c r="B72" s="40" t="s">
        <v>50</v>
      </c>
      <c r="C72" s="36"/>
      <c r="D72" s="43"/>
      <c r="E72" s="36">
        <v>1</v>
      </c>
      <c r="F72" s="36"/>
      <c r="G72" s="36"/>
      <c r="H72" s="36"/>
      <c r="I72" s="32">
        <f>SUM(I70:I71)</f>
        <v>201.53928329999999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75" customHeight="1">
      <c r="A73" s="29"/>
      <c r="B73" s="42" t="s">
        <v>80</v>
      </c>
      <c r="C73" s="15"/>
      <c r="D73" s="15"/>
      <c r="E73" s="37"/>
      <c r="F73" s="37"/>
      <c r="G73" s="38"/>
      <c r="H73" s="38"/>
      <c r="I73" s="17">
        <v>0</v>
      </c>
    </row>
    <row r="74" spans="1:21" ht="15.75" customHeight="1">
      <c r="A74" s="44"/>
      <c r="B74" s="41" t="s">
        <v>138</v>
      </c>
      <c r="C74" s="33"/>
      <c r="D74" s="33"/>
      <c r="E74" s="33"/>
      <c r="F74" s="33"/>
      <c r="G74" s="33"/>
      <c r="H74" s="33"/>
      <c r="I74" s="39">
        <f>I68+I72</f>
        <v>6476.4097302999999</v>
      </c>
    </row>
    <row r="75" spans="1:21" ht="15.75" customHeight="1">
      <c r="A75" s="157" t="s">
        <v>178</v>
      </c>
      <c r="B75" s="157"/>
      <c r="C75" s="157"/>
      <c r="D75" s="157"/>
      <c r="E75" s="157"/>
      <c r="F75" s="157"/>
      <c r="G75" s="157"/>
      <c r="H75" s="157"/>
      <c r="I75" s="157"/>
    </row>
    <row r="76" spans="1:21" ht="15.75">
      <c r="A76" s="58"/>
      <c r="B76" s="158" t="s">
        <v>179</v>
      </c>
      <c r="C76" s="158"/>
      <c r="D76" s="158"/>
      <c r="E76" s="158"/>
      <c r="F76" s="158"/>
      <c r="G76" s="158"/>
      <c r="H76" s="63"/>
      <c r="I76" s="3"/>
    </row>
    <row r="77" spans="1:21">
      <c r="A77" s="54"/>
      <c r="B77" s="154" t="s">
        <v>6</v>
      </c>
      <c r="C77" s="154"/>
      <c r="D77" s="154"/>
      <c r="E77" s="154"/>
      <c r="F77" s="154"/>
      <c r="G77" s="154"/>
      <c r="H77" s="24"/>
      <c r="I77" s="5"/>
    </row>
    <row r="78" spans="1:21">
      <c r="A78" s="10"/>
      <c r="B78" s="10"/>
      <c r="C78" s="10"/>
      <c r="D78" s="10"/>
      <c r="E78" s="10"/>
      <c r="F78" s="10"/>
      <c r="G78" s="10"/>
      <c r="H78" s="10"/>
      <c r="I78" s="10"/>
    </row>
    <row r="79" spans="1:21" ht="15.75" customHeight="1">
      <c r="A79" s="141" t="s">
        <v>7</v>
      </c>
      <c r="B79" s="141"/>
      <c r="C79" s="141"/>
      <c r="D79" s="141"/>
      <c r="E79" s="141"/>
      <c r="F79" s="141"/>
      <c r="G79" s="141"/>
      <c r="H79" s="141"/>
      <c r="I79" s="141"/>
    </row>
    <row r="80" spans="1:21" ht="15.75">
      <c r="A80" s="141" t="s">
        <v>8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2" t="s">
        <v>59</v>
      </c>
      <c r="B81" s="142"/>
      <c r="C81" s="142"/>
      <c r="D81" s="142"/>
      <c r="E81" s="142"/>
      <c r="F81" s="142"/>
      <c r="G81" s="142"/>
      <c r="H81" s="142"/>
      <c r="I81" s="142"/>
    </row>
    <row r="82" spans="1:9" ht="15.75" customHeight="1">
      <c r="A82" s="11"/>
    </row>
    <row r="83" spans="1:9" ht="15.75" customHeight="1">
      <c r="A83" s="152" t="s">
        <v>9</v>
      </c>
      <c r="B83" s="152"/>
      <c r="C83" s="152"/>
      <c r="D83" s="152"/>
      <c r="E83" s="152"/>
      <c r="F83" s="152"/>
      <c r="G83" s="152"/>
      <c r="H83" s="152"/>
      <c r="I83" s="152"/>
    </row>
    <row r="84" spans="1:9" ht="15.75" customHeight="1">
      <c r="A84" s="4"/>
    </row>
    <row r="85" spans="1:9" ht="15.75" customHeight="1">
      <c r="B85" s="55" t="s">
        <v>10</v>
      </c>
      <c r="C85" s="153" t="s">
        <v>85</v>
      </c>
      <c r="D85" s="153"/>
      <c r="E85" s="153"/>
      <c r="F85" s="61"/>
      <c r="I85" s="53"/>
    </row>
    <row r="86" spans="1:9" ht="15.75" customHeight="1">
      <c r="A86" s="54"/>
      <c r="C86" s="154" t="s">
        <v>11</v>
      </c>
      <c r="D86" s="154"/>
      <c r="E86" s="154"/>
      <c r="F86" s="24"/>
      <c r="I86" s="52" t="s">
        <v>12</v>
      </c>
    </row>
    <row r="87" spans="1:9" ht="15.75" customHeight="1">
      <c r="A87" s="25"/>
      <c r="C87" s="12"/>
      <c r="D87" s="12"/>
      <c r="G87" s="12"/>
      <c r="H87" s="12"/>
    </row>
    <row r="88" spans="1:9" ht="15.75" customHeight="1">
      <c r="B88" s="55" t="s">
        <v>13</v>
      </c>
      <c r="C88" s="155"/>
      <c r="D88" s="155"/>
      <c r="E88" s="155"/>
      <c r="F88" s="62"/>
      <c r="I88" s="53"/>
    </row>
    <row r="89" spans="1:9" ht="15.75" customHeight="1">
      <c r="A89" s="54"/>
      <c r="C89" s="144" t="s">
        <v>11</v>
      </c>
      <c r="D89" s="144"/>
      <c r="E89" s="144"/>
      <c r="F89" s="54"/>
      <c r="I89" s="52" t="s">
        <v>12</v>
      </c>
    </row>
    <row r="90" spans="1:9" ht="15.75" customHeight="1">
      <c r="A90" s="4" t="s">
        <v>14</v>
      </c>
    </row>
    <row r="91" spans="1:9">
      <c r="A91" s="156" t="s">
        <v>15</v>
      </c>
      <c r="B91" s="156"/>
      <c r="C91" s="156"/>
      <c r="D91" s="156"/>
      <c r="E91" s="156"/>
      <c r="F91" s="156"/>
      <c r="G91" s="156"/>
      <c r="H91" s="156"/>
      <c r="I91" s="156"/>
    </row>
    <row r="92" spans="1:9" ht="45" customHeight="1">
      <c r="A92" s="151" t="s">
        <v>16</v>
      </c>
      <c r="B92" s="151"/>
      <c r="C92" s="151"/>
      <c r="D92" s="151"/>
      <c r="E92" s="151"/>
      <c r="F92" s="151"/>
      <c r="G92" s="151"/>
      <c r="H92" s="151"/>
      <c r="I92" s="151"/>
    </row>
    <row r="93" spans="1:9" ht="30" customHeight="1">
      <c r="A93" s="151" t="s">
        <v>17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21</v>
      </c>
      <c r="B94" s="151"/>
      <c r="C94" s="151"/>
      <c r="D94" s="151"/>
      <c r="E94" s="151"/>
      <c r="F94" s="151"/>
      <c r="G94" s="151"/>
      <c r="H94" s="151"/>
      <c r="I94" s="151"/>
    </row>
    <row r="95" spans="1:9" ht="15" customHeight="1">
      <c r="A95" s="151" t="s">
        <v>20</v>
      </c>
      <c r="B95" s="151"/>
      <c r="C95" s="151"/>
      <c r="D95" s="151"/>
      <c r="E95" s="151"/>
      <c r="F95" s="151"/>
      <c r="G95" s="151"/>
      <c r="H95" s="151"/>
      <c r="I95" s="151"/>
    </row>
  </sheetData>
  <autoFilter ref="I12:I61"/>
  <mergeCells count="29">
    <mergeCell ref="A92:I92"/>
    <mergeCell ref="A93:I93"/>
    <mergeCell ref="A94:I94"/>
    <mergeCell ref="A95:I95"/>
    <mergeCell ref="A83:I83"/>
    <mergeCell ref="C85:E85"/>
    <mergeCell ref="C86:E86"/>
    <mergeCell ref="C88:E88"/>
    <mergeCell ref="C89:E89"/>
    <mergeCell ref="A91:I91"/>
    <mergeCell ref="A81:I81"/>
    <mergeCell ref="A15:I15"/>
    <mergeCell ref="A17:I17"/>
    <mergeCell ref="A32:I32"/>
    <mergeCell ref="A42:I42"/>
    <mergeCell ref="A65:I65"/>
    <mergeCell ref="A75:I75"/>
    <mergeCell ref="B76:G76"/>
    <mergeCell ref="B77:G77"/>
    <mergeCell ref="A79:I79"/>
    <mergeCell ref="A80:I80"/>
    <mergeCell ref="A69:I69"/>
    <mergeCell ref="R66:U6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96"/>
  <sheetViews>
    <sheetView topLeftCell="A25" workbookViewId="0">
      <selection activeCell="J80" sqref="J8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129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180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43951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151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hidden="1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31.5" hidden="1" customHeight="1">
      <c r="A19" s="29">
        <v>3</v>
      </c>
      <c r="B19" s="64" t="s">
        <v>92</v>
      </c>
      <c r="C19" s="65" t="s">
        <v>93</v>
      </c>
      <c r="D19" s="64" t="s">
        <v>117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4" si="0">SUM(F19*G19/1000)</f>
        <v>6.351270379999999</v>
      </c>
      <c r="I19" s="13">
        <f t="shared" ref="I19:I22" si="1">F19/6*G19</f>
        <v>1058.5450633333332</v>
      </c>
      <c r="J19" s="8"/>
      <c r="K19" s="8"/>
      <c r="L19" s="8"/>
      <c r="M19" s="8"/>
    </row>
    <row r="20" spans="1:13" ht="31.5" hidden="1" customHeight="1">
      <c r="A20" s="29">
        <v>4</v>
      </c>
      <c r="B20" s="64" t="s">
        <v>123</v>
      </c>
      <c r="C20" s="65" t="s">
        <v>93</v>
      </c>
      <c r="D20" s="64" t="s">
        <v>118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94</v>
      </c>
      <c r="C22" s="65" t="s">
        <v>29</v>
      </c>
      <c r="D22" s="64" t="s">
        <v>61</v>
      </c>
      <c r="E22" s="68">
        <v>0.33333333333333331</v>
      </c>
      <c r="F22" s="66">
        <f>155/3</f>
        <v>51.666666666666664</v>
      </c>
      <c r="G22" s="66">
        <v>56.69</v>
      </c>
      <c r="H22" s="67">
        <f>SUM(G22*155/3/1000)</f>
        <v>2.9289833333333331</v>
      </c>
      <c r="I22" s="13">
        <f t="shared" si="1"/>
        <v>488.16388888888883</v>
      </c>
      <c r="J22" s="22"/>
      <c r="K22" s="8"/>
      <c r="L22" s="8"/>
      <c r="M22" s="8"/>
    </row>
    <row r="23" spans="1:13" ht="15.75" hidden="1" customHeight="1">
      <c r="A23" s="29"/>
      <c r="B23" s="64" t="s">
        <v>62</v>
      </c>
      <c r="C23" s="65" t="s">
        <v>31</v>
      </c>
      <c r="D23" s="64" t="s">
        <v>64</v>
      </c>
      <c r="E23" s="69"/>
      <c r="F23" s="66">
        <v>2</v>
      </c>
      <c r="G23" s="66">
        <v>191.32</v>
      </c>
      <c r="H23" s="67">
        <f t="shared" si="0"/>
        <v>0.38263999999999998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4" t="s">
        <v>63</v>
      </c>
      <c r="C24" s="65" t="s">
        <v>30</v>
      </c>
      <c r="D24" s="64" t="s">
        <v>64</v>
      </c>
      <c r="E24" s="69"/>
      <c r="F24" s="66">
        <v>2</v>
      </c>
      <c r="G24" s="66">
        <v>1136.33</v>
      </c>
      <c r="H24" s="67">
        <f t="shared" si="0"/>
        <v>2.2726599999999997</v>
      </c>
      <c r="I24" s="13">
        <v>0</v>
      </c>
      <c r="J24" s="22"/>
      <c r="K24" s="8"/>
      <c r="L24" s="8"/>
      <c r="M24" s="8"/>
    </row>
    <row r="25" spans="1:13" ht="15.75" customHeight="1">
      <c r="A25" s="29"/>
      <c r="B25" s="88" t="s">
        <v>5</v>
      </c>
      <c r="C25" s="65"/>
      <c r="D25" s="64"/>
      <c r="E25" s="69"/>
      <c r="F25" s="66"/>
      <c r="G25" s="66"/>
      <c r="H25" s="67" t="s">
        <v>110</v>
      </c>
      <c r="I25" s="72"/>
      <c r="J25" s="22"/>
      <c r="K25" s="8"/>
      <c r="L25" s="8"/>
      <c r="M25" s="8"/>
    </row>
    <row r="26" spans="1:13" ht="15.75" hidden="1" customHeight="1">
      <c r="A26" s="29">
        <v>3</v>
      </c>
      <c r="B26" s="64" t="s">
        <v>25</v>
      </c>
      <c r="C26" s="65" t="s">
        <v>30</v>
      </c>
      <c r="D26" s="64"/>
      <c r="E26" s="69"/>
      <c r="F26" s="66">
        <v>3</v>
      </c>
      <c r="G26" s="66">
        <v>1527.22</v>
      </c>
      <c r="H26" s="67">
        <f t="shared" ref="H26:H31" si="2">SUM(F26*G26/1000)</f>
        <v>4.5816600000000003</v>
      </c>
      <c r="I26" s="13">
        <f t="shared" ref="I26:I29" si="3">F26/6*G26</f>
        <v>763.61</v>
      </c>
      <c r="J26" s="22"/>
      <c r="K26" s="8"/>
      <c r="L26" s="8"/>
      <c r="M26" s="8"/>
    </row>
    <row r="27" spans="1:13" ht="15.75" customHeight="1">
      <c r="A27" s="29">
        <v>2</v>
      </c>
      <c r="B27" s="64" t="s">
        <v>65</v>
      </c>
      <c r="C27" s="65" t="s">
        <v>28</v>
      </c>
      <c r="D27" s="64" t="s">
        <v>152</v>
      </c>
      <c r="E27" s="66">
        <v>171.9</v>
      </c>
      <c r="F27" s="66">
        <f>SUM(E27*18/1000)</f>
        <v>3.0942000000000003</v>
      </c>
      <c r="G27" s="66">
        <v>2102.71</v>
      </c>
      <c r="H27" s="67">
        <f t="shared" si="2"/>
        <v>6.5062052820000007</v>
      </c>
      <c r="I27" s="13">
        <f t="shared" si="3"/>
        <v>1084.3675470000001</v>
      </c>
      <c r="J27" s="22"/>
      <c r="K27" s="8"/>
      <c r="L27" s="8"/>
      <c r="M27" s="8"/>
    </row>
    <row r="28" spans="1:13" ht="15.75" customHeight="1">
      <c r="A28" s="29">
        <v>3</v>
      </c>
      <c r="B28" s="64" t="s">
        <v>67</v>
      </c>
      <c r="C28" s="65" t="s">
        <v>28</v>
      </c>
      <c r="D28" s="64" t="s">
        <v>153</v>
      </c>
      <c r="E28" s="66">
        <v>48</v>
      </c>
      <c r="F28" s="66">
        <f>SUM(E28*70/1000)</f>
        <v>3.36</v>
      </c>
      <c r="G28" s="66">
        <v>350.75</v>
      </c>
      <c r="H28" s="67">
        <f t="shared" si="2"/>
        <v>1.17852</v>
      </c>
      <c r="I28" s="13">
        <f t="shared" si="3"/>
        <v>196.42</v>
      </c>
      <c r="J28" s="22"/>
      <c r="K28" s="8"/>
      <c r="L28" s="8"/>
      <c r="M28" s="8"/>
    </row>
    <row r="29" spans="1:13" ht="47.25" customHeight="1">
      <c r="A29" s="29">
        <v>4</v>
      </c>
      <c r="B29" s="64" t="s">
        <v>83</v>
      </c>
      <c r="C29" s="65" t="s">
        <v>93</v>
      </c>
      <c r="D29" s="64" t="s">
        <v>153</v>
      </c>
      <c r="E29" s="66">
        <v>18</v>
      </c>
      <c r="F29" s="66">
        <f>SUM(E29*70/1000)</f>
        <v>1.26</v>
      </c>
      <c r="G29" s="66">
        <v>5803.28</v>
      </c>
      <c r="H29" s="67">
        <f t="shared" si="2"/>
        <v>7.3121327999999997</v>
      </c>
      <c r="I29" s="13">
        <f t="shared" si="3"/>
        <v>1218.6887999999999</v>
      </c>
      <c r="J29" s="22"/>
      <c r="K29" s="8"/>
      <c r="L29" s="8"/>
      <c r="M29" s="8"/>
    </row>
    <row r="30" spans="1:13" ht="15.75" hidden="1" customHeight="1">
      <c r="A30" s="29">
        <v>5</v>
      </c>
      <c r="B30" s="64" t="s">
        <v>95</v>
      </c>
      <c r="C30" s="65" t="s">
        <v>93</v>
      </c>
      <c r="D30" s="64" t="s">
        <v>154</v>
      </c>
      <c r="E30" s="66">
        <v>48</v>
      </c>
      <c r="F30" s="66">
        <f>SUM(E30*45/1000)</f>
        <v>2.16</v>
      </c>
      <c r="G30" s="66">
        <v>428.7</v>
      </c>
      <c r="H30" s="67">
        <f t="shared" si="2"/>
        <v>0.92599200000000004</v>
      </c>
      <c r="I30" s="13">
        <f>F30/7.5*1.5*G30</f>
        <v>185.19840000000002</v>
      </c>
      <c r="J30" s="22"/>
      <c r="K30" s="8"/>
      <c r="L30" s="8"/>
      <c r="M30" s="8"/>
    </row>
    <row r="31" spans="1:13" ht="15.75" hidden="1" customHeight="1">
      <c r="A31" s="29">
        <v>6</v>
      </c>
      <c r="B31" s="64" t="s">
        <v>70</v>
      </c>
      <c r="C31" s="65" t="s">
        <v>31</v>
      </c>
      <c r="D31" s="64"/>
      <c r="E31" s="69"/>
      <c r="F31" s="66">
        <v>0.2</v>
      </c>
      <c r="G31" s="66">
        <v>798</v>
      </c>
      <c r="H31" s="67">
        <f t="shared" si="2"/>
        <v>0.15960000000000002</v>
      </c>
      <c r="I31" s="13">
        <f>F31/7.5*1.5*G31</f>
        <v>31.92</v>
      </c>
      <c r="J31" s="22"/>
      <c r="K31" s="8"/>
      <c r="L31" s="8"/>
      <c r="M31" s="8"/>
    </row>
    <row r="32" spans="1:13" ht="15.75" hidden="1" customHeight="1">
      <c r="A32" s="145" t="s">
        <v>113</v>
      </c>
      <c r="B32" s="146"/>
      <c r="C32" s="146"/>
      <c r="D32" s="146"/>
      <c r="E32" s="146"/>
      <c r="F32" s="146"/>
      <c r="G32" s="146"/>
      <c r="H32" s="146"/>
      <c r="I32" s="147"/>
      <c r="J32" s="23"/>
    </row>
    <row r="33" spans="1:14" ht="15.75" hidden="1" customHeight="1">
      <c r="A33" s="29"/>
      <c r="B33" s="64" t="s">
        <v>96</v>
      </c>
      <c r="C33" s="65" t="s">
        <v>93</v>
      </c>
      <c r="D33" s="64" t="s">
        <v>40</v>
      </c>
      <c r="E33" s="69">
        <v>578.5</v>
      </c>
      <c r="F33" s="66">
        <f>SUM(E33*2/1000)</f>
        <v>1.157</v>
      </c>
      <c r="G33" s="13">
        <v>809.74</v>
      </c>
      <c r="H33" s="67">
        <f t="shared" ref="H33:H41" si="4">SUM(F33*G33/1000)</f>
        <v>0.93686918000000008</v>
      </c>
      <c r="I33" s="13">
        <v>0</v>
      </c>
      <c r="J33" s="23"/>
    </row>
    <row r="34" spans="1:14" ht="15.75" hidden="1" customHeight="1">
      <c r="A34" s="29"/>
      <c r="B34" s="64" t="s">
        <v>34</v>
      </c>
      <c r="C34" s="65" t="s">
        <v>93</v>
      </c>
      <c r="D34" s="64" t="s">
        <v>40</v>
      </c>
      <c r="E34" s="69">
        <v>21</v>
      </c>
      <c r="F34" s="66">
        <f>SUM(E34*2/1000)</f>
        <v>4.2000000000000003E-2</v>
      </c>
      <c r="G34" s="13">
        <v>579.48</v>
      </c>
      <c r="H34" s="67">
        <f t="shared" si="4"/>
        <v>2.4338160000000001E-2</v>
      </c>
      <c r="I34" s="13">
        <v>0</v>
      </c>
      <c r="J34" s="23"/>
    </row>
    <row r="35" spans="1:14" ht="15.75" hidden="1" customHeight="1">
      <c r="A35" s="29"/>
      <c r="B35" s="64" t="s">
        <v>35</v>
      </c>
      <c r="C35" s="65" t="s">
        <v>93</v>
      </c>
      <c r="D35" s="64" t="s">
        <v>40</v>
      </c>
      <c r="E35" s="69">
        <v>737</v>
      </c>
      <c r="F35" s="66">
        <f>SUM(E35*2/1000)</f>
        <v>1.474</v>
      </c>
      <c r="G35" s="13">
        <v>579.48</v>
      </c>
      <c r="H35" s="67">
        <f t="shared" si="4"/>
        <v>0.85415352</v>
      </c>
      <c r="I35" s="13">
        <v>0</v>
      </c>
      <c r="J35" s="23"/>
    </row>
    <row r="36" spans="1:14" ht="15.75" hidden="1" customHeight="1">
      <c r="A36" s="29"/>
      <c r="B36" s="64" t="s">
        <v>32</v>
      </c>
      <c r="C36" s="65" t="s">
        <v>33</v>
      </c>
      <c r="D36" s="64" t="s">
        <v>40</v>
      </c>
      <c r="E36" s="69">
        <v>59.75</v>
      </c>
      <c r="F36" s="66">
        <f>SUM(E36*2/100)</f>
        <v>1.1950000000000001</v>
      </c>
      <c r="G36" s="13">
        <v>72.81</v>
      </c>
      <c r="H36" s="67">
        <f t="shared" si="4"/>
        <v>8.7007950000000014E-2</v>
      </c>
      <c r="I36" s="13">
        <v>0</v>
      </c>
      <c r="J36" s="23"/>
    </row>
    <row r="37" spans="1:14" ht="15.75" hidden="1" customHeight="1">
      <c r="A37" s="29">
        <v>9</v>
      </c>
      <c r="B37" s="64" t="s">
        <v>54</v>
      </c>
      <c r="C37" s="65" t="s">
        <v>93</v>
      </c>
      <c r="D37" s="64" t="s">
        <v>124</v>
      </c>
      <c r="E37" s="69">
        <v>479.7</v>
      </c>
      <c r="F37" s="66">
        <f>SUM(E37*5/1000)</f>
        <v>2.3984999999999999</v>
      </c>
      <c r="G37" s="13">
        <v>1213.55</v>
      </c>
      <c r="H37" s="67">
        <f t="shared" si="4"/>
        <v>2.910699675</v>
      </c>
      <c r="I37" s="13">
        <f>F37/5*G37</f>
        <v>582.13993499999992</v>
      </c>
      <c r="J37" s="23"/>
    </row>
    <row r="38" spans="1:14" ht="31.5" hidden="1" customHeight="1">
      <c r="A38" s="29"/>
      <c r="B38" s="64" t="s">
        <v>97</v>
      </c>
      <c r="C38" s="65" t="s">
        <v>93</v>
      </c>
      <c r="D38" s="64" t="s">
        <v>40</v>
      </c>
      <c r="E38" s="69">
        <v>479.7</v>
      </c>
      <c r="F38" s="66">
        <f>SUM(E38*2/1000)</f>
        <v>0.95940000000000003</v>
      </c>
      <c r="G38" s="13">
        <v>1213.55</v>
      </c>
      <c r="H38" s="67">
        <f t="shared" si="4"/>
        <v>1.1642798700000001</v>
      </c>
      <c r="I38" s="13">
        <v>0</v>
      </c>
      <c r="J38" s="23"/>
    </row>
    <row r="39" spans="1:14" ht="31.5" hidden="1" customHeight="1">
      <c r="A39" s="29"/>
      <c r="B39" s="64" t="s">
        <v>98</v>
      </c>
      <c r="C39" s="65" t="s">
        <v>36</v>
      </c>
      <c r="D39" s="64" t="s">
        <v>40</v>
      </c>
      <c r="E39" s="69">
        <v>4</v>
      </c>
      <c r="F39" s="66">
        <f>SUM(E39*2/100)</f>
        <v>0.08</v>
      </c>
      <c r="G39" s="13">
        <v>2730.49</v>
      </c>
      <c r="H39" s="67">
        <f t="shared" si="4"/>
        <v>0.2184392</v>
      </c>
      <c r="I39" s="13">
        <v>0</v>
      </c>
      <c r="J39" s="23"/>
      <c r="L39" s="19"/>
      <c r="M39" s="20"/>
      <c r="N39" s="21"/>
    </row>
    <row r="40" spans="1:14" ht="15.75" hidden="1" customHeight="1">
      <c r="A40" s="29"/>
      <c r="B40" s="64" t="s">
        <v>37</v>
      </c>
      <c r="C40" s="65" t="s">
        <v>38</v>
      </c>
      <c r="D40" s="64" t="s">
        <v>40</v>
      </c>
      <c r="E40" s="69">
        <v>1</v>
      </c>
      <c r="F40" s="66">
        <v>0.02</v>
      </c>
      <c r="G40" s="13">
        <v>5652.13</v>
      </c>
      <c r="H40" s="67">
        <f t="shared" si="4"/>
        <v>0.11304260000000001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9</v>
      </c>
      <c r="B41" s="64" t="s">
        <v>39</v>
      </c>
      <c r="C41" s="65" t="s">
        <v>86</v>
      </c>
      <c r="D41" s="64" t="s">
        <v>71</v>
      </c>
      <c r="E41" s="69">
        <v>24</v>
      </c>
      <c r="F41" s="66">
        <f>SUM(E41)*3</f>
        <v>72</v>
      </c>
      <c r="G41" s="13">
        <v>65.67</v>
      </c>
      <c r="H41" s="67">
        <f t="shared" si="4"/>
        <v>4.7282399999999996</v>
      </c>
      <c r="I41" s="13">
        <f>E41*G41</f>
        <v>1576.08</v>
      </c>
      <c r="J41" s="23"/>
      <c r="L41" s="19"/>
      <c r="M41" s="20"/>
      <c r="N41" s="21"/>
    </row>
    <row r="42" spans="1:14" ht="15.75" hidden="1" customHeight="1">
      <c r="A42" s="145" t="s">
        <v>127</v>
      </c>
      <c r="B42" s="146"/>
      <c r="C42" s="146"/>
      <c r="D42" s="146"/>
      <c r="E42" s="146"/>
      <c r="F42" s="146"/>
      <c r="G42" s="146"/>
      <c r="H42" s="146"/>
      <c r="I42" s="147"/>
      <c r="J42" s="23"/>
      <c r="L42" s="19"/>
      <c r="M42" s="20"/>
      <c r="N42" s="21"/>
    </row>
    <row r="43" spans="1:14" ht="15.75" hidden="1" customHeight="1">
      <c r="A43" s="29"/>
      <c r="B43" s="88" t="s">
        <v>41</v>
      </c>
      <c r="C43" s="65"/>
      <c r="D43" s="64"/>
      <c r="E43" s="69"/>
      <c r="F43" s="66"/>
      <c r="G43" s="66"/>
      <c r="H43" s="67"/>
      <c r="I43" s="72"/>
      <c r="J43" s="23"/>
      <c r="L43" s="19"/>
      <c r="M43" s="20"/>
      <c r="N43" s="21"/>
    </row>
    <row r="44" spans="1:14" ht="31.5" hidden="1" customHeight="1">
      <c r="A44" s="29">
        <v>9</v>
      </c>
      <c r="B44" s="64" t="s">
        <v>119</v>
      </c>
      <c r="C44" s="65" t="s">
        <v>89</v>
      </c>
      <c r="D44" s="64" t="s">
        <v>99</v>
      </c>
      <c r="E44" s="69">
        <v>57.85</v>
      </c>
      <c r="F44" s="66">
        <f>SUM(E44*6/100)</f>
        <v>3.4710000000000001</v>
      </c>
      <c r="G44" s="13">
        <v>1547.28</v>
      </c>
      <c r="H44" s="67">
        <f>SUM(F44*G44/1000)</f>
        <v>5.3706088799999998</v>
      </c>
      <c r="I44" s="13">
        <f>F44/6*G44</f>
        <v>895.10148000000004</v>
      </c>
      <c r="J44" s="23"/>
      <c r="L44" s="19"/>
      <c r="M44" s="20"/>
      <c r="N44" s="21"/>
    </row>
    <row r="45" spans="1:14" ht="15.75" hidden="1" customHeight="1">
      <c r="A45" s="29"/>
      <c r="B45" s="88" t="s">
        <v>42</v>
      </c>
      <c r="C45" s="65"/>
      <c r="D45" s="64"/>
      <c r="E45" s="69"/>
      <c r="F45" s="66"/>
      <c r="G45" s="59"/>
      <c r="H45" s="67"/>
      <c r="I45" s="72"/>
      <c r="J45" s="23"/>
      <c r="L45" s="19"/>
      <c r="M45" s="20"/>
      <c r="N45" s="21"/>
    </row>
    <row r="46" spans="1:14" ht="15.75" hidden="1" customHeight="1">
      <c r="A46" s="29"/>
      <c r="B46" s="64" t="s">
        <v>43</v>
      </c>
      <c r="C46" s="65" t="s">
        <v>89</v>
      </c>
      <c r="D46" s="64" t="s">
        <v>52</v>
      </c>
      <c r="E46" s="69">
        <v>479.7</v>
      </c>
      <c r="F46" s="67">
        <v>4.8</v>
      </c>
      <c r="G46" s="13">
        <v>793.61</v>
      </c>
      <c r="H46" s="73">
        <f>F46*G46/1000</f>
        <v>3.8093279999999998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88" t="s">
        <v>100</v>
      </c>
      <c r="C47" s="65"/>
      <c r="D47" s="64"/>
      <c r="E47" s="69"/>
      <c r="F47" s="66"/>
      <c r="G47" s="74"/>
      <c r="H47" s="67" t="s">
        <v>110</v>
      </c>
      <c r="I47" s="72"/>
      <c r="J47" s="23"/>
      <c r="L47" s="19"/>
      <c r="M47" s="20"/>
      <c r="N47" s="21"/>
    </row>
    <row r="48" spans="1:14" ht="15.75" hidden="1" customHeight="1">
      <c r="A48" s="29"/>
      <c r="B48" s="64" t="s">
        <v>101</v>
      </c>
      <c r="C48" s="65" t="s">
        <v>86</v>
      </c>
      <c r="D48" s="64" t="s">
        <v>64</v>
      </c>
      <c r="E48" s="69">
        <v>3</v>
      </c>
      <c r="F48" s="66">
        <f>SUM(E48)</f>
        <v>3</v>
      </c>
      <c r="G48" s="75">
        <v>237.75</v>
      </c>
      <c r="H48" s="67">
        <f t="shared" ref="H48:H62" si="5">SUM(F48*G48/1000)</f>
        <v>0.71325000000000005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89" t="s">
        <v>44</v>
      </c>
      <c r="C49" s="76"/>
      <c r="D49" s="77"/>
      <c r="E49" s="78"/>
      <c r="F49" s="79"/>
      <c r="G49" s="79"/>
      <c r="H49" s="80" t="s">
        <v>110</v>
      </c>
      <c r="I49" s="72"/>
      <c r="J49" s="23"/>
      <c r="L49" s="19"/>
      <c r="M49" s="20"/>
      <c r="N49" s="21"/>
    </row>
    <row r="50" spans="1:22" ht="15.75" hidden="1" customHeight="1">
      <c r="A50" s="29"/>
      <c r="B50" s="14" t="s">
        <v>45</v>
      </c>
      <c r="C50" s="16" t="s">
        <v>86</v>
      </c>
      <c r="D50" s="64" t="s">
        <v>64</v>
      </c>
      <c r="E50" s="18">
        <v>5</v>
      </c>
      <c r="F50" s="66">
        <v>5</v>
      </c>
      <c r="G50" s="13">
        <v>222.4</v>
      </c>
      <c r="H50" s="81">
        <f t="shared" si="5"/>
        <v>1.1120000000000001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14" t="s">
        <v>46</v>
      </c>
      <c r="C51" s="16" t="s">
        <v>86</v>
      </c>
      <c r="D51" s="64" t="s">
        <v>64</v>
      </c>
      <c r="E51" s="18">
        <v>3</v>
      </c>
      <c r="F51" s="66">
        <v>3</v>
      </c>
      <c r="G51" s="13">
        <v>76.25</v>
      </c>
      <c r="H51" s="81">
        <f t="shared" si="5"/>
        <v>0.22875000000000001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14" t="s">
        <v>47</v>
      </c>
      <c r="C52" s="16" t="s">
        <v>102</v>
      </c>
      <c r="D52" s="14" t="s">
        <v>52</v>
      </c>
      <c r="E52" s="69">
        <v>2753</v>
      </c>
      <c r="F52" s="13">
        <f>SUM(E52/100)</f>
        <v>27.53</v>
      </c>
      <c r="G52" s="13">
        <v>212.15</v>
      </c>
      <c r="H52" s="81">
        <f t="shared" si="5"/>
        <v>5.8404895000000003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48</v>
      </c>
      <c r="C53" s="16" t="s">
        <v>103</v>
      </c>
      <c r="D53" s="14"/>
      <c r="E53" s="69">
        <v>2753</v>
      </c>
      <c r="F53" s="13">
        <f>SUM(E53/1000)</f>
        <v>2.7530000000000001</v>
      </c>
      <c r="G53" s="13">
        <v>165.21</v>
      </c>
      <c r="H53" s="81">
        <f t="shared" si="5"/>
        <v>0.45482313000000008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49</v>
      </c>
      <c r="C54" s="16" t="s">
        <v>78</v>
      </c>
      <c r="D54" s="14" t="s">
        <v>52</v>
      </c>
      <c r="E54" s="69">
        <v>440</v>
      </c>
      <c r="F54" s="13">
        <f>SUM(E54/100)</f>
        <v>4.4000000000000004</v>
      </c>
      <c r="G54" s="13">
        <v>2074.63</v>
      </c>
      <c r="H54" s="81">
        <f t="shared" si="5"/>
        <v>9.1283720000000006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82" t="s">
        <v>72</v>
      </c>
      <c r="C55" s="16" t="s">
        <v>31</v>
      </c>
      <c r="D55" s="14"/>
      <c r="E55" s="69">
        <v>2.8</v>
      </c>
      <c r="F55" s="13">
        <f>SUM(E55)</f>
        <v>2.8</v>
      </c>
      <c r="G55" s="13">
        <v>45.32</v>
      </c>
      <c r="H55" s="81">
        <f t="shared" si="5"/>
        <v>0.12689599999999998</v>
      </c>
      <c r="I55" s="13">
        <v>0</v>
      </c>
      <c r="J55" s="23"/>
      <c r="L55" s="19"/>
      <c r="M55" s="20"/>
      <c r="N55" s="21"/>
    </row>
    <row r="56" spans="1:22" ht="31.5" hidden="1" customHeight="1">
      <c r="A56" s="29"/>
      <c r="B56" s="82" t="s">
        <v>73</v>
      </c>
      <c r="C56" s="16" t="s">
        <v>31</v>
      </c>
      <c r="D56" s="14"/>
      <c r="E56" s="69">
        <v>2.8</v>
      </c>
      <c r="F56" s="13">
        <f>SUM(E56)</f>
        <v>2.8</v>
      </c>
      <c r="G56" s="13">
        <v>42.28</v>
      </c>
      <c r="H56" s="81">
        <f t="shared" si="5"/>
        <v>0.118384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4" t="s">
        <v>55</v>
      </c>
      <c r="C57" s="16" t="s">
        <v>56</v>
      </c>
      <c r="D57" s="14" t="s">
        <v>52</v>
      </c>
      <c r="E57" s="18">
        <v>3</v>
      </c>
      <c r="F57" s="66">
        <f>SUM(E57)</f>
        <v>3</v>
      </c>
      <c r="G57" s="13">
        <v>49.88</v>
      </c>
      <c r="H57" s="81">
        <f t="shared" si="5"/>
        <v>0.14964000000000002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56" t="s">
        <v>74</v>
      </c>
      <c r="C58" s="16"/>
      <c r="D58" s="14"/>
      <c r="E58" s="18"/>
      <c r="F58" s="13"/>
      <c r="G58" s="13"/>
      <c r="H58" s="81" t="s">
        <v>110</v>
      </c>
      <c r="I58" s="72"/>
      <c r="J58" s="23"/>
      <c r="L58" s="19"/>
      <c r="M58" s="20"/>
      <c r="N58" s="21"/>
    </row>
    <row r="59" spans="1:22" ht="15.75" hidden="1" customHeight="1">
      <c r="A59" s="29">
        <v>10</v>
      </c>
      <c r="B59" s="14" t="s">
        <v>75</v>
      </c>
      <c r="C59" s="16" t="s">
        <v>76</v>
      </c>
      <c r="D59" s="14"/>
      <c r="E59" s="18">
        <v>15</v>
      </c>
      <c r="F59" s="13">
        <v>1.5</v>
      </c>
      <c r="G59" s="13">
        <v>501.62</v>
      </c>
      <c r="H59" s="81">
        <f t="shared" si="5"/>
        <v>0.75243000000000004</v>
      </c>
      <c r="I59" s="13">
        <f>G59*0.2</f>
        <v>100.32400000000001</v>
      </c>
      <c r="J59" s="23"/>
      <c r="L59" s="19"/>
    </row>
    <row r="60" spans="1:22" ht="15.75" hidden="1" customHeight="1">
      <c r="A60" s="29"/>
      <c r="B60" s="14" t="s">
        <v>106</v>
      </c>
      <c r="C60" s="16" t="s">
        <v>86</v>
      </c>
      <c r="D60" s="14"/>
      <c r="E60" s="18">
        <v>1</v>
      </c>
      <c r="F60" s="66">
        <f>SUM(E60)</f>
        <v>1</v>
      </c>
      <c r="G60" s="13">
        <v>358.51</v>
      </c>
      <c r="H60" s="81">
        <f t="shared" si="5"/>
        <v>0.35851</v>
      </c>
      <c r="I60" s="13">
        <v>0</v>
      </c>
    </row>
    <row r="61" spans="1:22" ht="15.75" hidden="1" customHeight="1">
      <c r="A61" s="29"/>
      <c r="B61" s="84" t="s">
        <v>77</v>
      </c>
      <c r="C61" s="16"/>
      <c r="D61" s="14"/>
      <c r="E61" s="18"/>
      <c r="F61" s="13"/>
      <c r="G61" s="13" t="s">
        <v>110</v>
      </c>
      <c r="H61" s="81" t="s">
        <v>110</v>
      </c>
      <c r="I61" s="72"/>
    </row>
    <row r="62" spans="1:22" ht="15.75" hidden="1" customHeight="1">
      <c r="A62" s="29"/>
      <c r="B62" s="42" t="s">
        <v>107</v>
      </c>
      <c r="C62" s="16" t="s">
        <v>78</v>
      </c>
      <c r="D62" s="14"/>
      <c r="E62" s="18"/>
      <c r="F62" s="13">
        <v>0.3</v>
      </c>
      <c r="G62" s="13">
        <v>2759.44</v>
      </c>
      <c r="H62" s="81">
        <f t="shared" si="5"/>
        <v>0.82783200000000001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56" t="s">
        <v>104</v>
      </c>
      <c r="C63" s="84"/>
      <c r="D63" s="31"/>
      <c r="E63" s="32"/>
      <c r="F63" s="85"/>
      <c r="G63" s="85"/>
      <c r="H63" s="86">
        <f>SUM(H44:H62)</f>
        <v>28.991313509999998</v>
      </c>
      <c r="I63" s="71"/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64" t="s">
        <v>105</v>
      </c>
      <c r="C64" s="16"/>
      <c r="D64" s="14"/>
      <c r="E64" s="60"/>
      <c r="F64" s="13">
        <v>1</v>
      </c>
      <c r="G64" s="13">
        <v>2119.1999999999998</v>
      </c>
      <c r="H64" s="81">
        <f>G64*F64/1000</f>
        <v>2.1191999999999998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145" t="s">
        <v>133</v>
      </c>
      <c r="B65" s="146"/>
      <c r="C65" s="146"/>
      <c r="D65" s="146"/>
      <c r="E65" s="146"/>
      <c r="F65" s="146"/>
      <c r="G65" s="146"/>
      <c r="H65" s="146"/>
      <c r="I65" s="147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5</v>
      </c>
      <c r="B66" s="64" t="s">
        <v>108</v>
      </c>
      <c r="C66" s="16" t="s">
        <v>53</v>
      </c>
      <c r="D66" s="45"/>
      <c r="E66" s="13">
        <v>737</v>
      </c>
      <c r="F66" s="13">
        <f>SUM(E66*12)</f>
        <v>8844</v>
      </c>
      <c r="G66" s="13">
        <v>2.1</v>
      </c>
      <c r="H66" s="81">
        <f>SUM(F66*G66/1000)</f>
        <v>18.572400000000002</v>
      </c>
      <c r="I66" s="13">
        <f>F66/12*G66</f>
        <v>1547.7</v>
      </c>
      <c r="J66" s="5"/>
      <c r="K66" s="5"/>
      <c r="L66" s="5"/>
      <c r="M66" s="5"/>
      <c r="N66" s="5"/>
      <c r="O66" s="5"/>
      <c r="P66" s="5"/>
      <c r="Q66" s="5"/>
      <c r="R66" s="144"/>
      <c r="S66" s="144"/>
      <c r="T66" s="144"/>
      <c r="U66" s="144"/>
    </row>
    <row r="67" spans="1:21" ht="31.5" customHeight="1">
      <c r="A67" s="29">
        <v>6</v>
      </c>
      <c r="B67" s="14" t="s">
        <v>79</v>
      </c>
      <c r="C67" s="16"/>
      <c r="D67" s="45"/>
      <c r="E67" s="69">
        <f>E66</f>
        <v>737</v>
      </c>
      <c r="F67" s="13">
        <f>E67*12</f>
        <v>8844</v>
      </c>
      <c r="G67" s="13">
        <v>1.63</v>
      </c>
      <c r="H67" s="81">
        <f>F67*G67/1000</f>
        <v>14.415719999999999</v>
      </c>
      <c r="I67" s="13">
        <f>F67/12*G67</f>
        <v>1201.31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29"/>
      <c r="B68" s="35" t="s">
        <v>81</v>
      </c>
      <c r="C68" s="84"/>
      <c r="D68" s="83"/>
      <c r="E68" s="85"/>
      <c r="F68" s="85"/>
      <c r="G68" s="85"/>
      <c r="H68" s="86">
        <f>SUM(H67)</f>
        <v>14.415719999999999</v>
      </c>
      <c r="I68" s="85">
        <f>I67+I66+I29+I28+I27+I16</f>
        <v>5663.9824470000003</v>
      </c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148" t="s">
        <v>58</v>
      </c>
      <c r="B69" s="149"/>
      <c r="C69" s="149"/>
      <c r="D69" s="149"/>
      <c r="E69" s="149"/>
      <c r="F69" s="149"/>
      <c r="G69" s="149"/>
      <c r="H69" s="149"/>
      <c r="I69" s="150"/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>
        <v>7</v>
      </c>
      <c r="B70" s="101" t="s">
        <v>144</v>
      </c>
      <c r="C70" s="16" t="s">
        <v>145</v>
      </c>
      <c r="D70" s="42"/>
      <c r="E70" s="13"/>
      <c r="F70" s="13">
        <v>200</v>
      </c>
      <c r="G70" s="13">
        <v>1.4</v>
      </c>
      <c r="H70" s="81">
        <f>SUM(F70*G70/1000)</f>
        <v>0.28000000000000003</v>
      </c>
      <c r="I70" s="13">
        <f>G70*100</f>
        <v>140</v>
      </c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31.5" customHeight="1">
      <c r="A71" s="29">
        <v>8</v>
      </c>
      <c r="B71" s="50" t="s">
        <v>149</v>
      </c>
      <c r="C71" s="51" t="s">
        <v>28</v>
      </c>
      <c r="D71" s="42"/>
      <c r="E71" s="13"/>
      <c r="F71" s="13"/>
      <c r="G71" s="111">
        <v>20547.34</v>
      </c>
      <c r="H71" s="81"/>
      <c r="I71" s="13">
        <f>G71*0.599*5/1000</f>
        <v>61.539283299999994</v>
      </c>
      <c r="J71" s="5"/>
      <c r="K71" s="5"/>
      <c r="L71" s="5"/>
      <c r="M71" s="5"/>
      <c r="N71" s="5"/>
      <c r="O71" s="5"/>
      <c r="P71" s="5"/>
      <c r="Q71" s="5"/>
      <c r="R71" s="127"/>
      <c r="S71" s="127"/>
      <c r="T71" s="127"/>
      <c r="U71" s="127"/>
    </row>
    <row r="72" spans="1:21" ht="15.75" customHeight="1">
      <c r="A72" s="29">
        <v>9</v>
      </c>
      <c r="B72" s="50" t="s">
        <v>181</v>
      </c>
      <c r="C72" s="51" t="s">
        <v>148</v>
      </c>
      <c r="D72" s="97"/>
      <c r="E72" s="34"/>
      <c r="F72" s="105">
        <v>4</v>
      </c>
      <c r="G72" s="105">
        <v>284</v>
      </c>
      <c r="H72" s="81"/>
      <c r="I72" s="13">
        <f>G72*4</f>
        <v>1136</v>
      </c>
      <c r="J72" s="5"/>
      <c r="K72" s="5"/>
      <c r="L72" s="5"/>
      <c r="M72" s="5"/>
      <c r="N72" s="5"/>
      <c r="O72" s="5"/>
      <c r="P72" s="5"/>
      <c r="Q72" s="5"/>
      <c r="R72" s="127"/>
      <c r="S72" s="127"/>
      <c r="T72" s="127"/>
      <c r="U72" s="127"/>
    </row>
    <row r="73" spans="1:21" ht="15.75" customHeight="1">
      <c r="A73" s="29"/>
      <c r="B73" s="40" t="s">
        <v>50</v>
      </c>
      <c r="C73" s="36"/>
      <c r="D73" s="43"/>
      <c r="E73" s="36">
        <v>1</v>
      </c>
      <c r="F73" s="36"/>
      <c r="G73" s="36"/>
      <c r="H73" s="36"/>
      <c r="I73" s="32">
        <f>SUM(I70:I72)</f>
        <v>1337.5392833000001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29"/>
      <c r="B74" s="42" t="s">
        <v>80</v>
      </c>
      <c r="C74" s="15"/>
      <c r="D74" s="15"/>
      <c r="E74" s="37"/>
      <c r="F74" s="37"/>
      <c r="G74" s="38"/>
      <c r="H74" s="38"/>
      <c r="I74" s="17">
        <v>0</v>
      </c>
    </row>
    <row r="75" spans="1:21" ht="15.75" customHeight="1">
      <c r="A75" s="44"/>
      <c r="B75" s="41" t="s">
        <v>138</v>
      </c>
      <c r="C75" s="33"/>
      <c r="D75" s="33"/>
      <c r="E75" s="33"/>
      <c r="F75" s="33"/>
      <c r="G75" s="33"/>
      <c r="H75" s="33"/>
      <c r="I75" s="39">
        <f>I68+I73</f>
        <v>7001.5217303000009</v>
      </c>
    </row>
    <row r="76" spans="1:21" ht="15.75" customHeight="1">
      <c r="A76" s="157" t="s">
        <v>182</v>
      </c>
      <c r="B76" s="157"/>
      <c r="C76" s="157"/>
      <c r="D76" s="157"/>
      <c r="E76" s="157"/>
      <c r="F76" s="157"/>
      <c r="G76" s="157"/>
      <c r="H76" s="157"/>
      <c r="I76" s="157"/>
    </row>
    <row r="77" spans="1:21" ht="15.75">
      <c r="A77" s="58"/>
      <c r="B77" s="158" t="s">
        <v>183</v>
      </c>
      <c r="C77" s="158"/>
      <c r="D77" s="158"/>
      <c r="E77" s="158"/>
      <c r="F77" s="158"/>
      <c r="G77" s="158"/>
      <c r="H77" s="63"/>
      <c r="I77" s="3"/>
    </row>
    <row r="78" spans="1:21">
      <c r="A78" s="54"/>
      <c r="B78" s="154" t="s">
        <v>6</v>
      </c>
      <c r="C78" s="154"/>
      <c r="D78" s="154"/>
      <c r="E78" s="154"/>
      <c r="F78" s="154"/>
      <c r="G78" s="154"/>
      <c r="H78" s="24"/>
      <c r="I78" s="5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</row>
    <row r="80" spans="1:21" ht="15.75" customHeight="1">
      <c r="A80" s="141" t="s">
        <v>7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1" t="s">
        <v>8</v>
      </c>
      <c r="B81" s="141"/>
      <c r="C81" s="141"/>
      <c r="D81" s="141"/>
      <c r="E81" s="141"/>
      <c r="F81" s="141"/>
      <c r="G81" s="141"/>
      <c r="H81" s="141"/>
      <c r="I81" s="141"/>
    </row>
    <row r="82" spans="1:9" ht="15.75">
      <c r="A82" s="142" t="s">
        <v>59</v>
      </c>
      <c r="B82" s="142"/>
      <c r="C82" s="142"/>
      <c r="D82" s="142"/>
      <c r="E82" s="142"/>
      <c r="F82" s="142"/>
      <c r="G82" s="142"/>
      <c r="H82" s="142"/>
      <c r="I82" s="142"/>
    </row>
    <row r="83" spans="1:9" ht="15.75" customHeight="1">
      <c r="A83" s="11"/>
    </row>
    <row r="84" spans="1:9" ht="15.75" customHeight="1">
      <c r="A84" s="152" t="s">
        <v>9</v>
      </c>
      <c r="B84" s="152"/>
      <c r="C84" s="152"/>
      <c r="D84" s="152"/>
      <c r="E84" s="152"/>
      <c r="F84" s="152"/>
      <c r="G84" s="152"/>
      <c r="H84" s="152"/>
      <c r="I84" s="152"/>
    </row>
    <row r="85" spans="1:9" ht="15.75" customHeight="1">
      <c r="A85" s="4"/>
    </row>
    <row r="86" spans="1:9" ht="15.75" customHeight="1">
      <c r="B86" s="55" t="s">
        <v>10</v>
      </c>
      <c r="C86" s="153" t="s">
        <v>85</v>
      </c>
      <c r="D86" s="153"/>
      <c r="E86" s="153"/>
      <c r="F86" s="61"/>
      <c r="I86" s="53"/>
    </row>
    <row r="87" spans="1:9" ht="15.75" customHeight="1">
      <c r="A87" s="54"/>
      <c r="C87" s="154" t="s">
        <v>11</v>
      </c>
      <c r="D87" s="154"/>
      <c r="E87" s="154"/>
      <c r="F87" s="24"/>
      <c r="I87" s="52" t="s">
        <v>12</v>
      </c>
    </row>
    <row r="88" spans="1:9" ht="15.75" customHeight="1">
      <c r="A88" s="25"/>
      <c r="C88" s="12"/>
      <c r="D88" s="12"/>
      <c r="G88" s="12"/>
      <c r="H88" s="12"/>
    </row>
    <row r="89" spans="1:9" ht="15.75" customHeight="1">
      <c r="B89" s="55" t="s">
        <v>13</v>
      </c>
      <c r="C89" s="155"/>
      <c r="D89" s="155"/>
      <c r="E89" s="155"/>
      <c r="F89" s="62"/>
      <c r="I89" s="53"/>
    </row>
    <row r="90" spans="1:9" ht="15.75" customHeight="1">
      <c r="A90" s="54"/>
      <c r="C90" s="144" t="s">
        <v>11</v>
      </c>
      <c r="D90" s="144"/>
      <c r="E90" s="144"/>
      <c r="F90" s="54"/>
      <c r="I90" s="52" t="s">
        <v>12</v>
      </c>
    </row>
    <row r="91" spans="1:9" ht="15.75" customHeight="1">
      <c r="A91" s="4" t="s">
        <v>14</v>
      </c>
    </row>
    <row r="92" spans="1:9">
      <c r="A92" s="156" t="s">
        <v>15</v>
      </c>
      <c r="B92" s="156"/>
      <c r="C92" s="156"/>
      <c r="D92" s="156"/>
      <c r="E92" s="156"/>
      <c r="F92" s="156"/>
      <c r="G92" s="156"/>
      <c r="H92" s="156"/>
      <c r="I92" s="156"/>
    </row>
    <row r="93" spans="1:9" ht="45" customHeight="1">
      <c r="A93" s="151" t="s">
        <v>16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17</v>
      </c>
      <c r="B94" s="151"/>
      <c r="C94" s="151"/>
      <c r="D94" s="151"/>
      <c r="E94" s="151"/>
      <c r="F94" s="151"/>
      <c r="G94" s="151"/>
      <c r="H94" s="151"/>
      <c r="I94" s="151"/>
    </row>
    <row r="95" spans="1:9" ht="30" customHeight="1">
      <c r="A95" s="151" t="s">
        <v>21</v>
      </c>
      <c r="B95" s="151"/>
      <c r="C95" s="151"/>
      <c r="D95" s="151"/>
      <c r="E95" s="151"/>
      <c r="F95" s="151"/>
      <c r="G95" s="151"/>
      <c r="H95" s="151"/>
      <c r="I95" s="151"/>
    </row>
    <row r="96" spans="1:9" ht="15" customHeight="1">
      <c r="A96" s="151" t="s">
        <v>20</v>
      </c>
      <c r="B96" s="151"/>
      <c r="C96" s="151"/>
      <c r="D96" s="151"/>
      <c r="E96" s="151"/>
      <c r="F96" s="151"/>
      <c r="G96" s="151"/>
      <c r="H96" s="151"/>
      <c r="I96" s="151"/>
    </row>
  </sheetData>
  <autoFilter ref="I12:I61"/>
  <mergeCells count="29">
    <mergeCell ref="A93:I93"/>
    <mergeCell ref="A94:I94"/>
    <mergeCell ref="A95:I95"/>
    <mergeCell ref="A96:I96"/>
    <mergeCell ref="A84:I84"/>
    <mergeCell ref="C86:E86"/>
    <mergeCell ref="C87:E87"/>
    <mergeCell ref="C89:E89"/>
    <mergeCell ref="C90:E90"/>
    <mergeCell ref="A92:I92"/>
    <mergeCell ref="A82:I82"/>
    <mergeCell ref="A15:I15"/>
    <mergeCell ref="A17:I17"/>
    <mergeCell ref="A32:I32"/>
    <mergeCell ref="A42:I42"/>
    <mergeCell ref="A65:I65"/>
    <mergeCell ref="A76:I76"/>
    <mergeCell ref="B77:G77"/>
    <mergeCell ref="B78:G78"/>
    <mergeCell ref="A80:I80"/>
    <mergeCell ref="A81:I81"/>
    <mergeCell ref="A69:I69"/>
    <mergeCell ref="R66:U6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93"/>
  <sheetViews>
    <sheetView topLeftCell="A37" workbookViewId="0">
      <selection activeCell="B69" sqref="B69:I6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130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184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43982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151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156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3" si="0">SUM(F19*G19/1000)</f>
        <v>6.351270379999999</v>
      </c>
      <c r="I19" s="13">
        <f t="shared" ref="I19:I20" si="1">F19/6*G19</f>
        <v>1058.5450633333332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157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customHeight="1">
      <c r="A21" s="29">
        <v>4</v>
      </c>
      <c r="B21" s="64" t="s">
        <v>26</v>
      </c>
      <c r="C21" s="65" t="s">
        <v>93</v>
      </c>
      <c r="D21" s="64" t="s">
        <v>158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/>
      <c r="B22" s="64" t="s">
        <v>62</v>
      </c>
      <c r="C22" s="65" t="s">
        <v>31</v>
      </c>
      <c r="D22" s="64" t="s">
        <v>64</v>
      </c>
      <c r="E22" s="69"/>
      <c r="F22" s="66">
        <v>2</v>
      </c>
      <c r="G22" s="66">
        <v>191.32</v>
      </c>
      <c r="H22" s="67">
        <f t="shared" si="0"/>
        <v>0.38263999999999998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4" t="s">
        <v>63</v>
      </c>
      <c r="C23" s="65" t="s">
        <v>30</v>
      </c>
      <c r="D23" s="64" t="s">
        <v>64</v>
      </c>
      <c r="E23" s="69"/>
      <c r="F23" s="66">
        <v>2</v>
      </c>
      <c r="G23" s="66">
        <v>1136.33</v>
      </c>
      <c r="H23" s="67">
        <f t="shared" si="0"/>
        <v>2.2726599999999997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8" t="s">
        <v>5</v>
      </c>
      <c r="C24" s="65"/>
      <c r="D24" s="64"/>
      <c r="E24" s="69"/>
      <c r="F24" s="66"/>
      <c r="G24" s="66"/>
      <c r="H24" s="67" t="s">
        <v>110</v>
      </c>
      <c r="I24" s="72"/>
      <c r="J24" s="22"/>
      <c r="K24" s="8"/>
      <c r="L24" s="8"/>
      <c r="M24" s="8"/>
    </row>
    <row r="25" spans="1:13" ht="15.75" hidden="1" customHeight="1">
      <c r="A25" s="29">
        <v>3</v>
      </c>
      <c r="B25" s="64" t="s">
        <v>25</v>
      </c>
      <c r="C25" s="65" t="s">
        <v>30</v>
      </c>
      <c r="D25" s="64"/>
      <c r="E25" s="69"/>
      <c r="F25" s="66">
        <v>3</v>
      </c>
      <c r="G25" s="66">
        <v>1527.22</v>
      </c>
      <c r="H25" s="67">
        <f t="shared" ref="H25:H30" si="2">SUM(F25*G25/1000)</f>
        <v>4.5816600000000003</v>
      </c>
      <c r="I25" s="13">
        <f t="shared" ref="I25:I30" si="3">F25/6*G25</f>
        <v>763.61</v>
      </c>
      <c r="J25" s="22"/>
      <c r="K25" s="8"/>
      <c r="L25" s="8"/>
      <c r="M25" s="8"/>
    </row>
    <row r="26" spans="1:13" ht="15.75" hidden="1" customHeight="1">
      <c r="A26" s="29">
        <v>4</v>
      </c>
      <c r="B26" s="64" t="s">
        <v>65</v>
      </c>
      <c r="C26" s="65" t="s">
        <v>28</v>
      </c>
      <c r="D26" s="64" t="s">
        <v>66</v>
      </c>
      <c r="E26" s="66">
        <v>171.9</v>
      </c>
      <c r="F26" s="66">
        <f>SUM(E26*18/1000)</f>
        <v>3.0942000000000003</v>
      </c>
      <c r="G26" s="66">
        <v>2102.71</v>
      </c>
      <c r="H26" s="67">
        <f t="shared" si="2"/>
        <v>6.5062052820000007</v>
      </c>
      <c r="I26" s="13">
        <f t="shared" si="3"/>
        <v>1084.3675470000001</v>
      </c>
      <c r="J26" s="22"/>
      <c r="K26" s="8"/>
      <c r="L26" s="8"/>
      <c r="M26" s="8"/>
    </row>
    <row r="27" spans="1:13" ht="15.75" hidden="1" customHeight="1">
      <c r="A27" s="29">
        <v>5</v>
      </c>
      <c r="B27" s="64" t="s">
        <v>67</v>
      </c>
      <c r="C27" s="65" t="s">
        <v>28</v>
      </c>
      <c r="D27" s="64" t="s">
        <v>68</v>
      </c>
      <c r="E27" s="66">
        <v>48</v>
      </c>
      <c r="F27" s="66">
        <f>SUM(E27*70/1000)</f>
        <v>3.36</v>
      </c>
      <c r="G27" s="66">
        <v>350.75</v>
      </c>
      <c r="H27" s="67">
        <f t="shared" si="2"/>
        <v>1.17852</v>
      </c>
      <c r="I27" s="13">
        <f t="shared" si="3"/>
        <v>196.42</v>
      </c>
      <c r="J27" s="22"/>
      <c r="K27" s="8"/>
      <c r="L27" s="8"/>
      <c r="M27" s="8"/>
    </row>
    <row r="28" spans="1:13" ht="47.25" hidden="1" customHeight="1">
      <c r="A28" s="29">
        <v>6</v>
      </c>
      <c r="B28" s="64" t="s">
        <v>83</v>
      </c>
      <c r="C28" s="65" t="s">
        <v>93</v>
      </c>
      <c r="D28" s="64" t="s">
        <v>68</v>
      </c>
      <c r="E28" s="66">
        <v>18</v>
      </c>
      <c r="F28" s="66">
        <f>SUM(E28*70/1000)</f>
        <v>1.26</v>
      </c>
      <c r="G28" s="66">
        <v>5803.28</v>
      </c>
      <c r="H28" s="67">
        <f t="shared" si="2"/>
        <v>7.3121327999999997</v>
      </c>
      <c r="I28" s="13">
        <f t="shared" si="3"/>
        <v>1218.6887999999999</v>
      </c>
      <c r="J28" s="22"/>
      <c r="K28" s="8"/>
      <c r="L28" s="8"/>
      <c r="M28" s="8"/>
    </row>
    <row r="29" spans="1:13" ht="15.75" hidden="1" customHeight="1">
      <c r="A29" s="29">
        <v>7</v>
      </c>
      <c r="B29" s="64" t="s">
        <v>95</v>
      </c>
      <c r="C29" s="65" t="s">
        <v>93</v>
      </c>
      <c r="D29" s="64" t="s">
        <v>69</v>
      </c>
      <c r="E29" s="66">
        <v>48</v>
      </c>
      <c r="F29" s="66">
        <f>SUM(E29*45/1000)</f>
        <v>2.16</v>
      </c>
      <c r="G29" s="66">
        <v>428.7</v>
      </c>
      <c r="H29" s="67">
        <f t="shared" si="2"/>
        <v>0.92599200000000004</v>
      </c>
      <c r="I29" s="13">
        <f t="shared" si="3"/>
        <v>154.33200000000002</v>
      </c>
      <c r="J29" s="22"/>
      <c r="K29" s="8"/>
      <c r="L29" s="8"/>
      <c r="M29" s="8"/>
    </row>
    <row r="30" spans="1:13" ht="15.75" hidden="1" customHeight="1">
      <c r="A30" s="29">
        <v>8</v>
      </c>
      <c r="B30" s="64" t="s">
        <v>70</v>
      </c>
      <c r="C30" s="65" t="s">
        <v>31</v>
      </c>
      <c r="D30" s="64"/>
      <c r="E30" s="69"/>
      <c r="F30" s="66">
        <v>0.2</v>
      </c>
      <c r="G30" s="66">
        <v>798</v>
      </c>
      <c r="H30" s="67">
        <f t="shared" si="2"/>
        <v>0.15960000000000002</v>
      </c>
      <c r="I30" s="13">
        <f t="shared" si="3"/>
        <v>26.599999999999998</v>
      </c>
      <c r="J30" s="22"/>
      <c r="K30" s="8"/>
      <c r="L30" s="8"/>
      <c r="M30" s="8"/>
    </row>
    <row r="31" spans="1:13" ht="15.75" customHeight="1">
      <c r="A31" s="145" t="s">
        <v>113</v>
      </c>
      <c r="B31" s="146"/>
      <c r="C31" s="146"/>
      <c r="D31" s="146"/>
      <c r="E31" s="146"/>
      <c r="F31" s="146"/>
      <c r="G31" s="146"/>
      <c r="H31" s="146"/>
      <c r="I31" s="147"/>
      <c r="J31" s="23"/>
    </row>
    <row r="32" spans="1:13" ht="15.75" customHeight="1">
      <c r="A32" s="29">
        <v>5</v>
      </c>
      <c r="B32" s="64" t="s">
        <v>96</v>
      </c>
      <c r="C32" s="65" t="s">
        <v>93</v>
      </c>
      <c r="D32" s="64" t="s">
        <v>155</v>
      </c>
      <c r="E32" s="69">
        <v>578.5</v>
      </c>
      <c r="F32" s="66">
        <f>SUM(E32*2/1000)</f>
        <v>1.157</v>
      </c>
      <c r="G32" s="13">
        <v>809.74</v>
      </c>
      <c r="H32" s="67">
        <f t="shared" ref="H32:H40" si="4">SUM(F32*G32/1000)</f>
        <v>0.93686918000000008</v>
      </c>
      <c r="I32" s="13">
        <f t="shared" ref="I32:I34" si="5">F32/2*G32</f>
        <v>468.43459000000001</v>
      </c>
      <c r="J32" s="23"/>
    </row>
    <row r="33" spans="1:14" ht="15.75" customHeight="1">
      <c r="A33" s="29">
        <v>6</v>
      </c>
      <c r="B33" s="64" t="s">
        <v>34</v>
      </c>
      <c r="C33" s="65" t="s">
        <v>93</v>
      </c>
      <c r="D33" s="64" t="s">
        <v>155</v>
      </c>
      <c r="E33" s="69">
        <v>21</v>
      </c>
      <c r="F33" s="66">
        <f>SUM(E33*2/1000)</f>
        <v>4.2000000000000003E-2</v>
      </c>
      <c r="G33" s="13">
        <v>579.48</v>
      </c>
      <c r="H33" s="67">
        <f t="shared" si="4"/>
        <v>2.4338160000000001E-2</v>
      </c>
      <c r="I33" s="13">
        <f t="shared" si="5"/>
        <v>12.169080000000001</v>
      </c>
      <c r="J33" s="23"/>
    </row>
    <row r="34" spans="1:14" ht="15.75" customHeight="1">
      <c r="A34" s="29">
        <v>7</v>
      </c>
      <c r="B34" s="64" t="s">
        <v>35</v>
      </c>
      <c r="C34" s="65" t="s">
        <v>93</v>
      </c>
      <c r="D34" s="64" t="s">
        <v>155</v>
      </c>
      <c r="E34" s="69">
        <v>737</v>
      </c>
      <c r="F34" s="66">
        <f>SUM(E34*2/1000)</f>
        <v>1.474</v>
      </c>
      <c r="G34" s="13">
        <v>579.48</v>
      </c>
      <c r="H34" s="67">
        <f t="shared" si="4"/>
        <v>0.85415352</v>
      </c>
      <c r="I34" s="13">
        <f t="shared" si="5"/>
        <v>427.07675999999998</v>
      </c>
      <c r="J34" s="23"/>
    </row>
    <row r="35" spans="1:14" ht="15.75" customHeight="1">
      <c r="A35" s="29">
        <v>8</v>
      </c>
      <c r="B35" s="64" t="s">
        <v>32</v>
      </c>
      <c r="C35" s="65" t="s">
        <v>33</v>
      </c>
      <c r="D35" s="64" t="s">
        <v>155</v>
      </c>
      <c r="E35" s="69">
        <v>59.75</v>
      </c>
      <c r="F35" s="66">
        <f>SUM(E35*2/100)</f>
        <v>1.1950000000000001</v>
      </c>
      <c r="G35" s="13">
        <v>72.81</v>
      </c>
      <c r="H35" s="67">
        <f t="shared" si="4"/>
        <v>8.7007950000000014E-2</v>
      </c>
      <c r="I35" s="13">
        <f>F35/2*G35</f>
        <v>43.503975000000004</v>
      </c>
      <c r="J35" s="23"/>
    </row>
    <row r="36" spans="1:14" ht="15.75" customHeight="1">
      <c r="A36" s="29">
        <v>9</v>
      </c>
      <c r="B36" s="64" t="s">
        <v>54</v>
      </c>
      <c r="C36" s="65" t="s">
        <v>93</v>
      </c>
      <c r="D36" s="64" t="s">
        <v>155</v>
      </c>
      <c r="E36" s="69">
        <v>479.7</v>
      </c>
      <c r="F36" s="66">
        <f>SUM(E36*5/1000)</f>
        <v>2.3984999999999999</v>
      </c>
      <c r="G36" s="13">
        <v>1213.55</v>
      </c>
      <c r="H36" s="67">
        <f t="shared" si="4"/>
        <v>2.910699675</v>
      </c>
      <c r="I36" s="13">
        <f>F36/5*G36</f>
        <v>582.13993499999992</v>
      </c>
      <c r="J36" s="23"/>
    </row>
    <row r="37" spans="1:14" ht="31.5" customHeight="1">
      <c r="A37" s="29">
        <v>10</v>
      </c>
      <c r="B37" s="64" t="s">
        <v>97</v>
      </c>
      <c r="C37" s="65" t="s">
        <v>93</v>
      </c>
      <c r="D37" s="64" t="s">
        <v>155</v>
      </c>
      <c r="E37" s="69">
        <v>479.7</v>
      </c>
      <c r="F37" s="66">
        <f>SUM(E37*2/1000)</f>
        <v>0.95940000000000003</v>
      </c>
      <c r="G37" s="13">
        <v>1213.55</v>
      </c>
      <c r="H37" s="67">
        <f t="shared" si="4"/>
        <v>1.1642798700000001</v>
      </c>
      <c r="I37" s="13">
        <f>0.4797*G37</f>
        <v>582.13993500000004</v>
      </c>
      <c r="J37" s="23"/>
    </row>
    <row r="38" spans="1:14" ht="33.75" customHeight="1">
      <c r="A38" s="29">
        <v>11</v>
      </c>
      <c r="B38" s="64" t="s">
        <v>98</v>
      </c>
      <c r="C38" s="65" t="s">
        <v>36</v>
      </c>
      <c r="D38" s="64" t="s">
        <v>155</v>
      </c>
      <c r="E38" s="69">
        <v>4</v>
      </c>
      <c r="F38" s="66">
        <f>SUM(E38*2/100)</f>
        <v>0.08</v>
      </c>
      <c r="G38" s="13">
        <v>2730.49</v>
      </c>
      <c r="H38" s="67">
        <f t="shared" si="4"/>
        <v>0.2184392</v>
      </c>
      <c r="I38" s="13">
        <f>0.04*G38</f>
        <v>109.2196</v>
      </c>
      <c r="J38" s="23"/>
      <c r="L38" s="19"/>
      <c r="M38" s="20"/>
      <c r="N38" s="21"/>
    </row>
    <row r="39" spans="1:14" ht="15.75" customHeight="1">
      <c r="A39" s="29">
        <v>12</v>
      </c>
      <c r="B39" s="64" t="s">
        <v>37</v>
      </c>
      <c r="C39" s="65" t="s">
        <v>38</v>
      </c>
      <c r="D39" s="64" t="s">
        <v>155</v>
      </c>
      <c r="E39" s="69">
        <v>1</v>
      </c>
      <c r="F39" s="66">
        <v>0.02</v>
      </c>
      <c r="G39" s="13">
        <v>5652.13</v>
      </c>
      <c r="H39" s="67">
        <f t="shared" si="4"/>
        <v>0.11304260000000001</v>
      </c>
      <c r="I39" s="13">
        <f>0.01*G39</f>
        <v>56.521300000000004</v>
      </c>
      <c r="J39" s="23"/>
      <c r="L39" s="19"/>
      <c r="M39" s="20"/>
      <c r="N39" s="21"/>
    </row>
    <row r="40" spans="1:14" ht="15.75" customHeight="1">
      <c r="A40" s="29">
        <v>13</v>
      </c>
      <c r="B40" s="64" t="s">
        <v>39</v>
      </c>
      <c r="C40" s="65" t="s">
        <v>86</v>
      </c>
      <c r="D40" s="122">
        <v>43966</v>
      </c>
      <c r="E40" s="69">
        <v>24</v>
      </c>
      <c r="F40" s="66">
        <f>SUM(E40)*3</f>
        <v>72</v>
      </c>
      <c r="G40" s="13">
        <v>65.67</v>
      </c>
      <c r="H40" s="67">
        <f t="shared" si="4"/>
        <v>4.7282399999999996</v>
      </c>
      <c r="I40" s="13">
        <f>E40*G40</f>
        <v>1576.08</v>
      </c>
      <c r="J40" s="23"/>
      <c r="L40" s="19"/>
      <c r="M40" s="20"/>
      <c r="N40" s="21"/>
    </row>
    <row r="41" spans="1:14" ht="15.75" hidden="1" customHeight="1">
      <c r="A41" s="145" t="s">
        <v>114</v>
      </c>
      <c r="B41" s="146"/>
      <c r="C41" s="146"/>
      <c r="D41" s="146"/>
      <c r="E41" s="146"/>
      <c r="F41" s="146"/>
      <c r="G41" s="146"/>
      <c r="H41" s="146"/>
      <c r="I41" s="147"/>
      <c r="J41" s="23"/>
      <c r="L41" s="19"/>
      <c r="M41" s="20"/>
      <c r="N41" s="21"/>
    </row>
    <row r="42" spans="1:14" ht="15.75" hidden="1" customHeight="1">
      <c r="A42" s="29"/>
      <c r="B42" s="88" t="s">
        <v>41</v>
      </c>
      <c r="C42" s="65"/>
      <c r="D42" s="64"/>
      <c r="E42" s="69"/>
      <c r="F42" s="66"/>
      <c r="G42" s="66"/>
      <c r="H42" s="67"/>
      <c r="I42" s="72"/>
      <c r="J42" s="23"/>
      <c r="L42" s="19"/>
      <c r="M42" s="20"/>
      <c r="N42" s="21"/>
    </row>
    <row r="43" spans="1:14" ht="31.5" hidden="1" customHeight="1">
      <c r="A43" s="29">
        <v>11</v>
      </c>
      <c r="B43" s="64" t="s">
        <v>119</v>
      </c>
      <c r="C43" s="65" t="s">
        <v>89</v>
      </c>
      <c r="D43" s="64" t="s">
        <v>99</v>
      </c>
      <c r="E43" s="69">
        <v>57.85</v>
      </c>
      <c r="F43" s="66">
        <f>SUM(E43*6/100)</f>
        <v>3.4710000000000001</v>
      </c>
      <c r="G43" s="13">
        <v>1547.28</v>
      </c>
      <c r="H43" s="67">
        <f>SUM(F43*G43/1000)</f>
        <v>5.3706088799999998</v>
      </c>
      <c r="I43" s="13">
        <f>F43/6*G43</f>
        <v>895.10148000000004</v>
      </c>
      <c r="J43" s="23"/>
      <c r="L43" s="19"/>
      <c r="M43" s="20"/>
      <c r="N43" s="21"/>
    </row>
    <row r="44" spans="1:14" ht="15.75" hidden="1" customHeight="1">
      <c r="A44" s="29"/>
      <c r="B44" s="88" t="s">
        <v>42</v>
      </c>
      <c r="C44" s="65"/>
      <c r="D44" s="64"/>
      <c r="E44" s="69"/>
      <c r="F44" s="66"/>
      <c r="G44" s="59"/>
      <c r="H44" s="67"/>
      <c r="I44" s="72"/>
      <c r="J44" s="23"/>
      <c r="L44" s="19"/>
      <c r="M44" s="20"/>
      <c r="N44" s="21"/>
    </row>
    <row r="45" spans="1:14" ht="15.75" hidden="1" customHeight="1">
      <c r="A45" s="29"/>
      <c r="B45" s="64" t="s">
        <v>43</v>
      </c>
      <c r="C45" s="65" t="s">
        <v>89</v>
      </c>
      <c r="D45" s="64" t="s">
        <v>52</v>
      </c>
      <c r="E45" s="69">
        <v>479.7</v>
      </c>
      <c r="F45" s="67">
        <v>4.8</v>
      </c>
      <c r="G45" s="13">
        <v>793.61</v>
      </c>
      <c r="H45" s="73">
        <f>F45*G45/1000</f>
        <v>3.8093279999999998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88" t="s">
        <v>100</v>
      </c>
      <c r="C46" s="65"/>
      <c r="D46" s="64"/>
      <c r="E46" s="69"/>
      <c r="F46" s="66"/>
      <c r="G46" s="74"/>
      <c r="H46" s="67" t="s">
        <v>110</v>
      </c>
      <c r="I46" s="72"/>
      <c r="J46" s="23"/>
      <c r="L46" s="19"/>
      <c r="M46" s="20"/>
      <c r="N46" s="21"/>
    </row>
    <row r="47" spans="1:14" ht="15.75" hidden="1" customHeight="1">
      <c r="A47" s="29"/>
      <c r="B47" s="64" t="s">
        <v>101</v>
      </c>
      <c r="C47" s="65" t="s">
        <v>86</v>
      </c>
      <c r="D47" s="64" t="s">
        <v>64</v>
      </c>
      <c r="E47" s="69">
        <v>3</v>
      </c>
      <c r="F47" s="66">
        <f>SUM(E47)</f>
        <v>3</v>
      </c>
      <c r="G47" s="75">
        <v>237.75</v>
      </c>
      <c r="H47" s="67">
        <f t="shared" ref="H47:H61" si="6">SUM(F47*G47/1000)</f>
        <v>0.71325000000000005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89" t="s">
        <v>44</v>
      </c>
      <c r="C48" s="76"/>
      <c r="D48" s="77"/>
      <c r="E48" s="78"/>
      <c r="F48" s="79"/>
      <c r="G48" s="79"/>
      <c r="H48" s="80" t="s">
        <v>110</v>
      </c>
      <c r="I48" s="72"/>
      <c r="J48" s="23"/>
      <c r="L48" s="19"/>
      <c r="M48" s="20"/>
      <c r="N48" s="21"/>
    </row>
    <row r="49" spans="1:22" ht="15.75" hidden="1" customHeight="1">
      <c r="A49" s="29"/>
      <c r="B49" s="14" t="s">
        <v>45</v>
      </c>
      <c r="C49" s="16" t="s">
        <v>86</v>
      </c>
      <c r="D49" s="64" t="s">
        <v>64</v>
      </c>
      <c r="E49" s="18">
        <v>5</v>
      </c>
      <c r="F49" s="66">
        <v>5</v>
      </c>
      <c r="G49" s="13">
        <v>222.4</v>
      </c>
      <c r="H49" s="81">
        <f t="shared" si="6"/>
        <v>1.1120000000000001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14" t="s">
        <v>46</v>
      </c>
      <c r="C50" s="16" t="s">
        <v>86</v>
      </c>
      <c r="D50" s="64" t="s">
        <v>64</v>
      </c>
      <c r="E50" s="18">
        <v>3</v>
      </c>
      <c r="F50" s="66">
        <v>3</v>
      </c>
      <c r="G50" s="13">
        <v>76.25</v>
      </c>
      <c r="H50" s="81">
        <f t="shared" si="6"/>
        <v>0.22875000000000001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15</v>
      </c>
      <c r="B51" s="14" t="s">
        <v>47</v>
      </c>
      <c r="C51" s="16" t="s">
        <v>102</v>
      </c>
      <c r="D51" s="14" t="s">
        <v>52</v>
      </c>
      <c r="E51" s="69">
        <v>2753</v>
      </c>
      <c r="F51" s="13">
        <f>SUM(E51/100)</f>
        <v>27.53</v>
      </c>
      <c r="G51" s="13">
        <v>212.15</v>
      </c>
      <c r="H51" s="81">
        <f t="shared" si="6"/>
        <v>5.8404895000000003</v>
      </c>
      <c r="I51" s="13">
        <f>F51*G51</f>
        <v>5840.4895000000006</v>
      </c>
      <c r="J51" s="23"/>
      <c r="L51" s="19"/>
      <c r="M51" s="20"/>
      <c r="N51" s="21"/>
    </row>
    <row r="52" spans="1:22" ht="15.75" hidden="1" customHeight="1">
      <c r="A52" s="29">
        <v>16</v>
      </c>
      <c r="B52" s="14" t="s">
        <v>48</v>
      </c>
      <c r="C52" s="16" t="s">
        <v>103</v>
      </c>
      <c r="D52" s="14"/>
      <c r="E52" s="69">
        <v>2753</v>
      </c>
      <c r="F52" s="13">
        <f>SUM(E52/1000)</f>
        <v>2.7530000000000001</v>
      </c>
      <c r="G52" s="13">
        <v>165.21</v>
      </c>
      <c r="H52" s="81">
        <f t="shared" si="6"/>
        <v>0.45482313000000008</v>
      </c>
      <c r="I52" s="13">
        <f t="shared" ref="I52:I55" si="7">F52*G52</f>
        <v>454.82313000000005</v>
      </c>
      <c r="J52" s="23"/>
      <c r="L52" s="19"/>
      <c r="M52" s="20"/>
      <c r="N52" s="21"/>
    </row>
    <row r="53" spans="1:22" ht="15.75" hidden="1" customHeight="1">
      <c r="A53" s="29">
        <v>17</v>
      </c>
      <c r="B53" s="14" t="s">
        <v>49</v>
      </c>
      <c r="C53" s="16" t="s">
        <v>78</v>
      </c>
      <c r="D53" s="14" t="s">
        <v>52</v>
      </c>
      <c r="E53" s="69">
        <v>440</v>
      </c>
      <c r="F53" s="13">
        <f>SUM(E53/100)</f>
        <v>4.4000000000000004</v>
      </c>
      <c r="G53" s="13">
        <v>2074.63</v>
      </c>
      <c r="H53" s="81">
        <f t="shared" si="6"/>
        <v>9.1283720000000006</v>
      </c>
      <c r="I53" s="13">
        <f t="shared" si="7"/>
        <v>9128.3720000000012</v>
      </c>
      <c r="J53" s="23"/>
      <c r="L53" s="19"/>
      <c r="M53" s="20"/>
      <c r="N53" s="21"/>
    </row>
    <row r="54" spans="1:22" ht="15.75" hidden="1" customHeight="1">
      <c r="A54" s="29">
        <v>18</v>
      </c>
      <c r="B54" s="82" t="s">
        <v>72</v>
      </c>
      <c r="C54" s="16" t="s">
        <v>31</v>
      </c>
      <c r="D54" s="14"/>
      <c r="E54" s="69">
        <v>2.8</v>
      </c>
      <c r="F54" s="13">
        <f>SUM(E54)</f>
        <v>2.8</v>
      </c>
      <c r="G54" s="13">
        <v>45.32</v>
      </c>
      <c r="H54" s="81">
        <f t="shared" si="6"/>
        <v>0.12689599999999998</v>
      </c>
      <c r="I54" s="13">
        <f t="shared" si="7"/>
        <v>126.89599999999999</v>
      </c>
      <c r="J54" s="23"/>
      <c r="L54" s="19"/>
      <c r="M54" s="20"/>
      <c r="N54" s="21"/>
    </row>
    <row r="55" spans="1:22" ht="31.5" hidden="1" customHeight="1">
      <c r="A55" s="29">
        <v>19</v>
      </c>
      <c r="B55" s="82" t="s">
        <v>73</v>
      </c>
      <c r="C55" s="16" t="s">
        <v>31</v>
      </c>
      <c r="D55" s="14"/>
      <c r="E55" s="69">
        <v>2.8</v>
      </c>
      <c r="F55" s="13">
        <f>SUM(E55)</f>
        <v>2.8</v>
      </c>
      <c r="G55" s="13">
        <v>42.28</v>
      </c>
      <c r="H55" s="81">
        <f t="shared" si="6"/>
        <v>0.118384</v>
      </c>
      <c r="I55" s="13">
        <f t="shared" si="7"/>
        <v>118.384</v>
      </c>
      <c r="J55" s="23"/>
      <c r="L55" s="19"/>
      <c r="M55" s="20"/>
      <c r="N55" s="21"/>
    </row>
    <row r="56" spans="1:22" ht="15.75" hidden="1" customHeight="1">
      <c r="A56" s="29"/>
      <c r="B56" s="14" t="s">
        <v>55</v>
      </c>
      <c r="C56" s="16" t="s">
        <v>56</v>
      </c>
      <c r="D56" s="14" t="s">
        <v>52</v>
      </c>
      <c r="E56" s="18">
        <v>3</v>
      </c>
      <c r="F56" s="66">
        <f>SUM(E56)</f>
        <v>3</v>
      </c>
      <c r="G56" s="13">
        <v>49.88</v>
      </c>
      <c r="H56" s="81">
        <f t="shared" si="6"/>
        <v>0.14964000000000002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02" t="s">
        <v>74</v>
      </c>
      <c r="C57" s="16"/>
      <c r="D57" s="14"/>
      <c r="E57" s="18"/>
      <c r="F57" s="13"/>
      <c r="G57" s="13"/>
      <c r="H57" s="81" t="s">
        <v>110</v>
      </c>
      <c r="I57" s="72"/>
      <c r="J57" s="23"/>
      <c r="L57" s="19"/>
      <c r="M57" s="20"/>
      <c r="N57" s="21"/>
    </row>
    <row r="58" spans="1:22" ht="15.75" hidden="1" customHeight="1">
      <c r="A58" s="29">
        <v>12</v>
      </c>
      <c r="B58" s="14" t="s">
        <v>75</v>
      </c>
      <c r="C58" s="16" t="s">
        <v>76</v>
      </c>
      <c r="D58" s="14"/>
      <c r="E58" s="18">
        <v>15</v>
      </c>
      <c r="F58" s="13">
        <v>1.5</v>
      </c>
      <c r="G58" s="13">
        <v>501.62</v>
      </c>
      <c r="H58" s="81">
        <f t="shared" si="6"/>
        <v>0.75243000000000004</v>
      </c>
      <c r="I58" s="13">
        <f>G58*0.3</f>
        <v>150.48599999999999</v>
      </c>
      <c r="J58" s="23"/>
      <c r="L58" s="19"/>
    </row>
    <row r="59" spans="1:22" ht="15.75" hidden="1" customHeight="1">
      <c r="A59" s="29"/>
      <c r="B59" s="14" t="s">
        <v>106</v>
      </c>
      <c r="C59" s="16" t="s">
        <v>86</v>
      </c>
      <c r="D59" s="14"/>
      <c r="E59" s="18">
        <v>1</v>
      </c>
      <c r="F59" s="66">
        <f>SUM(E59)</f>
        <v>1</v>
      </c>
      <c r="G59" s="13">
        <v>358.51</v>
      </c>
      <c r="H59" s="81">
        <f t="shared" si="6"/>
        <v>0.35851</v>
      </c>
      <c r="I59" s="13">
        <v>0</v>
      </c>
    </row>
    <row r="60" spans="1:22" ht="15.75" hidden="1" customHeight="1">
      <c r="A60" s="29"/>
      <c r="B60" s="84" t="s">
        <v>77</v>
      </c>
      <c r="C60" s="16"/>
      <c r="D60" s="14"/>
      <c r="E60" s="18"/>
      <c r="F60" s="13"/>
      <c r="G60" s="13" t="s">
        <v>110</v>
      </c>
      <c r="H60" s="81" t="s">
        <v>110</v>
      </c>
      <c r="I60" s="72"/>
    </row>
    <row r="61" spans="1:22" ht="15.75" hidden="1" customHeight="1">
      <c r="A61" s="29"/>
      <c r="B61" s="42" t="s">
        <v>107</v>
      </c>
      <c r="C61" s="16" t="s">
        <v>78</v>
      </c>
      <c r="D61" s="14"/>
      <c r="E61" s="18"/>
      <c r="F61" s="13">
        <v>0.3</v>
      </c>
      <c r="G61" s="13">
        <v>2759.44</v>
      </c>
      <c r="H61" s="81">
        <f t="shared" si="6"/>
        <v>0.82783200000000001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102" t="s">
        <v>104</v>
      </c>
      <c r="C62" s="84"/>
      <c r="D62" s="31"/>
      <c r="E62" s="32"/>
      <c r="F62" s="85"/>
      <c r="G62" s="85"/>
      <c r="H62" s="86">
        <f>SUM(H43:H61)</f>
        <v>28.991313509999998</v>
      </c>
      <c r="I62" s="71"/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64" t="s">
        <v>105</v>
      </c>
      <c r="C63" s="16"/>
      <c r="D63" s="14"/>
      <c r="E63" s="60"/>
      <c r="F63" s="13">
        <v>1</v>
      </c>
      <c r="G63" s="13">
        <v>2119.1999999999998</v>
      </c>
      <c r="H63" s="81">
        <f>G63*F63/1000</f>
        <v>2.1191999999999998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145" t="s">
        <v>128</v>
      </c>
      <c r="B64" s="146"/>
      <c r="C64" s="146"/>
      <c r="D64" s="146"/>
      <c r="E64" s="146"/>
      <c r="F64" s="146"/>
      <c r="G64" s="146"/>
      <c r="H64" s="146"/>
      <c r="I64" s="147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29">
        <v>14</v>
      </c>
      <c r="B65" s="64" t="s">
        <v>108</v>
      </c>
      <c r="C65" s="16" t="s">
        <v>53</v>
      </c>
      <c r="D65" s="45"/>
      <c r="E65" s="13">
        <v>737</v>
      </c>
      <c r="F65" s="13">
        <f>SUM(E65*12)</f>
        <v>8844</v>
      </c>
      <c r="G65" s="13">
        <v>2.1</v>
      </c>
      <c r="H65" s="81">
        <f>SUM(F65*G65/1000)</f>
        <v>18.572400000000002</v>
      </c>
      <c r="I65" s="13">
        <f>F65/12*G65</f>
        <v>1547.7</v>
      </c>
      <c r="J65" s="5"/>
      <c r="K65" s="5"/>
      <c r="L65" s="5"/>
      <c r="M65" s="5"/>
      <c r="N65" s="5"/>
      <c r="O65" s="5"/>
      <c r="P65" s="5"/>
      <c r="Q65" s="5"/>
      <c r="R65" s="144"/>
      <c r="S65" s="144"/>
      <c r="T65" s="144"/>
      <c r="U65" s="144"/>
    </row>
    <row r="66" spans="1:21" ht="31.5" customHeight="1">
      <c r="A66" s="29">
        <v>15</v>
      </c>
      <c r="B66" s="14" t="s">
        <v>79</v>
      </c>
      <c r="C66" s="16"/>
      <c r="D66" s="45"/>
      <c r="E66" s="69">
        <f>E65</f>
        <v>737</v>
      </c>
      <c r="F66" s="13">
        <f>E66*12</f>
        <v>8844</v>
      </c>
      <c r="G66" s="13">
        <v>1.63</v>
      </c>
      <c r="H66" s="81">
        <f>F66*G66/1000</f>
        <v>14.415719999999999</v>
      </c>
      <c r="I66" s="13">
        <f>F66/12*G66</f>
        <v>1201.31</v>
      </c>
      <c r="J66" s="5"/>
      <c r="K66" s="5"/>
      <c r="L66" s="5"/>
      <c r="M66" s="5"/>
      <c r="N66" s="5"/>
      <c r="O66" s="5"/>
      <c r="P66" s="5"/>
      <c r="Q66" s="5"/>
      <c r="R66" s="54"/>
      <c r="S66" s="54"/>
      <c r="T66" s="54"/>
      <c r="U66" s="54"/>
    </row>
    <row r="67" spans="1:21" ht="15.75" customHeight="1">
      <c r="A67" s="29"/>
      <c r="B67" s="35" t="s">
        <v>81</v>
      </c>
      <c r="C67" s="84"/>
      <c r="D67" s="83"/>
      <c r="E67" s="85"/>
      <c r="F67" s="85"/>
      <c r="G67" s="85"/>
      <c r="H67" s="86">
        <f>SUM(H66)</f>
        <v>14.415719999999999</v>
      </c>
      <c r="I67" s="85">
        <f>I66+I65+I40+I39+I38+I37+I36+I35+I34+I33+I32+I21+I20+I19+I16</f>
        <v>11024.725354333334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148" t="s">
        <v>58</v>
      </c>
      <c r="B68" s="149"/>
      <c r="C68" s="149"/>
      <c r="D68" s="149"/>
      <c r="E68" s="149"/>
      <c r="F68" s="149"/>
      <c r="G68" s="149"/>
      <c r="H68" s="149"/>
      <c r="I68" s="150"/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29">
        <v>16</v>
      </c>
      <c r="B69" s="101" t="s">
        <v>144</v>
      </c>
      <c r="C69" s="16" t="s">
        <v>145</v>
      </c>
      <c r="D69" s="42"/>
      <c r="E69" s="13"/>
      <c r="F69" s="13">
        <v>200</v>
      </c>
      <c r="G69" s="13">
        <v>1.4</v>
      </c>
      <c r="H69" s="81">
        <f>SUM(F69*G69/1000)</f>
        <v>0.28000000000000003</v>
      </c>
      <c r="I69" s="13">
        <f>G69*100</f>
        <v>140</v>
      </c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/>
      <c r="B70" s="40" t="s">
        <v>50</v>
      </c>
      <c r="C70" s="36"/>
      <c r="D70" s="43"/>
      <c r="E70" s="36">
        <v>1</v>
      </c>
      <c r="F70" s="36"/>
      <c r="G70" s="36"/>
      <c r="H70" s="36"/>
      <c r="I70" s="32">
        <f>SUM(I69:I69)</f>
        <v>140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75" customHeight="1">
      <c r="A71" s="29"/>
      <c r="B71" s="42" t="s">
        <v>80</v>
      </c>
      <c r="C71" s="15"/>
      <c r="D71" s="15"/>
      <c r="E71" s="37"/>
      <c r="F71" s="37"/>
      <c r="G71" s="38"/>
      <c r="H71" s="38"/>
      <c r="I71" s="17">
        <v>0</v>
      </c>
    </row>
    <row r="72" spans="1:21" ht="15.75" customHeight="1">
      <c r="A72" s="44"/>
      <c r="B72" s="41" t="s">
        <v>138</v>
      </c>
      <c r="C72" s="33"/>
      <c r="D72" s="33"/>
      <c r="E72" s="33"/>
      <c r="F72" s="33"/>
      <c r="G72" s="33"/>
      <c r="H72" s="33"/>
      <c r="I72" s="39">
        <f>I67+I70</f>
        <v>11164.725354333334</v>
      </c>
    </row>
    <row r="73" spans="1:21" ht="15.75" customHeight="1">
      <c r="A73" s="157" t="s">
        <v>185</v>
      </c>
      <c r="B73" s="157"/>
      <c r="C73" s="157"/>
      <c r="D73" s="157"/>
      <c r="E73" s="157"/>
      <c r="F73" s="157"/>
      <c r="G73" s="157"/>
      <c r="H73" s="157"/>
      <c r="I73" s="157"/>
    </row>
    <row r="74" spans="1:21" ht="15.75">
      <c r="A74" s="58"/>
      <c r="B74" s="158" t="s">
        <v>186</v>
      </c>
      <c r="C74" s="158"/>
      <c r="D74" s="158"/>
      <c r="E74" s="158"/>
      <c r="F74" s="158"/>
      <c r="G74" s="158"/>
      <c r="H74" s="63"/>
      <c r="I74" s="3"/>
    </row>
    <row r="75" spans="1:21">
      <c r="A75" s="54"/>
      <c r="B75" s="154" t="s">
        <v>6</v>
      </c>
      <c r="C75" s="154"/>
      <c r="D75" s="154"/>
      <c r="E75" s="154"/>
      <c r="F75" s="154"/>
      <c r="G75" s="154"/>
      <c r="H75" s="24"/>
      <c r="I75" s="5"/>
    </row>
    <row r="76" spans="1:21">
      <c r="A76" s="10"/>
      <c r="B76" s="10"/>
      <c r="C76" s="10"/>
      <c r="D76" s="10"/>
      <c r="E76" s="10"/>
      <c r="F76" s="10"/>
      <c r="G76" s="10"/>
      <c r="H76" s="10"/>
      <c r="I76" s="10"/>
    </row>
    <row r="77" spans="1:21" ht="15.75" customHeight="1">
      <c r="A77" s="141" t="s">
        <v>7</v>
      </c>
      <c r="B77" s="141"/>
      <c r="C77" s="141"/>
      <c r="D77" s="141"/>
      <c r="E77" s="141"/>
      <c r="F77" s="141"/>
      <c r="G77" s="141"/>
      <c r="H77" s="141"/>
      <c r="I77" s="141"/>
    </row>
    <row r="78" spans="1:21" ht="15.75">
      <c r="A78" s="141" t="s">
        <v>8</v>
      </c>
      <c r="B78" s="141"/>
      <c r="C78" s="141"/>
      <c r="D78" s="141"/>
      <c r="E78" s="141"/>
      <c r="F78" s="141"/>
      <c r="G78" s="141"/>
      <c r="H78" s="141"/>
      <c r="I78" s="141"/>
    </row>
    <row r="79" spans="1:21" ht="15.75">
      <c r="A79" s="142" t="s">
        <v>59</v>
      </c>
      <c r="B79" s="142"/>
      <c r="C79" s="142"/>
      <c r="D79" s="142"/>
      <c r="E79" s="142"/>
      <c r="F79" s="142"/>
      <c r="G79" s="142"/>
      <c r="H79" s="142"/>
      <c r="I79" s="142"/>
    </row>
    <row r="80" spans="1:21" ht="15.75" customHeight="1">
      <c r="A80" s="11"/>
    </row>
    <row r="81" spans="1:9" ht="15.75" customHeight="1">
      <c r="A81" s="152" t="s">
        <v>9</v>
      </c>
      <c r="B81" s="152"/>
      <c r="C81" s="152"/>
      <c r="D81" s="152"/>
      <c r="E81" s="152"/>
      <c r="F81" s="152"/>
      <c r="G81" s="152"/>
      <c r="H81" s="152"/>
      <c r="I81" s="152"/>
    </row>
    <row r="82" spans="1:9" ht="15.75" customHeight="1">
      <c r="A82" s="4"/>
    </row>
    <row r="83" spans="1:9" ht="15.75" customHeight="1">
      <c r="B83" s="55" t="s">
        <v>10</v>
      </c>
      <c r="C83" s="153" t="s">
        <v>85</v>
      </c>
      <c r="D83" s="153"/>
      <c r="E83" s="153"/>
      <c r="F83" s="61"/>
      <c r="I83" s="53"/>
    </row>
    <row r="84" spans="1:9" ht="15.75" customHeight="1">
      <c r="A84" s="54"/>
      <c r="C84" s="154" t="s">
        <v>11</v>
      </c>
      <c r="D84" s="154"/>
      <c r="E84" s="154"/>
      <c r="F84" s="24"/>
      <c r="I84" s="52" t="s">
        <v>12</v>
      </c>
    </row>
    <row r="85" spans="1:9" ht="15.75" customHeight="1">
      <c r="A85" s="25"/>
      <c r="C85" s="12"/>
      <c r="D85" s="12"/>
      <c r="G85" s="12"/>
      <c r="H85" s="12"/>
    </row>
    <row r="86" spans="1:9" ht="15.75" customHeight="1">
      <c r="B86" s="55" t="s">
        <v>13</v>
      </c>
      <c r="C86" s="155"/>
      <c r="D86" s="155"/>
      <c r="E86" s="155"/>
      <c r="F86" s="62"/>
      <c r="I86" s="53"/>
    </row>
    <row r="87" spans="1:9" ht="15.75" customHeight="1">
      <c r="A87" s="54"/>
      <c r="C87" s="144" t="s">
        <v>11</v>
      </c>
      <c r="D87" s="144"/>
      <c r="E87" s="144"/>
      <c r="F87" s="54"/>
      <c r="I87" s="52" t="s">
        <v>12</v>
      </c>
    </row>
    <row r="88" spans="1:9" ht="15.75" customHeight="1">
      <c r="A88" s="4" t="s">
        <v>14</v>
      </c>
    </row>
    <row r="89" spans="1:9">
      <c r="A89" s="156" t="s">
        <v>15</v>
      </c>
      <c r="B89" s="156"/>
      <c r="C89" s="156"/>
      <c r="D89" s="156"/>
      <c r="E89" s="156"/>
      <c r="F89" s="156"/>
      <c r="G89" s="156"/>
      <c r="H89" s="156"/>
      <c r="I89" s="156"/>
    </row>
    <row r="90" spans="1:9" ht="45" customHeight="1">
      <c r="A90" s="151" t="s">
        <v>16</v>
      </c>
      <c r="B90" s="151"/>
      <c r="C90" s="151"/>
      <c r="D90" s="151"/>
      <c r="E90" s="151"/>
      <c r="F90" s="151"/>
      <c r="G90" s="151"/>
      <c r="H90" s="151"/>
      <c r="I90" s="151"/>
    </row>
    <row r="91" spans="1:9" ht="30" customHeight="1">
      <c r="A91" s="151" t="s">
        <v>17</v>
      </c>
      <c r="B91" s="151"/>
      <c r="C91" s="151"/>
      <c r="D91" s="151"/>
      <c r="E91" s="151"/>
      <c r="F91" s="151"/>
      <c r="G91" s="151"/>
      <c r="H91" s="151"/>
      <c r="I91" s="151"/>
    </row>
    <row r="92" spans="1:9" ht="30" customHeight="1">
      <c r="A92" s="151" t="s">
        <v>21</v>
      </c>
      <c r="B92" s="151"/>
      <c r="C92" s="151"/>
      <c r="D92" s="151"/>
      <c r="E92" s="151"/>
      <c r="F92" s="151"/>
      <c r="G92" s="151"/>
      <c r="H92" s="151"/>
      <c r="I92" s="151"/>
    </row>
    <row r="93" spans="1:9" ht="15" customHeight="1">
      <c r="A93" s="151" t="s">
        <v>20</v>
      </c>
      <c r="B93" s="151"/>
      <c r="C93" s="151"/>
      <c r="D93" s="151"/>
      <c r="E93" s="151"/>
      <c r="F93" s="151"/>
      <c r="G93" s="151"/>
      <c r="H93" s="151"/>
      <c r="I93" s="151"/>
    </row>
  </sheetData>
  <autoFilter ref="I12:I60"/>
  <mergeCells count="29">
    <mergeCell ref="A90:I90"/>
    <mergeCell ref="A91:I91"/>
    <mergeCell ref="A92:I92"/>
    <mergeCell ref="A93:I93"/>
    <mergeCell ref="A81:I81"/>
    <mergeCell ref="C83:E83"/>
    <mergeCell ref="C84:E84"/>
    <mergeCell ref="C86:E86"/>
    <mergeCell ref="C87:E87"/>
    <mergeCell ref="A89:I89"/>
    <mergeCell ref="A79:I79"/>
    <mergeCell ref="A15:I15"/>
    <mergeCell ref="A17:I17"/>
    <mergeCell ref="A31:I31"/>
    <mergeCell ref="A41:I41"/>
    <mergeCell ref="A64:I64"/>
    <mergeCell ref="A73:I73"/>
    <mergeCell ref="B74:G74"/>
    <mergeCell ref="B75:G75"/>
    <mergeCell ref="A77:I77"/>
    <mergeCell ref="A78:I78"/>
    <mergeCell ref="A68:I68"/>
    <mergeCell ref="R65:U6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96"/>
  <sheetViews>
    <sheetView topLeftCell="A54" workbookViewId="0">
      <selection activeCell="I78" sqref="I7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131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187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44012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156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3" si="0">SUM(F19*G19/1000)</f>
        <v>6.351270379999999</v>
      </c>
      <c r="I19" s="13">
        <f t="shared" ref="I19:I20" si="1">F19/6*G19</f>
        <v>1058.5450633333332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157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/>
      <c r="B22" s="64" t="s">
        <v>62</v>
      </c>
      <c r="C22" s="65" t="s">
        <v>31</v>
      </c>
      <c r="D22" s="64" t="s">
        <v>64</v>
      </c>
      <c r="E22" s="69"/>
      <c r="F22" s="66">
        <v>2</v>
      </c>
      <c r="G22" s="66">
        <v>191.32</v>
      </c>
      <c r="H22" s="67">
        <f t="shared" si="0"/>
        <v>0.38263999999999998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4" t="s">
        <v>63</v>
      </c>
      <c r="C23" s="65" t="s">
        <v>30</v>
      </c>
      <c r="D23" s="64" t="s">
        <v>64</v>
      </c>
      <c r="E23" s="69"/>
      <c r="F23" s="66">
        <v>2</v>
      </c>
      <c r="G23" s="66">
        <v>1136.33</v>
      </c>
      <c r="H23" s="67">
        <f t="shared" si="0"/>
        <v>2.2726599999999997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8" t="s">
        <v>5</v>
      </c>
      <c r="C24" s="65"/>
      <c r="D24" s="64"/>
      <c r="E24" s="69"/>
      <c r="F24" s="66"/>
      <c r="G24" s="66"/>
      <c r="H24" s="67" t="s">
        <v>110</v>
      </c>
      <c r="I24" s="72"/>
      <c r="J24" s="22"/>
      <c r="K24" s="8"/>
      <c r="L24" s="8"/>
      <c r="M24" s="8"/>
    </row>
    <row r="25" spans="1:13" ht="15.75" hidden="1" customHeight="1">
      <c r="A25" s="29">
        <v>3</v>
      </c>
      <c r="B25" s="64" t="s">
        <v>25</v>
      </c>
      <c r="C25" s="65" t="s">
        <v>30</v>
      </c>
      <c r="D25" s="64"/>
      <c r="E25" s="69"/>
      <c r="F25" s="66">
        <v>3</v>
      </c>
      <c r="G25" s="66">
        <v>1527.22</v>
      </c>
      <c r="H25" s="67">
        <f t="shared" ref="H25:H30" si="2">SUM(F25*G25/1000)</f>
        <v>4.5816600000000003</v>
      </c>
      <c r="I25" s="13">
        <f t="shared" ref="I25:I30" si="3">F25/6*G25</f>
        <v>763.61</v>
      </c>
      <c r="J25" s="22"/>
      <c r="K25" s="8"/>
      <c r="L25" s="8"/>
      <c r="M25" s="8"/>
    </row>
    <row r="26" spans="1:13" ht="15.75" hidden="1" customHeight="1">
      <c r="A26" s="29">
        <v>4</v>
      </c>
      <c r="B26" s="64" t="s">
        <v>65</v>
      </c>
      <c r="C26" s="65" t="s">
        <v>28</v>
      </c>
      <c r="D26" s="64" t="s">
        <v>66</v>
      </c>
      <c r="E26" s="66">
        <v>171.9</v>
      </c>
      <c r="F26" s="66">
        <f>SUM(E26*18/1000)</f>
        <v>3.0942000000000003</v>
      </c>
      <c r="G26" s="66">
        <v>2102.71</v>
      </c>
      <c r="H26" s="67">
        <f t="shared" si="2"/>
        <v>6.5062052820000007</v>
      </c>
      <c r="I26" s="13">
        <f t="shared" si="3"/>
        <v>1084.3675470000001</v>
      </c>
      <c r="J26" s="22"/>
      <c r="K26" s="8"/>
      <c r="L26" s="8"/>
      <c r="M26" s="8"/>
    </row>
    <row r="27" spans="1:13" ht="15.75" hidden="1" customHeight="1">
      <c r="A27" s="29">
        <v>5</v>
      </c>
      <c r="B27" s="64" t="s">
        <v>67</v>
      </c>
      <c r="C27" s="65" t="s">
        <v>28</v>
      </c>
      <c r="D27" s="64" t="s">
        <v>68</v>
      </c>
      <c r="E27" s="66">
        <v>48</v>
      </c>
      <c r="F27" s="66">
        <f>SUM(E27*70/1000)</f>
        <v>3.36</v>
      </c>
      <c r="G27" s="66">
        <v>350.75</v>
      </c>
      <c r="H27" s="67">
        <f t="shared" si="2"/>
        <v>1.17852</v>
      </c>
      <c r="I27" s="13">
        <f t="shared" si="3"/>
        <v>196.42</v>
      </c>
      <c r="J27" s="22"/>
      <c r="K27" s="8"/>
      <c r="L27" s="8"/>
      <c r="M27" s="8"/>
    </row>
    <row r="28" spans="1:13" ht="47.25" hidden="1" customHeight="1">
      <c r="A28" s="29">
        <v>6</v>
      </c>
      <c r="B28" s="64" t="s">
        <v>83</v>
      </c>
      <c r="C28" s="65" t="s">
        <v>93</v>
      </c>
      <c r="D28" s="64" t="s">
        <v>68</v>
      </c>
      <c r="E28" s="66">
        <v>18</v>
      </c>
      <c r="F28" s="66">
        <f>SUM(E28*70/1000)</f>
        <v>1.26</v>
      </c>
      <c r="G28" s="66">
        <v>5803.28</v>
      </c>
      <c r="H28" s="67">
        <f t="shared" si="2"/>
        <v>7.3121327999999997</v>
      </c>
      <c r="I28" s="13">
        <f t="shared" si="3"/>
        <v>1218.6887999999999</v>
      </c>
      <c r="J28" s="22"/>
      <c r="K28" s="8"/>
      <c r="L28" s="8"/>
      <c r="M28" s="8"/>
    </row>
    <row r="29" spans="1:13" ht="15.75" hidden="1" customHeight="1">
      <c r="A29" s="29">
        <v>7</v>
      </c>
      <c r="B29" s="64" t="s">
        <v>95</v>
      </c>
      <c r="C29" s="65" t="s">
        <v>93</v>
      </c>
      <c r="D29" s="64" t="s">
        <v>69</v>
      </c>
      <c r="E29" s="66">
        <v>48</v>
      </c>
      <c r="F29" s="66">
        <f>SUM(E29*45/1000)</f>
        <v>2.16</v>
      </c>
      <c r="G29" s="66">
        <v>428.7</v>
      </c>
      <c r="H29" s="67">
        <f t="shared" si="2"/>
        <v>0.92599200000000004</v>
      </c>
      <c r="I29" s="13">
        <f t="shared" si="3"/>
        <v>154.33200000000002</v>
      </c>
      <c r="J29" s="22"/>
      <c r="K29" s="8"/>
      <c r="L29" s="8"/>
      <c r="M29" s="8"/>
    </row>
    <row r="30" spans="1:13" ht="15.75" hidden="1" customHeight="1">
      <c r="A30" s="29">
        <v>8</v>
      </c>
      <c r="B30" s="64" t="s">
        <v>70</v>
      </c>
      <c r="C30" s="65" t="s">
        <v>31</v>
      </c>
      <c r="D30" s="64"/>
      <c r="E30" s="69"/>
      <c r="F30" s="66">
        <v>0.2</v>
      </c>
      <c r="G30" s="66">
        <v>798</v>
      </c>
      <c r="H30" s="67">
        <f t="shared" si="2"/>
        <v>0.15960000000000002</v>
      </c>
      <c r="I30" s="13">
        <f t="shared" si="3"/>
        <v>26.599999999999998</v>
      </c>
      <c r="J30" s="22"/>
      <c r="K30" s="8"/>
      <c r="L30" s="8"/>
      <c r="M30" s="8"/>
    </row>
    <row r="31" spans="1:13" ht="15.75" hidden="1" customHeight="1">
      <c r="A31" s="145" t="s">
        <v>113</v>
      </c>
      <c r="B31" s="146"/>
      <c r="C31" s="146"/>
      <c r="D31" s="146"/>
      <c r="E31" s="146"/>
      <c r="F31" s="146"/>
      <c r="G31" s="146"/>
      <c r="H31" s="146"/>
      <c r="I31" s="147"/>
      <c r="J31" s="23"/>
    </row>
    <row r="32" spans="1:13" ht="15.75" hidden="1" customHeight="1">
      <c r="A32" s="29"/>
      <c r="B32" s="64" t="s">
        <v>96</v>
      </c>
      <c r="C32" s="65" t="s">
        <v>93</v>
      </c>
      <c r="D32" s="64" t="s">
        <v>40</v>
      </c>
      <c r="E32" s="69">
        <v>578.5</v>
      </c>
      <c r="F32" s="66">
        <f>SUM(E32*2/1000)</f>
        <v>1.157</v>
      </c>
      <c r="G32" s="13">
        <v>809.74</v>
      </c>
      <c r="H32" s="67">
        <f t="shared" ref="H32:H40" si="4">SUM(F32*G32/1000)</f>
        <v>0.93686918000000008</v>
      </c>
      <c r="I32" s="13">
        <v>0</v>
      </c>
      <c r="J32" s="23"/>
    </row>
    <row r="33" spans="1:14" ht="15.75" hidden="1" customHeight="1">
      <c r="A33" s="29"/>
      <c r="B33" s="64" t="s">
        <v>34</v>
      </c>
      <c r="C33" s="65" t="s">
        <v>93</v>
      </c>
      <c r="D33" s="64" t="s">
        <v>40</v>
      </c>
      <c r="E33" s="69">
        <v>21</v>
      </c>
      <c r="F33" s="66">
        <f>SUM(E33*2/1000)</f>
        <v>4.2000000000000003E-2</v>
      </c>
      <c r="G33" s="13">
        <v>579.48</v>
      </c>
      <c r="H33" s="67">
        <f t="shared" si="4"/>
        <v>2.4338160000000001E-2</v>
      </c>
      <c r="I33" s="13">
        <v>0</v>
      </c>
      <c r="J33" s="23"/>
    </row>
    <row r="34" spans="1:14" ht="15.75" hidden="1" customHeight="1">
      <c r="A34" s="29"/>
      <c r="B34" s="64" t="s">
        <v>35</v>
      </c>
      <c r="C34" s="65" t="s">
        <v>93</v>
      </c>
      <c r="D34" s="64" t="s">
        <v>40</v>
      </c>
      <c r="E34" s="69">
        <v>737</v>
      </c>
      <c r="F34" s="66">
        <f>SUM(E34*2/1000)</f>
        <v>1.474</v>
      </c>
      <c r="G34" s="13">
        <v>579.48</v>
      </c>
      <c r="H34" s="67">
        <f t="shared" si="4"/>
        <v>0.85415352</v>
      </c>
      <c r="I34" s="13">
        <v>0</v>
      </c>
      <c r="J34" s="23"/>
    </row>
    <row r="35" spans="1:14" ht="15.75" hidden="1" customHeight="1">
      <c r="A35" s="29"/>
      <c r="B35" s="64" t="s">
        <v>32</v>
      </c>
      <c r="C35" s="65" t="s">
        <v>33</v>
      </c>
      <c r="D35" s="64" t="s">
        <v>40</v>
      </c>
      <c r="E35" s="69">
        <v>59.75</v>
      </c>
      <c r="F35" s="66">
        <f>SUM(E35*2/100)</f>
        <v>1.1950000000000001</v>
      </c>
      <c r="G35" s="13">
        <v>72.81</v>
      </c>
      <c r="H35" s="67">
        <f t="shared" si="4"/>
        <v>8.7007950000000014E-2</v>
      </c>
      <c r="I35" s="13">
        <v>0</v>
      </c>
      <c r="J35" s="23"/>
    </row>
    <row r="36" spans="1:14" ht="15.75" hidden="1" customHeight="1">
      <c r="A36" s="29">
        <v>9</v>
      </c>
      <c r="B36" s="64" t="s">
        <v>54</v>
      </c>
      <c r="C36" s="65" t="s">
        <v>93</v>
      </c>
      <c r="D36" s="64" t="s">
        <v>124</v>
      </c>
      <c r="E36" s="69">
        <v>479.7</v>
      </c>
      <c r="F36" s="66">
        <f>SUM(E36*5/1000)</f>
        <v>2.3984999999999999</v>
      </c>
      <c r="G36" s="13">
        <v>1213.55</v>
      </c>
      <c r="H36" s="67">
        <f t="shared" si="4"/>
        <v>2.910699675</v>
      </c>
      <c r="I36" s="13">
        <f>F36/5*G36</f>
        <v>582.13993499999992</v>
      </c>
      <c r="J36" s="23"/>
    </row>
    <row r="37" spans="1:14" ht="31.5" hidden="1" customHeight="1">
      <c r="A37" s="29">
        <v>6</v>
      </c>
      <c r="B37" s="64" t="s">
        <v>97</v>
      </c>
      <c r="C37" s="65" t="s">
        <v>93</v>
      </c>
      <c r="D37" s="64" t="s">
        <v>40</v>
      </c>
      <c r="E37" s="69">
        <v>479.7</v>
      </c>
      <c r="F37" s="66">
        <f>SUM(E37*2/1000)</f>
        <v>0.95940000000000003</v>
      </c>
      <c r="G37" s="13">
        <v>1213.55</v>
      </c>
      <c r="H37" s="67">
        <f t="shared" si="4"/>
        <v>1.1642798700000001</v>
      </c>
      <c r="I37" s="13">
        <f>F37/2*G37</f>
        <v>582.13993500000004</v>
      </c>
      <c r="J37" s="23"/>
    </row>
    <row r="38" spans="1:14" ht="31.5" hidden="1" customHeight="1">
      <c r="A38" s="29">
        <v>7</v>
      </c>
      <c r="B38" s="64" t="s">
        <v>98</v>
      </c>
      <c r="C38" s="65" t="s">
        <v>36</v>
      </c>
      <c r="D38" s="64" t="s">
        <v>40</v>
      </c>
      <c r="E38" s="69">
        <v>4</v>
      </c>
      <c r="F38" s="66">
        <f>SUM(E38*2/100)</f>
        <v>0.08</v>
      </c>
      <c r="G38" s="13">
        <v>2730.49</v>
      </c>
      <c r="H38" s="67">
        <f t="shared" si="4"/>
        <v>0.2184392</v>
      </c>
      <c r="I38" s="13">
        <f t="shared" ref="I38:I39" si="5">F38/2*G38</f>
        <v>109.2196</v>
      </c>
      <c r="J38" s="23"/>
      <c r="L38" s="19"/>
      <c r="M38" s="20"/>
      <c r="N38" s="21"/>
    </row>
    <row r="39" spans="1:14" ht="15.75" hidden="1" customHeight="1">
      <c r="A39" s="29">
        <v>8</v>
      </c>
      <c r="B39" s="64" t="s">
        <v>37</v>
      </c>
      <c r="C39" s="65" t="s">
        <v>38</v>
      </c>
      <c r="D39" s="64" t="s">
        <v>40</v>
      </c>
      <c r="E39" s="69">
        <v>1</v>
      </c>
      <c r="F39" s="66">
        <v>0.02</v>
      </c>
      <c r="G39" s="13">
        <v>5652.13</v>
      </c>
      <c r="H39" s="67">
        <f t="shared" si="4"/>
        <v>0.11304260000000001</v>
      </c>
      <c r="I39" s="13">
        <f t="shared" si="5"/>
        <v>56.521300000000004</v>
      </c>
      <c r="J39" s="23"/>
      <c r="L39" s="19"/>
      <c r="M39" s="20"/>
      <c r="N39" s="21"/>
    </row>
    <row r="40" spans="1:14" ht="15.75" hidden="1" customHeight="1">
      <c r="A40" s="29">
        <v>10</v>
      </c>
      <c r="B40" s="64" t="s">
        <v>39</v>
      </c>
      <c r="C40" s="65" t="s">
        <v>86</v>
      </c>
      <c r="D40" s="64" t="s">
        <v>71</v>
      </c>
      <c r="E40" s="69">
        <v>24</v>
      </c>
      <c r="F40" s="66">
        <f>SUM(E40)*3</f>
        <v>72</v>
      </c>
      <c r="G40" s="13">
        <v>65.67</v>
      </c>
      <c r="H40" s="67">
        <f t="shared" si="4"/>
        <v>4.7282399999999996</v>
      </c>
      <c r="I40" s="13">
        <f>E40*G40</f>
        <v>1576.08</v>
      </c>
      <c r="J40" s="23"/>
      <c r="L40" s="19"/>
      <c r="M40" s="20"/>
      <c r="N40" s="21"/>
    </row>
    <row r="41" spans="1:14" ht="15.75" customHeight="1">
      <c r="A41" s="145" t="s">
        <v>127</v>
      </c>
      <c r="B41" s="146"/>
      <c r="C41" s="146"/>
      <c r="D41" s="146"/>
      <c r="E41" s="146"/>
      <c r="F41" s="146"/>
      <c r="G41" s="146"/>
      <c r="H41" s="146"/>
      <c r="I41" s="147"/>
      <c r="J41" s="23"/>
      <c r="L41" s="19"/>
      <c r="M41" s="20"/>
      <c r="N41" s="21"/>
    </row>
    <row r="42" spans="1:14" ht="15.75" hidden="1" customHeight="1">
      <c r="A42" s="29"/>
      <c r="B42" s="88" t="s">
        <v>41</v>
      </c>
      <c r="C42" s="65"/>
      <c r="D42" s="64"/>
      <c r="E42" s="69"/>
      <c r="F42" s="66"/>
      <c r="G42" s="66"/>
      <c r="H42" s="67"/>
      <c r="I42" s="72"/>
      <c r="J42" s="23"/>
      <c r="L42" s="19"/>
      <c r="M42" s="20"/>
      <c r="N42" s="21"/>
    </row>
    <row r="43" spans="1:14" ht="31.5" hidden="1" customHeight="1">
      <c r="A43" s="29">
        <v>11</v>
      </c>
      <c r="B43" s="64" t="s">
        <v>119</v>
      </c>
      <c r="C43" s="65" t="s">
        <v>89</v>
      </c>
      <c r="D43" s="64" t="s">
        <v>99</v>
      </c>
      <c r="E43" s="69">
        <v>57.85</v>
      </c>
      <c r="F43" s="66">
        <f>SUM(E43*6/100)</f>
        <v>3.4710000000000001</v>
      </c>
      <c r="G43" s="13">
        <v>1547.28</v>
      </c>
      <c r="H43" s="67">
        <f>SUM(F43*G43/1000)</f>
        <v>5.3706088799999998</v>
      </c>
      <c r="I43" s="13">
        <f>F43/6*G43</f>
        <v>895.10148000000004</v>
      </c>
      <c r="J43" s="23"/>
      <c r="L43" s="19"/>
      <c r="M43" s="20"/>
      <c r="N43" s="21"/>
    </row>
    <row r="44" spans="1:14" ht="15.75" hidden="1" customHeight="1">
      <c r="A44" s="29"/>
      <c r="B44" s="88" t="s">
        <v>42</v>
      </c>
      <c r="C44" s="65"/>
      <c r="D44" s="64"/>
      <c r="E44" s="69"/>
      <c r="F44" s="66"/>
      <c r="G44" s="59"/>
      <c r="H44" s="67"/>
      <c r="I44" s="72"/>
      <c r="J44" s="23"/>
      <c r="L44" s="19"/>
      <c r="M44" s="20"/>
      <c r="N44" s="21"/>
    </row>
    <row r="45" spans="1:14" ht="15.75" hidden="1" customHeight="1">
      <c r="A45" s="29"/>
      <c r="B45" s="64" t="s">
        <v>43</v>
      </c>
      <c r="C45" s="65" t="s">
        <v>89</v>
      </c>
      <c r="D45" s="64" t="s">
        <v>52</v>
      </c>
      <c r="E45" s="69">
        <v>479.7</v>
      </c>
      <c r="F45" s="67">
        <v>4.8</v>
      </c>
      <c r="G45" s="13">
        <v>793.61</v>
      </c>
      <c r="H45" s="73">
        <f>F45*G45/1000</f>
        <v>3.8093279999999998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88" t="s">
        <v>100</v>
      </c>
      <c r="C46" s="65"/>
      <c r="D46" s="64"/>
      <c r="E46" s="69"/>
      <c r="F46" s="66"/>
      <c r="G46" s="74"/>
      <c r="H46" s="67" t="s">
        <v>110</v>
      </c>
      <c r="I46" s="72"/>
      <c r="J46" s="23"/>
      <c r="L46" s="19"/>
      <c r="M46" s="20"/>
      <c r="N46" s="21"/>
    </row>
    <row r="47" spans="1:14" ht="15.75" hidden="1" customHeight="1">
      <c r="A47" s="29"/>
      <c r="B47" s="64" t="s">
        <v>101</v>
      </c>
      <c r="C47" s="65" t="s">
        <v>86</v>
      </c>
      <c r="D47" s="64" t="s">
        <v>64</v>
      </c>
      <c r="E47" s="69">
        <v>3</v>
      </c>
      <c r="F47" s="66">
        <f>SUM(E47)</f>
        <v>3</v>
      </c>
      <c r="G47" s="75">
        <v>237.75</v>
      </c>
      <c r="H47" s="67">
        <f t="shared" ref="H47:H61" si="6">SUM(F47*G47/1000)</f>
        <v>0.71325000000000005</v>
      </c>
      <c r="I47" s="13">
        <v>0</v>
      </c>
      <c r="J47" s="23"/>
      <c r="L47" s="19"/>
      <c r="M47" s="20"/>
      <c r="N47" s="21"/>
    </row>
    <row r="48" spans="1:14" ht="15.75" customHeight="1">
      <c r="A48" s="29"/>
      <c r="B48" s="89" t="s">
        <v>44</v>
      </c>
      <c r="C48" s="76"/>
      <c r="D48" s="77"/>
      <c r="E48" s="78"/>
      <c r="F48" s="79"/>
      <c r="G48" s="79"/>
      <c r="H48" s="80" t="s">
        <v>110</v>
      </c>
      <c r="I48" s="72"/>
      <c r="J48" s="23"/>
      <c r="L48" s="19"/>
      <c r="M48" s="20"/>
      <c r="N48" s="21"/>
    </row>
    <row r="49" spans="1:22" ht="15.75" hidden="1" customHeight="1">
      <c r="A49" s="29"/>
      <c r="B49" s="14" t="s">
        <v>45</v>
      </c>
      <c r="C49" s="16" t="s">
        <v>86</v>
      </c>
      <c r="D49" s="64" t="s">
        <v>64</v>
      </c>
      <c r="E49" s="18">
        <v>5</v>
      </c>
      <c r="F49" s="66">
        <v>5</v>
      </c>
      <c r="G49" s="13">
        <v>222.4</v>
      </c>
      <c r="H49" s="81">
        <f t="shared" si="6"/>
        <v>1.1120000000000001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14" t="s">
        <v>46</v>
      </c>
      <c r="C50" s="16" t="s">
        <v>86</v>
      </c>
      <c r="D50" s="64" t="s">
        <v>64</v>
      </c>
      <c r="E50" s="18">
        <v>3</v>
      </c>
      <c r="F50" s="66">
        <v>3</v>
      </c>
      <c r="G50" s="13">
        <v>76.25</v>
      </c>
      <c r="H50" s="81">
        <f t="shared" si="6"/>
        <v>0.22875000000000001</v>
      </c>
      <c r="I50" s="13">
        <v>0</v>
      </c>
      <c r="J50" s="23"/>
      <c r="L50" s="19"/>
      <c r="M50" s="20"/>
      <c r="N50" s="21"/>
    </row>
    <row r="51" spans="1:22" ht="15.75" customHeight="1">
      <c r="A51" s="29">
        <v>4</v>
      </c>
      <c r="B51" s="114" t="s">
        <v>47</v>
      </c>
      <c r="C51" s="115" t="s">
        <v>102</v>
      </c>
      <c r="D51" s="100"/>
      <c r="E51" s="116">
        <v>2753</v>
      </c>
      <c r="F51" s="105">
        <f>SUM(E51/100)</f>
        <v>27.53</v>
      </c>
      <c r="G51" s="34">
        <v>212.15</v>
      </c>
      <c r="H51" s="81">
        <f t="shared" si="6"/>
        <v>5.8404895000000003</v>
      </c>
      <c r="I51" s="13">
        <f>G51*F51</f>
        <v>5840.4895000000006</v>
      </c>
      <c r="J51" s="23"/>
      <c r="L51" s="19"/>
      <c r="M51" s="20"/>
      <c r="N51" s="21"/>
    </row>
    <row r="52" spans="1:22" ht="15.75" customHeight="1">
      <c r="A52" s="29">
        <v>5</v>
      </c>
      <c r="B52" s="114" t="s">
        <v>48</v>
      </c>
      <c r="C52" s="104" t="s">
        <v>103</v>
      </c>
      <c r="D52" s="100"/>
      <c r="E52" s="116">
        <v>2753</v>
      </c>
      <c r="F52" s="34">
        <f>SUM(E52/1000)</f>
        <v>2.7530000000000001</v>
      </c>
      <c r="G52" s="34">
        <v>165.21</v>
      </c>
      <c r="H52" s="81">
        <f t="shared" si="6"/>
        <v>0.45482313000000008</v>
      </c>
      <c r="I52" s="13">
        <f>G52*F52</f>
        <v>454.82313000000005</v>
      </c>
      <c r="J52" s="23"/>
      <c r="L52" s="19"/>
      <c r="M52" s="20"/>
      <c r="N52" s="21"/>
    </row>
    <row r="53" spans="1:22" ht="15.75" customHeight="1">
      <c r="A53" s="29">
        <v>6</v>
      </c>
      <c r="B53" s="114" t="s">
        <v>49</v>
      </c>
      <c r="C53" s="104" t="s">
        <v>78</v>
      </c>
      <c r="D53" s="100"/>
      <c r="E53" s="116">
        <v>440</v>
      </c>
      <c r="F53" s="34">
        <f>SUM(E53/100)</f>
        <v>4.4000000000000004</v>
      </c>
      <c r="G53" s="34">
        <v>2074.63</v>
      </c>
      <c r="H53" s="81">
        <f t="shared" si="6"/>
        <v>9.1283720000000006</v>
      </c>
      <c r="I53" s="13">
        <f>G53*F53</f>
        <v>9128.3720000000012</v>
      </c>
      <c r="J53" s="23"/>
      <c r="L53" s="19"/>
      <c r="M53" s="20"/>
      <c r="N53" s="21"/>
    </row>
    <row r="54" spans="1:22" ht="15.75" customHeight="1">
      <c r="A54" s="29">
        <v>7</v>
      </c>
      <c r="B54" s="117" t="s">
        <v>72</v>
      </c>
      <c r="C54" s="104" t="s">
        <v>31</v>
      </c>
      <c r="D54" s="100"/>
      <c r="E54" s="116">
        <v>2.8</v>
      </c>
      <c r="F54" s="34">
        <f>SUM(E54)</f>
        <v>2.8</v>
      </c>
      <c r="G54" s="34">
        <v>45.32</v>
      </c>
      <c r="H54" s="81">
        <f t="shared" si="6"/>
        <v>0.12689599999999998</v>
      </c>
      <c r="I54" s="13">
        <f>G54*F54</f>
        <v>126.89599999999999</v>
      </c>
      <c r="J54" s="23"/>
      <c r="L54" s="19"/>
      <c r="M54" s="20"/>
      <c r="N54" s="21"/>
    </row>
    <row r="55" spans="1:22" ht="31.5" customHeight="1">
      <c r="A55" s="29">
        <v>8</v>
      </c>
      <c r="B55" s="117" t="s">
        <v>73</v>
      </c>
      <c r="C55" s="104" t="s">
        <v>31</v>
      </c>
      <c r="D55" s="100"/>
      <c r="E55" s="116">
        <v>2.8</v>
      </c>
      <c r="F55" s="34">
        <f>SUM(E55)</f>
        <v>2.8</v>
      </c>
      <c r="G55" s="34">
        <v>42.28</v>
      </c>
      <c r="H55" s="81">
        <f t="shared" si="6"/>
        <v>0.118384</v>
      </c>
      <c r="I55" s="13">
        <f>G55*F55</f>
        <v>118.384</v>
      </c>
      <c r="J55" s="23"/>
      <c r="L55" s="19"/>
      <c r="M55" s="20"/>
      <c r="N55" s="21"/>
    </row>
    <row r="56" spans="1:22" ht="15.75" hidden="1" customHeight="1">
      <c r="A56" s="29"/>
      <c r="B56" s="14" t="s">
        <v>55</v>
      </c>
      <c r="C56" s="16" t="s">
        <v>56</v>
      </c>
      <c r="D56" s="14" t="s">
        <v>52</v>
      </c>
      <c r="E56" s="18">
        <v>3</v>
      </c>
      <c r="F56" s="66">
        <f>SUM(E56)</f>
        <v>3</v>
      </c>
      <c r="G56" s="13">
        <v>49.88</v>
      </c>
      <c r="H56" s="81">
        <f t="shared" si="6"/>
        <v>0.14964000000000002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56" t="s">
        <v>74</v>
      </c>
      <c r="C57" s="16"/>
      <c r="D57" s="14"/>
      <c r="E57" s="18"/>
      <c r="F57" s="13"/>
      <c r="G57" s="13"/>
      <c r="H57" s="81" t="s">
        <v>110</v>
      </c>
      <c r="I57" s="72"/>
      <c r="J57" s="23"/>
      <c r="L57" s="19"/>
      <c r="M57" s="20"/>
      <c r="N57" s="21"/>
    </row>
    <row r="58" spans="1:22" ht="15.75" hidden="1" customHeight="1">
      <c r="A58" s="29">
        <v>12</v>
      </c>
      <c r="B58" s="14" t="s">
        <v>75</v>
      </c>
      <c r="C58" s="16" t="s">
        <v>76</v>
      </c>
      <c r="D58" s="14"/>
      <c r="E58" s="18">
        <v>15</v>
      </c>
      <c r="F58" s="13">
        <v>1.5</v>
      </c>
      <c r="G58" s="13">
        <v>501.62</v>
      </c>
      <c r="H58" s="81">
        <f t="shared" si="6"/>
        <v>0.75243000000000004</v>
      </c>
      <c r="I58" s="13">
        <f>G58*0.3</f>
        <v>150.48599999999999</v>
      </c>
      <c r="J58" s="23"/>
      <c r="L58" s="19"/>
    </row>
    <row r="59" spans="1:22" ht="15.75" hidden="1" customHeight="1">
      <c r="A59" s="29"/>
      <c r="B59" s="14" t="s">
        <v>106</v>
      </c>
      <c r="C59" s="16" t="s">
        <v>86</v>
      </c>
      <c r="D59" s="14"/>
      <c r="E59" s="18">
        <v>1</v>
      </c>
      <c r="F59" s="66">
        <f>SUM(E59)</f>
        <v>1</v>
      </c>
      <c r="G59" s="13">
        <v>358.51</v>
      </c>
      <c r="H59" s="81">
        <f t="shared" si="6"/>
        <v>0.35851</v>
      </c>
      <c r="I59" s="13">
        <v>0</v>
      </c>
    </row>
    <row r="60" spans="1:22" ht="15.75" hidden="1" customHeight="1">
      <c r="A60" s="29"/>
      <c r="B60" s="84" t="s">
        <v>77</v>
      </c>
      <c r="C60" s="16"/>
      <c r="D60" s="14"/>
      <c r="E60" s="18"/>
      <c r="F60" s="13"/>
      <c r="G60" s="13" t="s">
        <v>110</v>
      </c>
      <c r="H60" s="81" t="s">
        <v>110</v>
      </c>
      <c r="I60" s="72"/>
    </row>
    <row r="61" spans="1:22" ht="15.75" hidden="1" customHeight="1">
      <c r="A61" s="29"/>
      <c r="B61" s="42" t="s">
        <v>107</v>
      </c>
      <c r="C61" s="16" t="s">
        <v>78</v>
      </c>
      <c r="D61" s="14"/>
      <c r="E61" s="18"/>
      <c r="F61" s="13">
        <v>0.3</v>
      </c>
      <c r="G61" s="13">
        <v>2759.44</v>
      </c>
      <c r="H61" s="81">
        <f t="shared" si="6"/>
        <v>0.82783200000000001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/>
      <c r="B62" s="56" t="s">
        <v>104</v>
      </c>
      <c r="C62" s="84"/>
      <c r="D62" s="31"/>
      <c r="E62" s="32"/>
      <c r="F62" s="85"/>
      <c r="G62" s="85"/>
      <c r="H62" s="86">
        <f>SUM(H43:H61)</f>
        <v>28.991313509999998</v>
      </c>
      <c r="I62" s="71"/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64" t="s">
        <v>105</v>
      </c>
      <c r="C63" s="16"/>
      <c r="D63" s="14"/>
      <c r="E63" s="60"/>
      <c r="F63" s="13">
        <v>1</v>
      </c>
      <c r="G63" s="13">
        <v>2119.1999999999998</v>
      </c>
      <c r="H63" s="81">
        <f>G63*F63/1000</f>
        <v>2.1191999999999998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145" t="s">
        <v>128</v>
      </c>
      <c r="B64" s="146"/>
      <c r="C64" s="146"/>
      <c r="D64" s="146"/>
      <c r="E64" s="146"/>
      <c r="F64" s="146"/>
      <c r="G64" s="146"/>
      <c r="H64" s="146"/>
      <c r="I64" s="147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29">
        <v>9</v>
      </c>
      <c r="B65" s="64" t="s">
        <v>108</v>
      </c>
      <c r="C65" s="16" t="s">
        <v>53</v>
      </c>
      <c r="D65" s="45"/>
      <c r="E65" s="13">
        <v>737</v>
      </c>
      <c r="F65" s="13">
        <f>SUM(E65*12)</f>
        <v>8844</v>
      </c>
      <c r="G65" s="13">
        <v>2.1</v>
      </c>
      <c r="H65" s="81">
        <f>SUM(F65*G65/1000)</f>
        <v>18.572400000000002</v>
      </c>
      <c r="I65" s="13">
        <f>F65/12*G65</f>
        <v>1547.7</v>
      </c>
      <c r="J65" s="5"/>
      <c r="K65" s="5"/>
      <c r="L65" s="5"/>
      <c r="M65" s="5"/>
      <c r="N65" s="5"/>
      <c r="O65" s="5"/>
      <c r="P65" s="5"/>
      <c r="Q65" s="5"/>
      <c r="R65" s="144"/>
      <c r="S65" s="144"/>
      <c r="T65" s="144"/>
      <c r="U65" s="144"/>
    </row>
    <row r="66" spans="1:21" ht="31.5" customHeight="1">
      <c r="A66" s="29">
        <v>10</v>
      </c>
      <c r="B66" s="14" t="s">
        <v>79</v>
      </c>
      <c r="C66" s="16"/>
      <c r="D66" s="45"/>
      <c r="E66" s="69">
        <f>E65</f>
        <v>737</v>
      </c>
      <c r="F66" s="13">
        <f>E66*12</f>
        <v>8844</v>
      </c>
      <c r="G66" s="13">
        <v>1.63</v>
      </c>
      <c r="H66" s="81">
        <f>F66*G66/1000</f>
        <v>14.415719999999999</v>
      </c>
      <c r="I66" s="13">
        <f>F66/12*G66</f>
        <v>1201.31</v>
      </c>
      <c r="J66" s="5"/>
      <c r="K66" s="5"/>
      <c r="L66" s="5"/>
      <c r="M66" s="5"/>
      <c r="N66" s="5"/>
      <c r="O66" s="5"/>
      <c r="P66" s="5"/>
      <c r="Q66" s="5"/>
      <c r="R66" s="54"/>
      <c r="S66" s="54"/>
      <c r="T66" s="54"/>
      <c r="U66" s="54"/>
    </row>
    <row r="67" spans="1:21" ht="15.75" customHeight="1">
      <c r="A67" s="29"/>
      <c r="B67" s="35" t="s">
        <v>81</v>
      </c>
      <c r="C67" s="84"/>
      <c r="D67" s="83"/>
      <c r="E67" s="85"/>
      <c r="F67" s="85"/>
      <c r="G67" s="85"/>
      <c r="H67" s="86">
        <f>SUM(H66)</f>
        <v>14.415719999999999</v>
      </c>
      <c r="I67" s="85">
        <f>I66+I65+I55+I54+I53+I52+I51+I20+I19+I16</f>
        <v>20469.976254333338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148" t="s">
        <v>58</v>
      </c>
      <c r="B68" s="149"/>
      <c r="C68" s="149"/>
      <c r="D68" s="149"/>
      <c r="E68" s="149"/>
      <c r="F68" s="149"/>
      <c r="G68" s="149"/>
      <c r="H68" s="149"/>
      <c r="I68" s="150"/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29">
        <v>11</v>
      </c>
      <c r="B69" s="101" t="s">
        <v>144</v>
      </c>
      <c r="C69" s="16" t="s">
        <v>145</v>
      </c>
      <c r="D69" s="42"/>
      <c r="E69" s="13"/>
      <c r="F69" s="13">
        <v>200</v>
      </c>
      <c r="G69" s="13">
        <v>1.4</v>
      </c>
      <c r="H69" s="81">
        <f>SUM(F69*G69/1000)</f>
        <v>0.28000000000000003</v>
      </c>
      <c r="I69" s="13">
        <f>G69*100</f>
        <v>140</v>
      </c>
      <c r="J69" s="5"/>
      <c r="K69" s="5"/>
      <c r="L69" s="5"/>
      <c r="M69" s="5"/>
      <c r="N69" s="5"/>
      <c r="O69" s="5"/>
      <c r="P69" s="5"/>
      <c r="Q69" s="5"/>
      <c r="R69" s="103"/>
      <c r="S69" s="103"/>
      <c r="T69" s="103"/>
      <c r="U69" s="103"/>
    </row>
    <row r="70" spans="1:21" ht="30.75" customHeight="1">
      <c r="A70" s="29">
        <v>12</v>
      </c>
      <c r="B70" s="50" t="s">
        <v>168</v>
      </c>
      <c r="C70" s="51" t="s">
        <v>148</v>
      </c>
      <c r="D70" s="97" t="s">
        <v>191</v>
      </c>
      <c r="E70" s="34"/>
      <c r="F70" s="105">
        <v>2</v>
      </c>
      <c r="G70" s="105">
        <v>1523.6</v>
      </c>
      <c r="H70" s="81"/>
      <c r="I70" s="13">
        <f>G70*1</f>
        <v>1523.6</v>
      </c>
      <c r="J70" s="5"/>
      <c r="K70" s="5"/>
      <c r="L70" s="5"/>
      <c r="M70" s="5"/>
      <c r="N70" s="5"/>
      <c r="O70" s="5"/>
      <c r="P70" s="5"/>
      <c r="Q70" s="5"/>
      <c r="R70" s="113"/>
      <c r="S70" s="113"/>
      <c r="T70" s="113"/>
      <c r="U70" s="113"/>
    </row>
    <row r="71" spans="1:21" ht="15.75" customHeight="1">
      <c r="A71" s="29">
        <v>13</v>
      </c>
      <c r="B71" s="50" t="s">
        <v>188</v>
      </c>
      <c r="C71" s="51" t="s">
        <v>163</v>
      </c>
      <c r="D71" s="97" t="s">
        <v>192</v>
      </c>
      <c r="E71" s="34"/>
      <c r="F71" s="105">
        <v>1</v>
      </c>
      <c r="G71" s="105">
        <v>222.63</v>
      </c>
      <c r="H71" s="81"/>
      <c r="I71" s="13">
        <f>G71*1</f>
        <v>222.63</v>
      </c>
      <c r="J71" s="5"/>
      <c r="K71" s="5"/>
      <c r="L71" s="5"/>
      <c r="M71" s="5"/>
      <c r="N71" s="5"/>
      <c r="O71" s="5"/>
      <c r="P71" s="5"/>
      <c r="Q71" s="5"/>
      <c r="R71" s="113"/>
      <c r="S71" s="113"/>
      <c r="T71" s="113"/>
      <c r="U71" s="113"/>
    </row>
    <row r="72" spans="1:21" ht="15.75" customHeight="1">
      <c r="A72" s="29">
        <v>14</v>
      </c>
      <c r="B72" s="50" t="s">
        <v>189</v>
      </c>
      <c r="C72" s="51" t="s">
        <v>90</v>
      </c>
      <c r="D72" s="97" t="s">
        <v>190</v>
      </c>
      <c r="E72" s="34"/>
      <c r="F72" s="105">
        <v>1</v>
      </c>
      <c r="G72" s="105">
        <v>197.32</v>
      </c>
      <c r="H72" s="81"/>
      <c r="I72" s="13">
        <f>G72*1</f>
        <v>197.32</v>
      </c>
      <c r="J72" s="5"/>
      <c r="K72" s="5"/>
      <c r="L72" s="5"/>
      <c r="M72" s="5"/>
      <c r="N72" s="5"/>
      <c r="O72" s="5"/>
      <c r="P72" s="5"/>
      <c r="Q72" s="5"/>
      <c r="R72" s="128"/>
      <c r="S72" s="128"/>
      <c r="T72" s="128"/>
      <c r="U72" s="128"/>
    </row>
    <row r="73" spans="1:21" ht="15.75" customHeight="1">
      <c r="A73" s="29"/>
      <c r="B73" s="40" t="s">
        <v>50</v>
      </c>
      <c r="C73" s="36"/>
      <c r="D73" s="43"/>
      <c r="E73" s="36">
        <v>1</v>
      </c>
      <c r="F73" s="36"/>
      <c r="G73" s="36"/>
      <c r="H73" s="36"/>
      <c r="I73" s="32">
        <f>SUM(I69:I72)</f>
        <v>2083.5500000000002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29"/>
      <c r="B74" s="42" t="s">
        <v>80</v>
      </c>
      <c r="C74" s="15"/>
      <c r="D74" s="15"/>
      <c r="E74" s="37"/>
      <c r="F74" s="37"/>
      <c r="G74" s="38"/>
      <c r="H74" s="38"/>
      <c r="I74" s="17">
        <v>0</v>
      </c>
    </row>
    <row r="75" spans="1:21" ht="15.75" customHeight="1">
      <c r="A75" s="44"/>
      <c r="B75" s="41" t="s">
        <v>138</v>
      </c>
      <c r="C75" s="33"/>
      <c r="D75" s="33"/>
      <c r="E75" s="33"/>
      <c r="F75" s="33"/>
      <c r="G75" s="33"/>
      <c r="H75" s="33"/>
      <c r="I75" s="39">
        <f>I67+I73</f>
        <v>22553.526254333337</v>
      </c>
    </row>
    <row r="76" spans="1:21" ht="15.75" customHeight="1">
      <c r="A76" s="157" t="s">
        <v>193</v>
      </c>
      <c r="B76" s="157"/>
      <c r="C76" s="157"/>
      <c r="D76" s="157"/>
      <c r="E76" s="157"/>
      <c r="F76" s="157"/>
      <c r="G76" s="157"/>
      <c r="H76" s="157"/>
      <c r="I76" s="157"/>
    </row>
    <row r="77" spans="1:21" ht="15.75">
      <c r="A77" s="58"/>
      <c r="B77" s="158" t="s">
        <v>194</v>
      </c>
      <c r="C77" s="158"/>
      <c r="D77" s="158"/>
      <c r="E77" s="158"/>
      <c r="F77" s="158"/>
      <c r="G77" s="158"/>
      <c r="H77" s="63"/>
      <c r="I77" s="3"/>
    </row>
    <row r="78" spans="1:21">
      <c r="A78" s="54"/>
      <c r="B78" s="154" t="s">
        <v>6</v>
      </c>
      <c r="C78" s="154"/>
      <c r="D78" s="154"/>
      <c r="E78" s="154"/>
      <c r="F78" s="154"/>
      <c r="G78" s="154"/>
      <c r="H78" s="24"/>
      <c r="I78" s="5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</row>
    <row r="80" spans="1:21" ht="15.75" customHeight="1">
      <c r="A80" s="141" t="s">
        <v>7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1" t="s">
        <v>8</v>
      </c>
      <c r="B81" s="141"/>
      <c r="C81" s="141"/>
      <c r="D81" s="141"/>
      <c r="E81" s="141"/>
      <c r="F81" s="141"/>
      <c r="G81" s="141"/>
      <c r="H81" s="141"/>
      <c r="I81" s="141"/>
    </row>
    <row r="82" spans="1:9" ht="15.75">
      <c r="A82" s="142" t="s">
        <v>59</v>
      </c>
      <c r="B82" s="142"/>
      <c r="C82" s="142"/>
      <c r="D82" s="142"/>
      <c r="E82" s="142"/>
      <c r="F82" s="142"/>
      <c r="G82" s="142"/>
      <c r="H82" s="142"/>
      <c r="I82" s="142"/>
    </row>
    <row r="83" spans="1:9" ht="15.75" customHeight="1">
      <c r="A83" s="11"/>
    </row>
    <row r="84" spans="1:9" ht="15.75" customHeight="1">
      <c r="A84" s="152" t="s">
        <v>9</v>
      </c>
      <c r="B84" s="152"/>
      <c r="C84" s="152"/>
      <c r="D84" s="152"/>
      <c r="E84" s="152"/>
      <c r="F84" s="152"/>
      <c r="G84" s="152"/>
      <c r="H84" s="152"/>
      <c r="I84" s="152"/>
    </row>
    <row r="85" spans="1:9" ht="15.75" customHeight="1">
      <c r="A85" s="4"/>
    </row>
    <row r="86" spans="1:9" ht="15.75" customHeight="1">
      <c r="B86" s="55" t="s">
        <v>10</v>
      </c>
      <c r="C86" s="153" t="s">
        <v>85</v>
      </c>
      <c r="D86" s="153"/>
      <c r="E86" s="153"/>
      <c r="F86" s="61"/>
      <c r="I86" s="53"/>
    </row>
    <row r="87" spans="1:9" ht="15.75" customHeight="1">
      <c r="A87" s="54"/>
      <c r="C87" s="154" t="s">
        <v>11</v>
      </c>
      <c r="D87" s="154"/>
      <c r="E87" s="154"/>
      <c r="F87" s="24"/>
      <c r="I87" s="52" t="s">
        <v>12</v>
      </c>
    </row>
    <row r="88" spans="1:9" ht="15.75" customHeight="1">
      <c r="A88" s="25"/>
      <c r="C88" s="12"/>
      <c r="D88" s="12"/>
      <c r="G88" s="12"/>
      <c r="H88" s="12"/>
    </row>
    <row r="89" spans="1:9" ht="15.75" customHeight="1">
      <c r="B89" s="55" t="s">
        <v>13</v>
      </c>
      <c r="C89" s="155"/>
      <c r="D89" s="155"/>
      <c r="E89" s="155"/>
      <c r="F89" s="62"/>
      <c r="I89" s="53"/>
    </row>
    <row r="90" spans="1:9" ht="15.75" customHeight="1">
      <c r="A90" s="54"/>
      <c r="C90" s="144" t="s">
        <v>11</v>
      </c>
      <c r="D90" s="144"/>
      <c r="E90" s="144"/>
      <c r="F90" s="54"/>
      <c r="I90" s="52" t="s">
        <v>12</v>
      </c>
    </row>
    <row r="91" spans="1:9" ht="15.75" customHeight="1">
      <c r="A91" s="4" t="s">
        <v>14</v>
      </c>
    </row>
    <row r="92" spans="1:9">
      <c r="A92" s="156" t="s">
        <v>15</v>
      </c>
      <c r="B92" s="156"/>
      <c r="C92" s="156"/>
      <c r="D92" s="156"/>
      <c r="E92" s="156"/>
      <c r="F92" s="156"/>
      <c r="G92" s="156"/>
      <c r="H92" s="156"/>
      <c r="I92" s="156"/>
    </row>
    <row r="93" spans="1:9" ht="45" customHeight="1">
      <c r="A93" s="151" t="s">
        <v>16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17</v>
      </c>
      <c r="B94" s="151"/>
      <c r="C94" s="151"/>
      <c r="D94" s="151"/>
      <c r="E94" s="151"/>
      <c r="F94" s="151"/>
      <c r="G94" s="151"/>
      <c r="H94" s="151"/>
      <c r="I94" s="151"/>
    </row>
    <row r="95" spans="1:9" ht="30" customHeight="1">
      <c r="A95" s="151" t="s">
        <v>21</v>
      </c>
      <c r="B95" s="151"/>
      <c r="C95" s="151"/>
      <c r="D95" s="151"/>
      <c r="E95" s="151"/>
      <c r="F95" s="151"/>
      <c r="G95" s="151"/>
      <c r="H95" s="151"/>
      <c r="I95" s="151"/>
    </row>
    <row r="96" spans="1:9" ht="15" customHeight="1">
      <c r="A96" s="151" t="s">
        <v>20</v>
      </c>
      <c r="B96" s="151"/>
      <c r="C96" s="151"/>
      <c r="D96" s="151"/>
      <c r="E96" s="151"/>
      <c r="F96" s="151"/>
      <c r="G96" s="151"/>
      <c r="H96" s="151"/>
      <c r="I96" s="151"/>
    </row>
  </sheetData>
  <autoFilter ref="I12:I60"/>
  <mergeCells count="29">
    <mergeCell ref="A93:I93"/>
    <mergeCell ref="A94:I94"/>
    <mergeCell ref="A95:I95"/>
    <mergeCell ref="A96:I96"/>
    <mergeCell ref="A84:I84"/>
    <mergeCell ref="C86:E86"/>
    <mergeCell ref="C87:E87"/>
    <mergeCell ref="C89:E89"/>
    <mergeCell ref="C90:E90"/>
    <mergeCell ref="A92:I92"/>
    <mergeCell ref="A82:I82"/>
    <mergeCell ref="A15:I15"/>
    <mergeCell ref="A17:I17"/>
    <mergeCell ref="A31:I31"/>
    <mergeCell ref="A41:I41"/>
    <mergeCell ref="A64:I64"/>
    <mergeCell ref="A76:I76"/>
    <mergeCell ref="B77:G77"/>
    <mergeCell ref="B78:G78"/>
    <mergeCell ref="A80:I80"/>
    <mergeCell ref="A81:I81"/>
    <mergeCell ref="A68:I68"/>
    <mergeCell ref="R65:U6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96"/>
  <sheetViews>
    <sheetView topLeftCell="A65" workbookViewId="0">
      <selection activeCell="I79" sqref="I7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132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195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44043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156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4" si="0">SUM(F19*G19/1000)</f>
        <v>6.351270379999999</v>
      </c>
      <c r="I19" s="13">
        <f t="shared" ref="I19:I22" si="1">F19/6*G19</f>
        <v>1058.5450633333332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157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si="0"/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>
        <v>5</v>
      </c>
      <c r="B22" s="64" t="s">
        <v>94</v>
      </c>
      <c r="C22" s="65" t="s">
        <v>29</v>
      </c>
      <c r="D22" s="64" t="s">
        <v>159</v>
      </c>
      <c r="E22" s="68">
        <v>0.33333333333333331</v>
      </c>
      <c r="F22" s="66">
        <f>155/3</f>
        <v>51.666666666666664</v>
      </c>
      <c r="G22" s="66">
        <v>56.69</v>
      </c>
      <c r="H22" s="67">
        <f>SUM(G22*155/3/1000)</f>
        <v>2.9289833333333331</v>
      </c>
      <c r="I22" s="13">
        <f t="shared" si="1"/>
        <v>488.16388888888883</v>
      </c>
      <c r="J22" s="22"/>
      <c r="K22" s="8"/>
      <c r="L22" s="8"/>
      <c r="M22" s="8"/>
    </row>
    <row r="23" spans="1:13" ht="15.75" hidden="1" customHeight="1">
      <c r="A23" s="29"/>
      <c r="B23" s="64" t="s">
        <v>62</v>
      </c>
      <c r="C23" s="65" t="s">
        <v>31</v>
      </c>
      <c r="D23" s="64" t="s">
        <v>64</v>
      </c>
      <c r="E23" s="69"/>
      <c r="F23" s="66">
        <v>2</v>
      </c>
      <c r="G23" s="66">
        <v>191.32</v>
      </c>
      <c r="H23" s="67">
        <f t="shared" si="0"/>
        <v>0.38263999999999998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64" t="s">
        <v>63</v>
      </c>
      <c r="C24" s="65" t="s">
        <v>30</v>
      </c>
      <c r="D24" s="64" t="s">
        <v>64</v>
      </c>
      <c r="E24" s="69"/>
      <c r="F24" s="66">
        <v>2</v>
      </c>
      <c r="G24" s="66">
        <v>1136.33</v>
      </c>
      <c r="H24" s="67">
        <f t="shared" si="0"/>
        <v>2.2726599999999997</v>
      </c>
      <c r="I24" s="13">
        <v>0</v>
      </c>
      <c r="J24" s="22"/>
      <c r="K24" s="8"/>
      <c r="L24" s="8"/>
      <c r="M24" s="8"/>
    </row>
    <row r="25" spans="1:13" ht="15.75" hidden="1" customHeight="1">
      <c r="A25" s="29"/>
      <c r="B25" s="88" t="s">
        <v>5</v>
      </c>
      <c r="C25" s="65"/>
      <c r="D25" s="64"/>
      <c r="E25" s="69"/>
      <c r="F25" s="66"/>
      <c r="G25" s="66"/>
      <c r="H25" s="67" t="s">
        <v>110</v>
      </c>
      <c r="I25" s="72"/>
      <c r="J25" s="22"/>
      <c r="K25" s="8"/>
      <c r="L25" s="8"/>
      <c r="M25" s="8"/>
    </row>
    <row r="26" spans="1:13" ht="15.75" hidden="1" customHeight="1">
      <c r="A26" s="29">
        <v>3</v>
      </c>
      <c r="B26" s="64" t="s">
        <v>25</v>
      </c>
      <c r="C26" s="65" t="s">
        <v>30</v>
      </c>
      <c r="D26" s="64"/>
      <c r="E26" s="69"/>
      <c r="F26" s="66">
        <v>3</v>
      </c>
      <c r="G26" s="66">
        <v>1527.22</v>
      </c>
      <c r="H26" s="67">
        <f t="shared" ref="H26:H31" si="2">SUM(F26*G26/1000)</f>
        <v>4.5816600000000003</v>
      </c>
      <c r="I26" s="13">
        <f t="shared" ref="I26:I31" si="3">F26/6*G26</f>
        <v>763.61</v>
      </c>
      <c r="J26" s="22"/>
      <c r="K26" s="8"/>
      <c r="L26" s="8"/>
      <c r="M26" s="8"/>
    </row>
    <row r="27" spans="1:13" ht="15.75" hidden="1" customHeight="1">
      <c r="A27" s="29">
        <v>4</v>
      </c>
      <c r="B27" s="64" t="s">
        <v>65</v>
      </c>
      <c r="C27" s="65" t="s">
        <v>28</v>
      </c>
      <c r="D27" s="64" t="s">
        <v>66</v>
      </c>
      <c r="E27" s="66">
        <v>171.9</v>
      </c>
      <c r="F27" s="66">
        <f>SUM(E27*18/1000)</f>
        <v>3.0942000000000003</v>
      </c>
      <c r="G27" s="66">
        <v>2102.71</v>
      </c>
      <c r="H27" s="67">
        <f t="shared" si="2"/>
        <v>6.5062052820000007</v>
      </c>
      <c r="I27" s="13">
        <f t="shared" si="3"/>
        <v>1084.3675470000001</v>
      </c>
      <c r="J27" s="22"/>
      <c r="K27" s="8"/>
      <c r="L27" s="8"/>
      <c r="M27" s="8"/>
    </row>
    <row r="28" spans="1:13" ht="15.75" hidden="1" customHeight="1">
      <c r="A28" s="29">
        <v>5</v>
      </c>
      <c r="B28" s="64" t="s">
        <v>67</v>
      </c>
      <c r="C28" s="65" t="s">
        <v>28</v>
      </c>
      <c r="D28" s="64" t="s">
        <v>68</v>
      </c>
      <c r="E28" s="66">
        <v>48</v>
      </c>
      <c r="F28" s="66">
        <f>SUM(E28*70/1000)</f>
        <v>3.36</v>
      </c>
      <c r="G28" s="66">
        <v>350.75</v>
      </c>
      <c r="H28" s="67">
        <f t="shared" si="2"/>
        <v>1.17852</v>
      </c>
      <c r="I28" s="13">
        <f t="shared" si="3"/>
        <v>196.42</v>
      </c>
      <c r="J28" s="22"/>
      <c r="K28" s="8"/>
      <c r="L28" s="8"/>
      <c r="M28" s="8"/>
    </row>
    <row r="29" spans="1:13" ht="47.25" hidden="1" customHeight="1">
      <c r="A29" s="29">
        <v>6</v>
      </c>
      <c r="B29" s="64" t="s">
        <v>83</v>
      </c>
      <c r="C29" s="65" t="s">
        <v>93</v>
      </c>
      <c r="D29" s="64" t="s">
        <v>68</v>
      </c>
      <c r="E29" s="66">
        <v>18</v>
      </c>
      <c r="F29" s="66">
        <f>SUM(E29*70/1000)</f>
        <v>1.26</v>
      </c>
      <c r="G29" s="66">
        <v>5803.28</v>
      </c>
      <c r="H29" s="67">
        <f t="shared" si="2"/>
        <v>7.3121327999999997</v>
      </c>
      <c r="I29" s="13">
        <f t="shared" si="3"/>
        <v>1218.6887999999999</v>
      </c>
      <c r="J29" s="22"/>
      <c r="K29" s="8"/>
      <c r="L29" s="8"/>
      <c r="M29" s="8"/>
    </row>
    <row r="30" spans="1:13" ht="15.75" hidden="1" customHeight="1">
      <c r="A30" s="29">
        <v>7</v>
      </c>
      <c r="B30" s="64" t="s">
        <v>95</v>
      </c>
      <c r="C30" s="65" t="s">
        <v>93</v>
      </c>
      <c r="D30" s="64" t="s">
        <v>69</v>
      </c>
      <c r="E30" s="66">
        <v>48</v>
      </c>
      <c r="F30" s="66">
        <f>SUM(E30*45/1000)</f>
        <v>2.16</v>
      </c>
      <c r="G30" s="66">
        <v>428.7</v>
      </c>
      <c r="H30" s="67">
        <f t="shared" si="2"/>
        <v>0.92599200000000004</v>
      </c>
      <c r="I30" s="13">
        <f t="shared" si="3"/>
        <v>154.33200000000002</v>
      </c>
      <c r="J30" s="22"/>
      <c r="K30" s="8"/>
      <c r="L30" s="8"/>
      <c r="M30" s="8"/>
    </row>
    <row r="31" spans="1:13" ht="15.75" hidden="1" customHeight="1">
      <c r="A31" s="29">
        <v>8</v>
      </c>
      <c r="B31" s="64" t="s">
        <v>70</v>
      </c>
      <c r="C31" s="65" t="s">
        <v>31</v>
      </c>
      <c r="D31" s="64"/>
      <c r="E31" s="69"/>
      <c r="F31" s="66">
        <v>0.2</v>
      </c>
      <c r="G31" s="66">
        <v>798</v>
      </c>
      <c r="H31" s="67">
        <f t="shared" si="2"/>
        <v>0.15960000000000002</v>
      </c>
      <c r="I31" s="13">
        <f t="shared" si="3"/>
        <v>26.599999999999998</v>
      </c>
      <c r="J31" s="22"/>
      <c r="K31" s="8"/>
      <c r="L31" s="8"/>
      <c r="M31" s="8"/>
    </row>
    <row r="32" spans="1:13" ht="15.75" hidden="1" customHeight="1">
      <c r="A32" s="145" t="s">
        <v>113</v>
      </c>
      <c r="B32" s="146"/>
      <c r="C32" s="146"/>
      <c r="D32" s="146"/>
      <c r="E32" s="146"/>
      <c r="F32" s="146"/>
      <c r="G32" s="146"/>
      <c r="H32" s="146"/>
      <c r="I32" s="147"/>
      <c r="J32" s="23"/>
    </row>
    <row r="33" spans="1:14" ht="15.75" hidden="1" customHeight="1">
      <c r="A33" s="29"/>
      <c r="B33" s="64" t="s">
        <v>96</v>
      </c>
      <c r="C33" s="65" t="s">
        <v>93</v>
      </c>
      <c r="D33" s="64" t="s">
        <v>40</v>
      </c>
      <c r="E33" s="69">
        <v>578.5</v>
      </c>
      <c r="F33" s="66">
        <f>SUM(E33*2/1000)</f>
        <v>1.157</v>
      </c>
      <c r="G33" s="13">
        <v>809.74</v>
      </c>
      <c r="H33" s="67">
        <f t="shared" ref="H33:H41" si="4">SUM(F33*G33/1000)</f>
        <v>0.93686918000000008</v>
      </c>
      <c r="I33" s="13">
        <v>0</v>
      </c>
      <c r="J33" s="23"/>
    </row>
    <row r="34" spans="1:14" ht="15.75" hidden="1" customHeight="1">
      <c r="A34" s="29"/>
      <c r="B34" s="64" t="s">
        <v>34</v>
      </c>
      <c r="C34" s="65" t="s">
        <v>93</v>
      </c>
      <c r="D34" s="64" t="s">
        <v>40</v>
      </c>
      <c r="E34" s="69">
        <v>21</v>
      </c>
      <c r="F34" s="66">
        <f>SUM(E34*2/1000)</f>
        <v>4.2000000000000003E-2</v>
      </c>
      <c r="G34" s="13">
        <v>579.48</v>
      </c>
      <c r="H34" s="67">
        <f t="shared" si="4"/>
        <v>2.4338160000000001E-2</v>
      </c>
      <c r="I34" s="13">
        <v>0</v>
      </c>
      <c r="J34" s="23"/>
    </row>
    <row r="35" spans="1:14" ht="15.75" hidden="1" customHeight="1">
      <c r="A35" s="29"/>
      <c r="B35" s="64" t="s">
        <v>35</v>
      </c>
      <c r="C35" s="65" t="s">
        <v>93</v>
      </c>
      <c r="D35" s="64" t="s">
        <v>40</v>
      </c>
      <c r="E35" s="69">
        <v>737</v>
      </c>
      <c r="F35" s="66">
        <f>SUM(E35*2/1000)</f>
        <v>1.474</v>
      </c>
      <c r="G35" s="13">
        <v>579.48</v>
      </c>
      <c r="H35" s="67">
        <f t="shared" si="4"/>
        <v>0.85415352</v>
      </c>
      <c r="I35" s="13">
        <v>0</v>
      </c>
      <c r="J35" s="23"/>
    </row>
    <row r="36" spans="1:14" ht="15.75" hidden="1" customHeight="1">
      <c r="A36" s="29"/>
      <c r="B36" s="64" t="s">
        <v>32</v>
      </c>
      <c r="C36" s="65" t="s">
        <v>33</v>
      </c>
      <c r="D36" s="64" t="s">
        <v>40</v>
      </c>
      <c r="E36" s="69">
        <v>59.75</v>
      </c>
      <c r="F36" s="66">
        <f>SUM(E36*2/100)</f>
        <v>1.1950000000000001</v>
      </c>
      <c r="G36" s="13">
        <v>72.81</v>
      </c>
      <c r="H36" s="67">
        <f t="shared" si="4"/>
        <v>8.7007950000000014E-2</v>
      </c>
      <c r="I36" s="13">
        <v>0</v>
      </c>
      <c r="J36" s="23"/>
    </row>
    <row r="37" spans="1:14" ht="15.75" hidden="1" customHeight="1">
      <c r="A37" s="29">
        <v>9</v>
      </c>
      <c r="B37" s="64" t="s">
        <v>54</v>
      </c>
      <c r="C37" s="65" t="s">
        <v>93</v>
      </c>
      <c r="D37" s="64" t="s">
        <v>124</v>
      </c>
      <c r="E37" s="69">
        <v>479.7</v>
      </c>
      <c r="F37" s="66">
        <f>SUM(E37*5/1000)</f>
        <v>2.3984999999999999</v>
      </c>
      <c r="G37" s="13">
        <v>1213.55</v>
      </c>
      <c r="H37" s="67">
        <f t="shared" si="4"/>
        <v>2.910699675</v>
      </c>
      <c r="I37" s="13">
        <f>F37/5*G37</f>
        <v>582.13993499999992</v>
      </c>
      <c r="J37" s="23"/>
    </row>
    <row r="38" spans="1:14" ht="31.5" hidden="1" customHeight="1">
      <c r="A38" s="29"/>
      <c r="B38" s="64" t="s">
        <v>97</v>
      </c>
      <c r="C38" s="65" t="s">
        <v>93</v>
      </c>
      <c r="D38" s="64" t="s">
        <v>40</v>
      </c>
      <c r="E38" s="69">
        <v>479.7</v>
      </c>
      <c r="F38" s="66">
        <f>SUM(E38*2/1000)</f>
        <v>0.95940000000000003</v>
      </c>
      <c r="G38" s="13">
        <v>1213.55</v>
      </c>
      <c r="H38" s="67">
        <f t="shared" si="4"/>
        <v>1.1642798700000001</v>
      </c>
      <c r="I38" s="13">
        <v>0</v>
      </c>
      <c r="J38" s="23"/>
    </row>
    <row r="39" spans="1:14" ht="31.5" hidden="1" customHeight="1">
      <c r="A39" s="29"/>
      <c r="B39" s="64" t="s">
        <v>98</v>
      </c>
      <c r="C39" s="65" t="s">
        <v>36</v>
      </c>
      <c r="D39" s="64" t="s">
        <v>40</v>
      </c>
      <c r="E39" s="69">
        <v>4</v>
      </c>
      <c r="F39" s="66">
        <f>SUM(E39*2/100)</f>
        <v>0.08</v>
      </c>
      <c r="G39" s="13">
        <v>2730.49</v>
      </c>
      <c r="H39" s="67">
        <f t="shared" si="4"/>
        <v>0.2184392</v>
      </c>
      <c r="I39" s="13">
        <v>0</v>
      </c>
      <c r="J39" s="23"/>
      <c r="L39" s="19"/>
      <c r="M39" s="20"/>
      <c r="N39" s="21"/>
    </row>
    <row r="40" spans="1:14" ht="15.75" hidden="1" customHeight="1">
      <c r="A40" s="29"/>
      <c r="B40" s="64" t="s">
        <v>37</v>
      </c>
      <c r="C40" s="65" t="s">
        <v>38</v>
      </c>
      <c r="D40" s="64" t="s">
        <v>40</v>
      </c>
      <c r="E40" s="69">
        <v>1</v>
      </c>
      <c r="F40" s="66">
        <v>0.02</v>
      </c>
      <c r="G40" s="13">
        <v>5652.13</v>
      </c>
      <c r="H40" s="67">
        <f t="shared" si="4"/>
        <v>0.11304260000000001</v>
      </c>
      <c r="I40" s="13">
        <v>0</v>
      </c>
      <c r="J40" s="23"/>
      <c r="L40" s="19"/>
      <c r="M40" s="20"/>
      <c r="N40" s="21"/>
    </row>
    <row r="41" spans="1:14" ht="15.75" hidden="1" customHeight="1">
      <c r="A41" s="29">
        <v>10</v>
      </c>
      <c r="B41" s="64" t="s">
        <v>39</v>
      </c>
      <c r="C41" s="65" t="s">
        <v>86</v>
      </c>
      <c r="D41" s="64" t="s">
        <v>71</v>
      </c>
      <c r="E41" s="69">
        <v>24</v>
      </c>
      <c r="F41" s="66">
        <f>SUM(E41)*3</f>
        <v>72</v>
      </c>
      <c r="G41" s="13">
        <v>65.67</v>
      </c>
      <c r="H41" s="67">
        <f t="shared" si="4"/>
        <v>4.7282399999999996</v>
      </c>
      <c r="I41" s="13">
        <f>E41*G41</f>
        <v>1576.08</v>
      </c>
      <c r="J41" s="23"/>
      <c r="L41" s="19"/>
      <c r="M41" s="20"/>
      <c r="N41" s="21"/>
    </row>
    <row r="42" spans="1:14" ht="15.75" hidden="1" customHeight="1">
      <c r="A42" s="145" t="s">
        <v>114</v>
      </c>
      <c r="B42" s="146"/>
      <c r="C42" s="146"/>
      <c r="D42" s="146"/>
      <c r="E42" s="146"/>
      <c r="F42" s="146"/>
      <c r="G42" s="146"/>
      <c r="H42" s="146"/>
      <c r="I42" s="147"/>
      <c r="J42" s="23"/>
      <c r="L42" s="19"/>
      <c r="M42" s="20"/>
      <c r="N42" s="21"/>
    </row>
    <row r="43" spans="1:14" ht="15.75" hidden="1" customHeight="1">
      <c r="A43" s="29"/>
      <c r="B43" s="88" t="s">
        <v>41</v>
      </c>
      <c r="C43" s="65"/>
      <c r="D43" s="64"/>
      <c r="E43" s="69"/>
      <c r="F43" s="66"/>
      <c r="G43" s="66"/>
      <c r="H43" s="67"/>
      <c r="I43" s="72"/>
      <c r="J43" s="23"/>
      <c r="L43" s="19"/>
      <c r="M43" s="20"/>
      <c r="N43" s="21"/>
    </row>
    <row r="44" spans="1:14" ht="31.5" hidden="1" customHeight="1">
      <c r="A44" s="29">
        <v>11</v>
      </c>
      <c r="B44" s="64" t="s">
        <v>119</v>
      </c>
      <c r="C44" s="65" t="s">
        <v>89</v>
      </c>
      <c r="D44" s="64" t="s">
        <v>99</v>
      </c>
      <c r="E44" s="69">
        <v>57.85</v>
      </c>
      <c r="F44" s="66">
        <f>SUM(E44*6/100)</f>
        <v>3.4710000000000001</v>
      </c>
      <c r="G44" s="13">
        <v>1547.28</v>
      </c>
      <c r="H44" s="67">
        <f>SUM(F44*G44/1000)</f>
        <v>5.3706088799999998</v>
      </c>
      <c r="I44" s="13">
        <f>F44/6*G44</f>
        <v>895.10148000000004</v>
      </c>
      <c r="J44" s="23"/>
      <c r="L44" s="19"/>
      <c r="M44" s="20"/>
      <c r="N44" s="21"/>
    </row>
    <row r="45" spans="1:14" ht="15.75" hidden="1" customHeight="1">
      <c r="A45" s="29"/>
      <c r="B45" s="88" t="s">
        <v>42</v>
      </c>
      <c r="C45" s="65"/>
      <c r="D45" s="64"/>
      <c r="E45" s="69"/>
      <c r="F45" s="66"/>
      <c r="G45" s="59"/>
      <c r="H45" s="67"/>
      <c r="I45" s="72"/>
      <c r="J45" s="23"/>
      <c r="L45" s="19"/>
      <c r="M45" s="20"/>
      <c r="N45" s="21"/>
    </row>
    <row r="46" spans="1:14" ht="15.75" hidden="1" customHeight="1">
      <c r="A46" s="29"/>
      <c r="B46" s="64" t="s">
        <v>43</v>
      </c>
      <c r="C46" s="65" t="s">
        <v>89</v>
      </c>
      <c r="D46" s="64" t="s">
        <v>52</v>
      </c>
      <c r="E46" s="69">
        <v>479.7</v>
      </c>
      <c r="F46" s="67">
        <v>4.8</v>
      </c>
      <c r="G46" s="13">
        <v>793.61</v>
      </c>
      <c r="H46" s="73">
        <f>F46*G46/1000</f>
        <v>3.8093279999999998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88" t="s">
        <v>100</v>
      </c>
      <c r="C47" s="65"/>
      <c r="D47" s="64"/>
      <c r="E47" s="69"/>
      <c r="F47" s="66"/>
      <c r="G47" s="74"/>
      <c r="H47" s="67" t="s">
        <v>110</v>
      </c>
      <c r="I47" s="72"/>
      <c r="J47" s="23"/>
      <c r="L47" s="19"/>
      <c r="M47" s="20"/>
      <c r="N47" s="21"/>
    </row>
    <row r="48" spans="1:14" ht="15.75" hidden="1" customHeight="1">
      <c r="A48" s="29"/>
      <c r="B48" s="64" t="s">
        <v>101</v>
      </c>
      <c r="C48" s="65" t="s">
        <v>86</v>
      </c>
      <c r="D48" s="64" t="s">
        <v>64</v>
      </c>
      <c r="E48" s="69">
        <v>3</v>
      </c>
      <c r="F48" s="66">
        <f>SUM(E48)</f>
        <v>3</v>
      </c>
      <c r="G48" s="75">
        <v>237.75</v>
      </c>
      <c r="H48" s="67">
        <f t="shared" ref="H48:H62" si="5">SUM(F48*G48/1000)</f>
        <v>0.71325000000000005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89" t="s">
        <v>44</v>
      </c>
      <c r="C49" s="76"/>
      <c r="D49" s="77"/>
      <c r="E49" s="78"/>
      <c r="F49" s="79"/>
      <c r="G49" s="79"/>
      <c r="H49" s="80" t="s">
        <v>110</v>
      </c>
      <c r="I49" s="72"/>
      <c r="J49" s="23"/>
      <c r="L49" s="19"/>
      <c r="M49" s="20"/>
      <c r="N49" s="21"/>
    </row>
    <row r="50" spans="1:22" ht="15.75" hidden="1" customHeight="1">
      <c r="A50" s="29"/>
      <c r="B50" s="14" t="s">
        <v>45</v>
      </c>
      <c r="C50" s="16" t="s">
        <v>86</v>
      </c>
      <c r="D50" s="64" t="s">
        <v>64</v>
      </c>
      <c r="E50" s="18">
        <v>5</v>
      </c>
      <c r="F50" s="66">
        <v>5</v>
      </c>
      <c r="G50" s="13">
        <v>222.4</v>
      </c>
      <c r="H50" s="81">
        <f t="shared" si="5"/>
        <v>1.1120000000000001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14" t="s">
        <v>46</v>
      </c>
      <c r="C51" s="16" t="s">
        <v>86</v>
      </c>
      <c r="D51" s="64" t="s">
        <v>64</v>
      </c>
      <c r="E51" s="18">
        <v>3</v>
      </c>
      <c r="F51" s="66">
        <v>3</v>
      </c>
      <c r="G51" s="13">
        <v>76.25</v>
      </c>
      <c r="H51" s="81">
        <f t="shared" si="5"/>
        <v>0.22875000000000001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14" t="s">
        <v>47</v>
      </c>
      <c r="C52" s="16" t="s">
        <v>102</v>
      </c>
      <c r="D52" s="14" t="s">
        <v>52</v>
      </c>
      <c r="E52" s="69">
        <v>2753</v>
      </c>
      <c r="F52" s="13">
        <f>SUM(E52/100)</f>
        <v>27.53</v>
      </c>
      <c r="G52" s="13">
        <v>212.15</v>
      </c>
      <c r="H52" s="81">
        <f t="shared" si="5"/>
        <v>5.8404895000000003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14" t="s">
        <v>48</v>
      </c>
      <c r="C53" s="16" t="s">
        <v>103</v>
      </c>
      <c r="D53" s="14"/>
      <c r="E53" s="69">
        <v>2753</v>
      </c>
      <c r="F53" s="13">
        <f>SUM(E53/1000)</f>
        <v>2.7530000000000001</v>
      </c>
      <c r="G53" s="13">
        <v>165.21</v>
      </c>
      <c r="H53" s="81">
        <f t="shared" si="5"/>
        <v>0.45482313000000008</v>
      </c>
      <c r="I53" s="13">
        <v>0</v>
      </c>
      <c r="J53" s="23"/>
      <c r="L53" s="19"/>
      <c r="M53" s="20"/>
      <c r="N53" s="21"/>
    </row>
    <row r="54" spans="1:22" ht="15.75" hidden="1" customHeight="1">
      <c r="A54" s="29"/>
      <c r="B54" s="14" t="s">
        <v>49</v>
      </c>
      <c r="C54" s="16" t="s">
        <v>78</v>
      </c>
      <c r="D54" s="14" t="s">
        <v>52</v>
      </c>
      <c r="E54" s="69">
        <v>440</v>
      </c>
      <c r="F54" s="13">
        <f>SUM(E54/100)</f>
        <v>4.4000000000000004</v>
      </c>
      <c r="G54" s="13">
        <v>2074.63</v>
      </c>
      <c r="H54" s="81">
        <f t="shared" si="5"/>
        <v>9.1283720000000006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82" t="s">
        <v>72</v>
      </c>
      <c r="C55" s="16" t="s">
        <v>31</v>
      </c>
      <c r="D55" s="14"/>
      <c r="E55" s="69">
        <v>2.8</v>
      </c>
      <c r="F55" s="13">
        <f>SUM(E55)</f>
        <v>2.8</v>
      </c>
      <c r="G55" s="13">
        <v>45.32</v>
      </c>
      <c r="H55" s="81">
        <f t="shared" si="5"/>
        <v>0.12689599999999998</v>
      </c>
      <c r="I55" s="13">
        <v>0</v>
      </c>
      <c r="J55" s="23"/>
      <c r="L55" s="19"/>
      <c r="M55" s="20"/>
      <c r="N55" s="21"/>
    </row>
    <row r="56" spans="1:22" ht="31.5" hidden="1" customHeight="1">
      <c r="A56" s="29"/>
      <c r="B56" s="82" t="s">
        <v>73</v>
      </c>
      <c r="C56" s="16" t="s">
        <v>31</v>
      </c>
      <c r="D56" s="14"/>
      <c r="E56" s="69">
        <v>2.8</v>
      </c>
      <c r="F56" s="13">
        <f>SUM(E56)</f>
        <v>2.8</v>
      </c>
      <c r="G56" s="13">
        <v>42.28</v>
      </c>
      <c r="H56" s="81">
        <f t="shared" si="5"/>
        <v>0.118384</v>
      </c>
      <c r="I56" s="13">
        <v>0</v>
      </c>
      <c r="J56" s="23"/>
      <c r="L56" s="19"/>
      <c r="M56" s="20"/>
      <c r="N56" s="21"/>
    </row>
    <row r="57" spans="1:22" ht="15.75" hidden="1" customHeight="1">
      <c r="A57" s="29"/>
      <c r="B57" s="14" t="s">
        <v>55</v>
      </c>
      <c r="C57" s="16" t="s">
        <v>56</v>
      </c>
      <c r="D57" s="14" t="s">
        <v>52</v>
      </c>
      <c r="E57" s="18">
        <v>3</v>
      </c>
      <c r="F57" s="66">
        <f>SUM(E57)</f>
        <v>3</v>
      </c>
      <c r="G57" s="13">
        <v>49.88</v>
      </c>
      <c r="H57" s="81">
        <f t="shared" si="5"/>
        <v>0.14964000000000002</v>
      </c>
      <c r="I57" s="13">
        <v>0</v>
      </c>
      <c r="J57" s="23"/>
      <c r="L57" s="19"/>
      <c r="M57" s="20"/>
      <c r="N57" s="21"/>
    </row>
    <row r="58" spans="1:22" ht="15.75" hidden="1" customHeight="1">
      <c r="A58" s="29"/>
      <c r="B58" s="56" t="s">
        <v>74</v>
      </c>
      <c r="C58" s="16"/>
      <c r="D58" s="14"/>
      <c r="E58" s="18"/>
      <c r="F58" s="13"/>
      <c r="G58" s="13"/>
      <c r="H58" s="81" t="s">
        <v>110</v>
      </c>
      <c r="I58" s="72"/>
      <c r="J58" s="23"/>
      <c r="L58" s="19"/>
      <c r="M58" s="20"/>
      <c r="N58" s="21"/>
    </row>
    <row r="59" spans="1:22" ht="15.75" hidden="1" customHeight="1">
      <c r="A59" s="29">
        <v>6</v>
      </c>
      <c r="B59" s="14" t="s">
        <v>75</v>
      </c>
      <c r="C59" s="16" t="s">
        <v>76</v>
      </c>
      <c r="D59" s="14"/>
      <c r="E59" s="18">
        <v>15</v>
      </c>
      <c r="F59" s="13">
        <v>1.5</v>
      </c>
      <c r="G59" s="13">
        <v>501.62</v>
      </c>
      <c r="H59" s="81">
        <f t="shared" si="5"/>
        <v>0.75243000000000004</v>
      </c>
      <c r="I59" s="13">
        <f>G59*0.3</f>
        <v>150.48599999999999</v>
      </c>
      <c r="J59" s="23"/>
      <c r="L59" s="19"/>
    </row>
    <row r="60" spans="1:22" ht="15.75" hidden="1" customHeight="1">
      <c r="A60" s="29"/>
      <c r="B60" s="14" t="s">
        <v>106</v>
      </c>
      <c r="C60" s="16" t="s">
        <v>86</v>
      </c>
      <c r="D60" s="14"/>
      <c r="E60" s="18">
        <v>1</v>
      </c>
      <c r="F60" s="66">
        <f>SUM(E60)</f>
        <v>1</v>
      </c>
      <c r="G60" s="13">
        <v>358.51</v>
      </c>
      <c r="H60" s="81">
        <f t="shared" si="5"/>
        <v>0.35851</v>
      </c>
      <c r="I60" s="13">
        <v>0</v>
      </c>
    </row>
    <row r="61" spans="1:22" ht="15.75" hidden="1" customHeight="1">
      <c r="A61" s="29"/>
      <c r="B61" s="84" t="s">
        <v>77</v>
      </c>
      <c r="C61" s="16"/>
      <c r="D61" s="14"/>
      <c r="E61" s="18"/>
      <c r="F61" s="13"/>
      <c r="G61" s="13" t="s">
        <v>110</v>
      </c>
      <c r="H61" s="81" t="s">
        <v>110</v>
      </c>
      <c r="I61" s="72"/>
    </row>
    <row r="62" spans="1:22" ht="15.75" hidden="1" customHeight="1">
      <c r="A62" s="29"/>
      <c r="B62" s="42" t="s">
        <v>107</v>
      </c>
      <c r="C62" s="16" t="s">
        <v>78</v>
      </c>
      <c r="D62" s="14"/>
      <c r="E62" s="18"/>
      <c r="F62" s="13">
        <v>0.3</v>
      </c>
      <c r="G62" s="13">
        <v>2759.44</v>
      </c>
      <c r="H62" s="81">
        <f t="shared" si="5"/>
        <v>0.82783200000000001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/>
      <c r="B63" s="56" t="s">
        <v>104</v>
      </c>
      <c r="C63" s="84"/>
      <c r="D63" s="31"/>
      <c r="E63" s="32"/>
      <c r="F63" s="85"/>
      <c r="G63" s="85"/>
      <c r="H63" s="86">
        <f>SUM(H44:H62)</f>
        <v>28.991313509999998</v>
      </c>
      <c r="I63" s="71"/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64" t="s">
        <v>105</v>
      </c>
      <c r="C64" s="16"/>
      <c r="D64" s="14"/>
      <c r="E64" s="60"/>
      <c r="F64" s="13">
        <v>1</v>
      </c>
      <c r="G64" s="13">
        <v>2119.1999999999998</v>
      </c>
      <c r="H64" s="81">
        <f>G64*F64/1000</f>
        <v>2.1191999999999998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145" t="s">
        <v>133</v>
      </c>
      <c r="B65" s="146"/>
      <c r="C65" s="146"/>
      <c r="D65" s="146"/>
      <c r="E65" s="146"/>
      <c r="F65" s="146"/>
      <c r="G65" s="146"/>
      <c r="H65" s="146"/>
      <c r="I65" s="147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29">
        <v>4</v>
      </c>
      <c r="B66" s="64" t="s">
        <v>108</v>
      </c>
      <c r="C66" s="16" t="s">
        <v>53</v>
      </c>
      <c r="D66" s="45"/>
      <c r="E66" s="13">
        <v>737</v>
      </c>
      <c r="F66" s="13">
        <f>SUM(E66*12)</f>
        <v>8844</v>
      </c>
      <c r="G66" s="13">
        <v>2.1</v>
      </c>
      <c r="H66" s="81">
        <f>SUM(F66*G66/1000)</f>
        <v>18.572400000000002</v>
      </c>
      <c r="I66" s="13">
        <f>F66/12*G66</f>
        <v>1547.7</v>
      </c>
      <c r="J66" s="5"/>
      <c r="K66" s="5"/>
      <c r="L66" s="5"/>
      <c r="M66" s="5"/>
      <c r="N66" s="5"/>
      <c r="O66" s="5"/>
      <c r="P66" s="5"/>
      <c r="Q66" s="5"/>
      <c r="R66" s="144"/>
      <c r="S66" s="144"/>
      <c r="T66" s="144"/>
      <c r="U66" s="144"/>
    </row>
    <row r="67" spans="1:21" ht="31.5" customHeight="1">
      <c r="A67" s="29">
        <v>5</v>
      </c>
      <c r="B67" s="14" t="s">
        <v>79</v>
      </c>
      <c r="C67" s="16"/>
      <c r="D67" s="45"/>
      <c r="E67" s="69">
        <f>E66</f>
        <v>737</v>
      </c>
      <c r="F67" s="13">
        <f>E67*12</f>
        <v>8844</v>
      </c>
      <c r="G67" s="13">
        <v>1.63</v>
      </c>
      <c r="H67" s="81">
        <f>F67*G67/1000</f>
        <v>14.415719999999999</v>
      </c>
      <c r="I67" s="13">
        <f>F67/12*G67</f>
        <v>1201.31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29"/>
      <c r="B68" s="35" t="s">
        <v>81</v>
      </c>
      <c r="C68" s="84"/>
      <c r="D68" s="83"/>
      <c r="E68" s="85"/>
      <c r="F68" s="85"/>
      <c r="G68" s="85"/>
      <c r="H68" s="86">
        <f>SUM(H67)</f>
        <v>14.415719999999999</v>
      </c>
      <c r="I68" s="85">
        <f>I67+I66+I20+I19+I16</f>
        <v>4801.0116243333341</v>
      </c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5.75" customHeight="1">
      <c r="A69" s="148" t="s">
        <v>58</v>
      </c>
      <c r="B69" s="149"/>
      <c r="C69" s="149"/>
      <c r="D69" s="149"/>
      <c r="E69" s="149"/>
      <c r="F69" s="149"/>
      <c r="G69" s="149"/>
      <c r="H69" s="149"/>
      <c r="I69" s="150"/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15.75" customHeight="1">
      <c r="A70" s="29">
        <v>6</v>
      </c>
      <c r="B70" s="101" t="s">
        <v>144</v>
      </c>
      <c r="C70" s="16" t="s">
        <v>145</v>
      </c>
      <c r="D70" s="42"/>
      <c r="E70" s="13"/>
      <c r="F70" s="13">
        <v>200</v>
      </c>
      <c r="G70" s="13">
        <v>1.4</v>
      </c>
      <c r="H70" s="81">
        <f>SUM(F70*G70/1000)</f>
        <v>0.28000000000000003</v>
      </c>
      <c r="I70" s="13">
        <f>G70*100</f>
        <v>140</v>
      </c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16.5" customHeight="1">
      <c r="A71" s="29">
        <v>7</v>
      </c>
      <c r="B71" s="50" t="s">
        <v>181</v>
      </c>
      <c r="C71" s="51" t="s">
        <v>148</v>
      </c>
      <c r="D71" s="97"/>
      <c r="E71" s="34"/>
      <c r="F71" s="105">
        <v>10</v>
      </c>
      <c r="G71" s="105">
        <v>284</v>
      </c>
      <c r="H71" s="98">
        <f>G71*F71/1000</f>
        <v>2.84</v>
      </c>
      <c r="I71" s="13">
        <f>G71*6</f>
        <v>1704</v>
      </c>
      <c r="J71" s="5"/>
      <c r="K71" s="5"/>
      <c r="L71" s="5"/>
      <c r="M71" s="5"/>
      <c r="N71" s="5"/>
      <c r="O71" s="5"/>
      <c r="P71" s="5"/>
      <c r="Q71" s="5"/>
      <c r="R71" s="90"/>
      <c r="S71" s="90"/>
      <c r="T71" s="90"/>
      <c r="U71" s="90"/>
    </row>
    <row r="72" spans="1:21" ht="16.5" customHeight="1">
      <c r="A72" s="29">
        <v>8</v>
      </c>
      <c r="B72" s="50" t="s">
        <v>162</v>
      </c>
      <c r="C72" s="51" t="s">
        <v>163</v>
      </c>
      <c r="D72" s="97" t="s">
        <v>196</v>
      </c>
      <c r="E72" s="34"/>
      <c r="F72" s="105">
        <v>2</v>
      </c>
      <c r="G72" s="105">
        <v>222.63</v>
      </c>
      <c r="H72" s="98"/>
      <c r="I72" s="13">
        <f>G72*1</f>
        <v>222.63</v>
      </c>
      <c r="J72" s="5"/>
      <c r="K72" s="5"/>
      <c r="L72" s="5"/>
      <c r="M72" s="5"/>
      <c r="N72" s="5"/>
      <c r="O72" s="5"/>
      <c r="P72" s="5"/>
      <c r="Q72" s="5"/>
      <c r="R72" s="129"/>
      <c r="S72" s="129"/>
      <c r="T72" s="129"/>
      <c r="U72" s="129"/>
    </row>
    <row r="73" spans="1:21" ht="15.75" customHeight="1">
      <c r="A73" s="29"/>
      <c r="B73" s="40" t="s">
        <v>50</v>
      </c>
      <c r="C73" s="36"/>
      <c r="D73" s="43"/>
      <c r="E73" s="36">
        <v>1</v>
      </c>
      <c r="F73" s="36"/>
      <c r="G73" s="36"/>
      <c r="H73" s="36"/>
      <c r="I73" s="32">
        <f>SUM(I70:I72)</f>
        <v>2066.63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>
      <c r="A74" s="29"/>
      <c r="B74" s="42" t="s">
        <v>80</v>
      </c>
      <c r="C74" s="15"/>
      <c r="D74" s="15"/>
      <c r="E74" s="37"/>
      <c r="F74" s="37"/>
      <c r="G74" s="38"/>
      <c r="H74" s="38"/>
      <c r="I74" s="17">
        <v>0</v>
      </c>
    </row>
    <row r="75" spans="1:21" ht="15.75" customHeight="1">
      <c r="A75" s="44"/>
      <c r="B75" s="41" t="s">
        <v>141</v>
      </c>
      <c r="C75" s="33"/>
      <c r="D75" s="33"/>
      <c r="E75" s="33"/>
      <c r="F75" s="33"/>
      <c r="G75" s="33"/>
      <c r="H75" s="33"/>
      <c r="I75" s="39">
        <f>I68+I73</f>
        <v>6867.6416243333342</v>
      </c>
    </row>
    <row r="76" spans="1:21" ht="15.75" customHeight="1">
      <c r="A76" s="157" t="s">
        <v>197</v>
      </c>
      <c r="B76" s="157"/>
      <c r="C76" s="157"/>
      <c r="D76" s="157"/>
      <c r="E76" s="157"/>
      <c r="F76" s="157"/>
      <c r="G76" s="157"/>
      <c r="H76" s="157"/>
      <c r="I76" s="157"/>
    </row>
    <row r="77" spans="1:21" ht="15.75">
      <c r="A77" s="58"/>
      <c r="B77" s="158" t="s">
        <v>198</v>
      </c>
      <c r="C77" s="158"/>
      <c r="D77" s="158"/>
      <c r="E77" s="158"/>
      <c r="F77" s="158"/>
      <c r="G77" s="158"/>
      <c r="H77" s="63"/>
      <c r="I77" s="3"/>
    </row>
    <row r="78" spans="1:21">
      <c r="A78" s="54"/>
      <c r="B78" s="154" t="s">
        <v>6</v>
      </c>
      <c r="C78" s="154"/>
      <c r="D78" s="154"/>
      <c r="E78" s="154"/>
      <c r="F78" s="154"/>
      <c r="G78" s="154"/>
      <c r="H78" s="24"/>
      <c r="I78" s="5"/>
    </row>
    <row r="79" spans="1:21">
      <c r="A79" s="10"/>
      <c r="B79" s="10"/>
      <c r="C79" s="10"/>
      <c r="D79" s="10"/>
      <c r="E79" s="10"/>
      <c r="F79" s="10"/>
      <c r="G79" s="10"/>
      <c r="H79" s="10"/>
      <c r="I79" s="10"/>
    </row>
    <row r="80" spans="1:21" ht="15.75" customHeight="1">
      <c r="A80" s="141" t="s">
        <v>7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1" t="s">
        <v>8</v>
      </c>
      <c r="B81" s="141"/>
      <c r="C81" s="141"/>
      <c r="D81" s="141"/>
      <c r="E81" s="141"/>
      <c r="F81" s="141"/>
      <c r="G81" s="141"/>
      <c r="H81" s="141"/>
      <c r="I81" s="141"/>
    </row>
    <row r="82" spans="1:9" ht="15.75">
      <c r="A82" s="142" t="s">
        <v>59</v>
      </c>
      <c r="B82" s="142"/>
      <c r="C82" s="142"/>
      <c r="D82" s="142"/>
      <c r="E82" s="142"/>
      <c r="F82" s="142"/>
      <c r="G82" s="142"/>
      <c r="H82" s="142"/>
      <c r="I82" s="142"/>
    </row>
    <row r="83" spans="1:9" ht="15.75" customHeight="1">
      <c r="A83" s="11"/>
    </row>
    <row r="84" spans="1:9" ht="15.75" customHeight="1">
      <c r="A84" s="152" t="s">
        <v>9</v>
      </c>
      <c r="B84" s="152"/>
      <c r="C84" s="152"/>
      <c r="D84" s="152"/>
      <c r="E84" s="152"/>
      <c r="F84" s="152"/>
      <c r="G84" s="152"/>
      <c r="H84" s="152"/>
      <c r="I84" s="152"/>
    </row>
    <row r="85" spans="1:9" ht="15.75" customHeight="1">
      <c r="A85" s="4"/>
    </row>
    <row r="86" spans="1:9" ht="15.75" customHeight="1">
      <c r="B86" s="55" t="s">
        <v>10</v>
      </c>
      <c r="C86" s="153" t="s">
        <v>85</v>
      </c>
      <c r="D86" s="153"/>
      <c r="E86" s="153"/>
      <c r="F86" s="61"/>
      <c r="I86" s="53"/>
    </row>
    <row r="87" spans="1:9" ht="15.75" customHeight="1">
      <c r="A87" s="54"/>
      <c r="C87" s="154" t="s">
        <v>11</v>
      </c>
      <c r="D87" s="154"/>
      <c r="E87" s="154"/>
      <c r="F87" s="24"/>
      <c r="I87" s="52" t="s">
        <v>12</v>
      </c>
    </row>
    <row r="88" spans="1:9" ht="15.75" customHeight="1">
      <c r="A88" s="25"/>
      <c r="C88" s="12"/>
      <c r="D88" s="12"/>
      <c r="G88" s="12"/>
      <c r="H88" s="12"/>
    </row>
    <row r="89" spans="1:9" ht="15.75" customHeight="1">
      <c r="B89" s="55" t="s">
        <v>13</v>
      </c>
      <c r="C89" s="155"/>
      <c r="D89" s="155"/>
      <c r="E89" s="155"/>
      <c r="F89" s="62"/>
      <c r="I89" s="53"/>
    </row>
    <row r="90" spans="1:9" ht="15.75" customHeight="1">
      <c r="A90" s="54"/>
      <c r="C90" s="144" t="s">
        <v>11</v>
      </c>
      <c r="D90" s="144"/>
      <c r="E90" s="144"/>
      <c r="F90" s="54"/>
      <c r="I90" s="52" t="s">
        <v>12</v>
      </c>
    </row>
    <row r="91" spans="1:9" ht="15.75" customHeight="1">
      <c r="A91" s="4" t="s">
        <v>14</v>
      </c>
    </row>
    <row r="92" spans="1:9">
      <c r="A92" s="156" t="s">
        <v>15</v>
      </c>
      <c r="B92" s="156"/>
      <c r="C92" s="156"/>
      <c r="D92" s="156"/>
      <c r="E92" s="156"/>
      <c r="F92" s="156"/>
      <c r="G92" s="156"/>
      <c r="H92" s="156"/>
      <c r="I92" s="156"/>
    </row>
    <row r="93" spans="1:9" ht="45" customHeight="1">
      <c r="A93" s="151" t="s">
        <v>16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17</v>
      </c>
      <c r="B94" s="151"/>
      <c r="C94" s="151"/>
      <c r="D94" s="151"/>
      <c r="E94" s="151"/>
      <c r="F94" s="151"/>
      <c r="G94" s="151"/>
      <c r="H94" s="151"/>
      <c r="I94" s="151"/>
    </row>
    <row r="95" spans="1:9" ht="30" customHeight="1">
      <c r="A95" s="151" t="s">
        <v>21</v>
      </c>
      <c r="B95" s="151"/>
      <c r="C95" s="151"/>
      <c r="D95" s="151"/>
      <c r="E95" s="151"/>
      <c r="F95" s="151"/>
      <c r="G95" s="151"/>
      <c r="H95" s="151"/>
      <c r="I95" s="151"/>
    </row>
    <row r="96" spans="1:9" ht="15" customHeight="1">
      <c r="A96" s="151" t="s">
        <v>20</v>
      </c>
      <c r="B96" s="151"/>
      <c r="C96" s="151"/>
      <c r="D96" s="151"/>
      <c r="E96" s="151"/>
      <c r="F96" s="151"/>
      <c r="G96" s="151"/>
      <c r="H96" s="151"/>
      <c r="I96" s="151"/>
    </row>
  </sheetData>
  <autoFilter ref="I12:I61"/>
  <mergeCells count="29">
    <mergeCell ref="A93:I93"/>
    <mergeCell ref="A94:I94"/>
    <mergeCell ref="A95:I95"/>
    <mergeCell ref="A96:I96"/>
    <mergeCell ref="A84:I84"/>
    <mergeCell ref="C86:E86"/>
    <mergeCell ref="C87:E87"/>
    <mergeCell ref="C89:E89"/>
    <mergeCell ref="C90:E90"/>
    <mergeCell ref="A92:I92"/>
    <mergeCell ref="A82:I82"/>
    <mergeCell ref="A15:I15"/>
    <mergeCell ref="A17:I17"/>
    <mergeCell ref="A32:I32"/>
    <mergeCell ref="A42:I42"/>
    <mergeCell ref="A65:I65"/>
    <mergeCell ref="A76:I76"/>
    <mergeCell ref="B77:G77"/>
    <mergeCell ref="B78:G78"/>
    <mergeCell ref="A80:I80"/>
    <mergeCell ref="A81:I81"/>
    <mergeCell ref="A69:I69"/>
    <mergeCell ref="R66:U66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95"/>
  <sheetViews>
    <sheetView topLeftCell="A19" workbookViewId="0">
      <selection activeCell="J80" sqref="J8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134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199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44074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156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0" si="0">SUM(F19*G19/1000)</f>
        <v>6.351270379999999</v>
      </c>
      <c r="I19" s="13">
        <f t="shared" ref="I19:I20" si="1">F19/6*G19</f>
        <v>1058.5450633333332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157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ref="H21:H23" si="2">SUM(F21*G21/1000)</f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/>
      <c r="B22" s="64" t="s">
        <v>62</v>
      </c>
      <c r="C22" s="65" t="s">
        <v>31</v>
      </c>
      <c r="D22" s="64" t="s">
        <v>64</v>
      </c>
      <c r="E22" s="69"/>
      <c r="F22" s="66">
        <v>2</v>
      </c>
      <c r="G22" s="66">
        <v>191.32</v>
      </c>
      <c r="H22" s="67">
        <f t="shared" si="2"/>
        <v>0.38263999999999998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4" t="s">
        <v>63</v>
      </c>
      <c r="C23" s="65" t="s">
        <v>30</v>
      </c>
      <c r="D23" s="64" t="s">
        <v>64</v>
      </c>
      <c r="E23" s="69"/>
      <c r="F23" s="66">
        <v>2</v>
      </c>
      <c r="G23" s="66">
        <v>1136.33</v>
      </c>
      <c r="H23" s="67">
        <f t="shared" si="2"/>
        <v>2.2726599999999997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8" t="s">
        <v>5</v>
      </c>
      <c r="C24" s="65"/>
      <c r="D24" s="64"/>
      <c r="E24" s="69"/>
      <c r="F24" s="66"/>
      <c r="G24" s="66"/>
      <c r="H24" s="67" t="s">
        <v>110</v>
      </c>
      <c r="I24" s="72"/>
      <c r="J24" s="22"/>
      <c r="K24" s="8"/>
      <c r="L24" s="8"/>
      <c r="M24" s="8"/>
    </row>
    <row r="25" spans="1:13" ht="15.75" hidden="1" customHeight="1">
      <c r="A25" s="29">
        <v>3</v>
      </c>
      <c r="B25" s="64" t="s">
        <v>25</v>
      </c>
      <c r="C25" s="65" t="s">
        <v>30</v>
      </c>
      <c r="D25" s="64"/>
      <c r="E25" s="69"/>
      <c r="F25" s="66">
        <v>3</v>
      </c>
      <c r="G25" s="66">
        <v>1527.22</v>
      </c>
      <c r="H25" s="67">
        <f t="shared" ref="H25:H30" si="3">SUM(F25*G25/1000)</f>
        <v>4.5816600000000003</v>
      </c>
      <c r="I25" s="13">
        <f t="shared" ref="I25:I30" si="4">F25/6*G25</f>
        <v>763.61</v>
      </c>
      <c r="J25" s="22"/>
      <c r="K25" s="8"/>
      <c r="L25" s="8"/>
      <c r="M25" s="8"/>
    </row>
    <row r="26" spans="1:13" ht="15.75" hidden="1" customHeight="1">
      <c r="A26" s="29">
        <v>4</v>
      </c>
      <c r="B26" s="64" t="s">
        <v>65</v>
      </c>
      <c r="C26" s="65" t="s">
        <v>28</v>
      </c>
      <c r="D26" s="64" t="s">
        <v>66</v>
      </c>
      <c r="E26" s="66">
        <v>171.9</v>
      </c>
      <c r="F26" s="66">
        <f>SUM(E26*18/1000)</f>
        <v>3.0942000000000003</v>
      </c>
      <c r="G26" s="66">
        <v>2102.71</v>
      </c>
      <c r="H26" s="67">
        <f t="shared" si="3"/>
        <v>6.5062052820000007</v>
      </c>
      <c r="I26" s="13">
        <f t="shared" si="4"/>
        <v>1084.3675470000001</v>
      </c>
      <c r="J26" s="22"/>
      <c r="K26" s="8"/>
      <c r="L26" s="8"/>
      <c r="M26" s="8"/>
    </row>
    <row r="27" spans="1:13" ht="15.75" hidden="1" customHeight="1">
      <c r="A27" s="29">
        <v>5</v>
      </c>
      <c r="B27" s="64" t="s">
        <v>67</v>
      </c>
      <c r="C27" s="65" t="s">
        <v>28</v>
      </c>
      <c r="D27" s="64" t="s">
        <v>68</v>
      </c>
      <c r="E27" s="66">
        <v>48</v>
      </c>
      <c r="F27" s="66">
        <f>SUM(E27*70/1000)</f>
        <v>3.36</v>
      </c>
      <c r="G27" s="66">
        <v>350.75</v>
      </c>
      <c r="H27" s="67">
        <f t="shared" si="3"/>
        <v>1.17852</v>
      </c>
      <c r="I27" s="13">
        <f t="shared" si="4"/>
        <v>196.42</v>
      </c>
      <c r="J27" s="22"/>
      <c r="K27" s="8"/>
      <c r="L27" s="8"/>
      <c r="M27" s="8"/>
    </row>
    <row r="28" spans="1:13" ht="47.25" hidden="1" customHeight="1">
      <c r="A28" s="29">
        <v>6</v>
      </c>
      <c r="B28" s="64" t="s">
        <v>83</v>
      </c>
      <c r="C28" s="65" t="s">
        <v>93</v>
      </c>
      <c r="D28" s="64" t="s">
        <v>68</v>
      </c>
      <c r="E28" s="66">
        <v>18</v>
      </c>
      <c r="F28" s="66">
        <f>SUM(E28*70/1000)</f>
        <v>1.26</v>
      </c>
      <c r="G28" s="66">
        <v>5803.28</v>
      </c>
      <c r="H28" s="67">
        <f t="shared" si="3"/>
        <v>7.3121327999999997</v>
      </c>
      <c r="I28" s="13">
        <f t="shared" si="4"/>
        <v>1218.6887999999999</v>
      </c>
      <c r="J28" s="22"/>
      <c r="K28" s="8"/>
      <c r="L28" s="8"/>
      <c r="M28" s="8"/>
    </row>
    <row r="29" spans="1:13" ht="15.75" hidden="1" customHeight="1">
      <c r="A29" s="29">
        <v>7</v>
      </c>
      <c r="B29" s="64" t="s">
        <v>95</v>
      </c>
      <c r="C29" s="65" t="s">
        <v>93</v>
      </c>
      <c r="D29" s="64" t="s">
        <v>69</v>
      </c>
      <c r="E29" s="66">
        <v>48</v>
      </c>
      <c r="F29" s="66">
        <f>SUM(E29*45/1000)</f>
        <v>2.16</v>
      </c>
      <c r="G29" s="66">
        <v>428.7</v>
      </c>
      <c r="H29" s="67">
        <f t="shared" si="3"/>
        <v>0.92599200000000004</v>
      </c>
      <c r="I29" s="13">
        <f t="shared" si="4"/>
        <v>154.33200000000002</v>
      </c>
      <c r="J29" s="22"/>
      <c r="K29" s="8"/>
      <c r="L29" s="8"/>
      <c r="M29" s="8"/>
    </row>
    <row r="30" spans="1:13" ht="15.75" hidden="1" customHeight="1">
      <c r="A30" s="29">
        <v>8</v>
      </c>
      <c r="B30" s="64" t="s">
        <v>70</v>
      </c>
      <c r="C30" s="65" t="s">
        <v>31</v>
      </c>
      <c r="D30" s="64"/>
      <c r="E30" s="69"/>
      <c r="F30" s="66">
        <v>0.2</v>
      </c>
      <c r="G30" s="66">
        <v>798</v>
      </c>
      <c r="H30" s="67">
        <f t="shared" si="3"/>
        <v>0.15960000000000002</v>
      </c>
      <c r="I30" s="13">
        <f t="shared" si="4"/>
        <v>26.599999999999998</v>
      </c>
      <c r="J30" s="22"/>
      <c r="K30" s="8"/>
      <c r="L30" s="8"/>
      <c r="M30" s="8"/>
    </row>
    <row r="31" spans="1:13" ht="15.75" customHeight="1">
      <c r="A31" s="145" t="s">
        <v>113</v>
      </c>
      <c r="B31" s="146"/>
      <c r="C31" s="146"/>
      <c r="D31" s="146"/>
      <c r="E31" s="146"/>
      <c r="F31" s="146"/>
      <c r="G31" s="146"/>
      <c r="H31" s="146"/>
      <c r="I31" s="147"/>
      <c r="J31" s="23"/>
    </row>
    <row r="32" spans="1:13" ht="15.75" hidden="1" customHeight="1">
      <c r="A32" s="29"/>
      <c r="B32" s="64" t="s">
        <v>96</v>
      </c>
      <c r="C32" s="65" t="s">
        <v>93</v>
      </c>
      <c r="D32" s="64" t="s">
        <v>40</v>
      </c>
      <c r="E32" s="69">
        <v>578.5</v>
      </c>
      <c r="F32" s="66">
        <f>SUM(E32*2/1000)</f>
        <v>1.157</v>
      </c>
      <c r="G32" s="13">
        <v>809.74</v>
      </c>
      <c r="H32" s="67">
        <f t="shared" ref="H32:H40" si="5">SUM(F32*G32/1000)</f>
        <v>0.93686918000000008</v>
      </c>
      <c r="I32" s="13">
        <v>0</v>
      </c>
      <c r="J32" s="23"/>
    </row>
    <row r="33" spans="1:14" ht="15.75" hidden="1" customHeight="1">
      <c r="A33" s="29"/>
      <c r="B33" s="64" t="s">
        <v>34</v>
      </c>
      <c r="C33" s="65" t="s">
        <v>93</v>
      </c>
      <c r="D33" s="64" t="s">
        <v>40</v>
      </c>
      <c r="E33" s="69">
        <v>21</v>
      </c>
      <c r="F33" s="66">
        <f>SUM(E33*2/1000)</f>
        <v>4.2000000000000003E-2</v>
      </c>
      <c r="G33" s="13">
        <v>579.48</v>
      </c>
      <c r="H33" s="67">
        <f t="shared" si="5"/>
        <v>2.4338160000000001E-2</v>
      </c>
      <c r="I33" s="13">
        <v>0</v>
      </c>
      <c r="J33" s="23"/>
    </row>
    <row r="34" spans="1:14" ht="15.75" hidden="1" customHeight="1">
      <c r="A34" s="29"/>
      <c r="B34" s="64" t="s">
        <v>35</v>
      </c>
      <c r="C34" s="65" t="s">
        <v>93</v>
      </c>
      <c r="D34" s="64" t="s">
        <v>40</v>
      </c>
      <c r="E34" s="69">
        <v>737</v>
      </c>
      <c r="F34" s="66">
        <f>SUM(E34*2/1000)</f>
        <v>1.474</v>
      </c>
      <c r="G34" s="13">
        <v>579.48</v>
      </c>
      <c r="H34" s="67">
        <f t="shared" si="5"/>
        <v>0.85415352</v>
      </c>
      <c r="I34" s="13">
        <v>0</v>
      </c>
      <c r="J34" s="23"/>
    </row>
    <row r="35" spans="1:14" ht="15.75" hidden="1" customHeight="1">
      <c r="A35" s="29"/>
      <c r="B35" s="64" t="s">
        <v>32</v>
      </c>
      <c r="C35" s="65" t="s">
        <v>33</v>
      </c>
      <c r="D35" s="64" t="s">
        <v>40</v>
      </c>
      <c r="E35" s="69">
        <v>59.75</v>
      </c>
      <c r="F35" s="66">
        <f>SUM(E35*2/100)</f>
        <v>1.1950000000000001</v>
      </c>
      <c r="G35" s="13">
        <v>72.81</v>
      </c>
      <c r="H35" s="67">
        <f t="shared" si="5"/>
        <v>8.7007950000000014E-2</v>
      </c>
      <c r="I35" s="13">
        <v>0</v>
      </c>
      <c r="J35" s="23"/>
    </row>
    <row r="36" spans="1:14" ht="15.75" hidden="1" customHeight="1">
      <c r="A36" s="29">
        <v>9</v>
      </c>
      <c r="B36" s="64" t="s">
        <v>54</v>
      </c>
      <c r="C36" s="65" t="s">
        <v>93</v>
      </c>
      <c r="D36" s="64" t="s">
        <v>124</v>
      </c>
      <c r="E36" s="69">
        <v>479.7</v>
      </c>
      <c r="F36" s="66">
        <f>SUM(E36*5/1000)</f>
        <v>2.3984999999999999</v>
      </c>
      <c r="G36" s="13">
        <v>1213.55</v>
      </c>
      <c r="H36" s="67">
        <f t="shared" si="5"/>
        <v>2.910699675</v>
      </c>
      <c r="I36" s="13">
        <f>F36/5*G36</f>
        <v>582.13993499999992</v>
      </c>
      <c r="J36" s="23"/>
    </row>
    <row r="37" spans="1:14" ht="31.5" hidden="1" customHeight="1">
      <c r="A37" s="29"/>
      <c r="B37" s="64" t="s">
        <v>97</v>
      </c>
      <c r="C37" s="65" t="s">
        <v>93</v>
      </c>
      <c r="D37" s="64" t="s">
        <v>40</v>
      </c>
      <c r="E37" s="69">
        <v>479.7</v>
      </c>
      <c r="F37" s="66">
        <f>SUM(E37*2/1000)</f>
        <v>0.95940000000000003</v>
      </c>
      <c r="G37" s="13">
        <v>1213.55</v>
      </c>
      <c r="H37" s="67">
        <f t="shared" si="5"/>
        <v>1.1642798700000001</v>
      </c>
      <c r="I37" s="13">
        <v>0</v>
      </c>
      <c r="J37" s="23"/>
    </row>
    <row r="38" spans="1:14" ht="31.5" hidden="1" customHeight="1">
      <c r="A38" s="29"/>
      <c r="B38" s="64" t="s">
        <v>98</v>
      </c>
      <c r="C38" s="65" t="s">
        <v>36</v>
      </c>
      <c r="D38" s="64" t="s">
        <v>40</v>
      </c>
      <c r="E38" s="69">
        <v>4</v>
      </c>
      <c r="F38" s="66">
        <f>SUM(E38*2/100)</f>
        <v>0.08</v>
      </c>
      <c r="G38" s="13">
        <v>2730.49</v>
      </c>
      <c r="H38" s="67">
        <f t="shared" si="5"/>
        <v>0.2184392</v>
      </c>
      <c r="I38" s="13">
        <v>0</v>
      </c>
      <c r="J38" s="23"/>
      <c r="L38" s="19"/>
      <c r="M38" s="20"/>
      <c r="N38" s="21"/>
    </row>
    <row r="39" spans="1:14" ht="15.75" hidden="1" customHeight="1">
      <c r="A39" s="29"/>
      <c r="B39" s="64" t="s">
        <v>37</v>
      </c>
      <c r="C39" s="65" t="s">
        <v>38</v>
      </c>
      <c r="D39" s="64" t="s">
        <v>40</v>
      </c>
      <c r="E39" s="69">
        <v>1</v>
      </c>
      <c r="F39" s="66">
        <v>0.02</v>
      </c>
      <c r="G39" s="13">
        <v>5652.13</v>
      </c>
      <c r="H39" s="67">
        <f t="shared" si="5"/>
        <v>0.11304260000000001</v>
      </c>
      <c r="I39" s="13">
        <v>0</v>
      </c>
      <c r="J39" s="23"/>
      <c r="L39" s="19"/>
      <c r="M39" s="20"/>
      <c r="N39" s="21"/>
    </row>
    <row r="40" spans="1:14" ht="15.75" customHeight="1">
      <c r="A40" s="29">
        <v>4</v>
      </c>
      <c r="B40" s="64" t="s">
        <v>39</v>
      </c>
      <c r="C40" s="65" t="s">
        <v>86</v>
      </c>
      <c r="D40" s="122">
        <v>44067</v>
      </c>
      <c r="E40" s="69">
        <v>24</v>
      </c>
      <c r="F40" s="66">
        <f>SUM(E40)*3</f>
        <v>72</v>
      </c>
      <c r="G40" s="13">
        <v>65.67</v>
      </c>
      <c r="H40" s="67">
        <f t="shared" si="5"/>
        <v>4.7282399999999996</v>
      </c>
      <c r="I40" s="13">
        <f>E40*G40</f>
        <v>1576.08</v>
      </c>
      <c r="J40" s="23"/>
      <c r="L40" s="19"/>
      <c r="M40" s="20"/>
      <c r="N40" s="21"/>
    </row>
    <row r="41" spans="1:14" ht="15.75" hidden="1" customHeight="1">
      <c r="A41" s="145" t="s">
        <v>127</v>
      </c>
      <c r="B41" s="146"/>
      <c r="C41" s="146"/>
      <c r="D41" s="146"/>
      <c r="E41" s="146"/>
      <c r="F41" s="146"/>
      <c r="G41" s="146"/>
      <c r="H41" s="146"/>
      <c r="I41" s="147"/>
      <c r="J41" s="23"/>
      <c r="L41" s="19"/>
      <c r="M41" s="20"/>
      <c r="N41" s="21"/>
    </row>
    <row r="42" spans="1:14" ht="24.75" hidden="1" customHeight="1">
      <c r="A42" s="29"/>
      <c r="B42" s="88" t="s">
        <v>41</v>
      </c>
      <c r="C42" s="65"/>
      <c r="D42" s="64"/>
      <c r="E42" s="69"/>
      <c r="F42" s="66"/>
      <c r="G42" s="66"/>
      <c r="H42" s="67"/>
      <c r="I42" s="72"/>
      <c r="J42" s="23"/>
      <c r="L42" s="19"/>
      <c r="M42" s="20"/>
      <c r="N42" s="21"/>
    </row>
    <row r="43" spans="1:14" ht="24.75" hidden="1" customHeight="1">
      <c r="A43" s="29">
        <v>11</v>
      </c>
      <c r="B43" s="64" t="s">
        <v>119</v>
      </c>
      <c r="C43" s="65" t="s">
        <v>89</v>
      </c>
      <c r="D43" s="64" t="s">
        <v>99</v>
      </c>
      <c r="E43" s="69">
        <v>57.85</v>
      </c>
      <c r="F43" s="66">
        <f>SUM(E43*6/100)</f>
        <v>3.4710000000000001</v>
      </c>
      <c r="G43" s="13">
        <v>1547.28</v>
      </c>
      <c r="H43" s="67">
        <f>SUM(F43*G43/1000)</f>
        <v>5.3706088799999998</v>
      </c>
      <c r="I43" s="13">
        <f>F43/6*G43</f>
        <v>895.10148000000004</v>
      </c>
      <c r="J43" s="23"/>
      <c r="L43" s="19"/>
      <c r="M43" s="20"/>
      <c r="N43" s="21"/>
    </row>
    <row r="44" spans="1:14" ht="26.25" hidden="1" customHeight="1">
      <c r="A44" s="29"/>
      <c r="B44" s="88" t="s">
        <v>42</v>
      </c>
      <c r="C44" s="65"/>
      <c r="D44" s="64"/>
      <c r="E44" s="69"/>
      <c r="F44" s="66"/>
      <c r="G44" s="59"/>
      <c r="H44" s="67"/>
      <c r="I44" s="72"/>
      <c r="J44" s="23"/>
      <c r="L44" s="19"/>
      <c r="M44" s="20"/>
      <c r="N44" s="21"/>
    </row>
    <row r="45" spans="1:14" ht="24" hidden="1" customHeight="1">
      <c r="A45" s="29"/>
      <c r="B45" s="64" t="s">
        <v>43</v>
      </c>
      <c r="C45" s="65" t="s">
        <v>89</v>
      </c>
      <c r="D45" s="64" t="s">
        <v>52</v>
      </c>
      <c r="E45" s="69">
        <v>479.7</v>
      </c>
      <c r="F45" s="67">
        <v>4.8</v>
      </c>
      <c r="G45" s="13">
        <v>793.61</v>
      </c>
      <c r="H45" s="73">
        <f>F45*G45/1000</f>
        <v>3.8093279999999998</v>
      </c>
      <c r="I45" s="13">
        <v>0</v>
      </c>
      <c r="J45" s="23"/>
      <c r="L45" s="19"/>
      <c r="M45" s="20"/>
      <c r="N45" s="21"/>
    </row>
    <row r="46" spans="1:14" ht="29.25" hidden="1" customHeight="1">
      <c r="A46" s="29"/>
      <c r="B46" s="88" t="s">
        <v>100</v>
      </c>
      <c r="C46" s="65"/>
      <c r="D46" s="64"/>
      <c r="E46" s="69"/>
      <c r="F46" s="66"/>
      <c r="G46" s="74"/>
      <c r="H46" s="67" t="s">
        <v>110</v>
      </c>
      <c r="I46" s="72"/>
      <c r="J46" s="23"/>
      <c r="L46" s="19"/>
      <c r="M46" s="20"/>
      <c r="N46" s="21"/>
    </row>
    <row r="47" spans="1:14" ht="27" hidden="1" customHeight="1">
      <c r="A47" s="29"/>
      <c r="B47" s="64" t="s">
        <v>101</v>
      </c>
      <c r="C47" s="65" t="s">
        <v>86</v>
      </c>
      <c r="D47" s="64" t="s">
        <v>64</v>
      </c>
      <c r="E47" s="69">
        <v>3</v>
      </c>
      <c r="F47" s="66">
        <f>SUM(E47)</f>
        <v>3</v>
      </c>
      <c r="G47" s="75">
        <v>237.75</v>
      </c>
      <c r="H47" s="67">
        <f t="shared" ref="H47:H61" si="6">SUM(F47*G47/1000)</f>
        <v>0.71325000000000005</v>
      </c>
      <c r="I47" s="13">
        <v>0</v>
      </c>
      <c r="J47" s="23"/>
      <c r="L47" s="19"/>
      <c r="M47" s="20"/>
      <c r="N47" s="21"/>
    </row>
    <row r="48" spans="1:14" ht="30" hidden="1" customHeight="1">
      <c r="A48" s="29"/>
      <c r="B48" s="89" t="s">
        <v>44</v>
      </c>
      <c r="C48" s="76"/>
      <c r="D48" s="77"/>
      <c r="E48" s="78"/>
      <c r="F48" s="79"/>
      <c r="G48" s="79"/>
      <c r="H48" s="80" t="s">
        <v>110</v>
      </c>
      <c r="I48" s="72"/>
      <c r="J48" s="23"/>
      <c r="L48" s="19"/>
      <c r="M48" s="20"/>
      <c r="N48" s="21"/>
    </row>
    <row r="49" spans="1:22" ht="30.75" hidden="1" customHeight="1">
      <c r="A49" s="29"/>
      <c r="B49" s="14" t="s">
        <v>45</v>
      </c>
      <c r="C49" s="16" t="s">
        <v>86</v>
      </c>
      <c r="D49" s="64" t="s">
        <v>64</v>
      </c>
      <c r="E49" s="18">
        <v>5</v>
      </c>
      <c r="F49" s="66">
        <v>5</v>
      </c>
      <c r="G49" s="13">
        <v>222.4</v>
      </c>
      <c r="H49" s="81">
        <f t="shared" si="6"/>
        <v>1.1120000000000001</v>
      </c>
      <c r="I49" s="13">
        <v>0</v>
      </c>
      <c r="J49" s="23"/>
      <c r="L49" s="19"/>
      <c r="M49" s="20"/>
      <c r="N49" s="21"/>
    </row>
    <row r="50" spans="1:22" ht="28.5" hidden="1" customHeight="1">
      <c r="A50" s="29"/>
      <c r="B50" s="14" t="s">
        <v>46</v>
      </c>
      <c r="C50" s="16" t="s">
        <v>86</v>
      </c>
      <c r="D50" s="64" t="s">
        <v>64</v>
      </c>
      <c r="E50" s="18">
        <v>3</v>
      </c>
      <c r="F50" s="66">
        <v>3</v>
      </c>
      <c r="G50" s="13">
        <v>76.25</v>
      </c>
      <c r="H50" s="81">
        <f t="shared" si="6"/>
        <v>0.22875000000000001</v>
      </c>
      <c r="I50" s="13">
        <v>0</v>
      </c>
      <c r="J50" s="23"/>
      <c r="L50" s="19"/>
      <c r="M50" s="20"/>
      <c r="N50" s="21"/>
    </row>
    <row r="51" spans="1:22" ht="30" hidden="1" customHeight="1">
      <c r="A51" s="29"/>
      <c r="B51" s="14" t="s">
        <v>47</v>
      </c>
      <c r="C51" s="16" t="s">
        <v>102</v>
      </c>
      <c r="D51" s="14" t="s">
        <v>52</v>
      </c>
      <c r="E51" s="69">
        <v>2753</v>
      </c>
      <c r="F51" s="13">
        <f>SUM(E51/100)</f>
        <v>27.53</v>
      </c>
      <c r="G51" s="13">
        <v>212.15</v>
      </c>
      <c r="H51" s="81">
        <f t="shared" si="6"/>
        <v>5.8404895000000003</v>
      </c>
      <c r="I51" s="13">
        <v>0</v>
      </c>
      <c r="J51" s="23"/>
      <c r="L51" s="19"/>
      <c r="M51" s="20"/>
      <c r="N51" s="21"/>
    </row>
    <row r="52" spans="1:22" ht="28.5" hidden="1" customHeight="1">
      <c r="A52" s="29"/>
      <c r="B52" s="14" t="s">
        <v>48</v>
      </c>
      <c r="C52" s="16" t="s">
        <v>103</v>
      </c>
      <c r="D52" s="14"/>
      <c r="E52" s="69">
        <v>2753</v>
      </c>
      <c r="F52" s="13">
        <f>SUM(E52/1000)</f>
        <v>2.7530000000000001</v>
      </c>
      <c r="G52" s="13">
        <v>165.21</v>
      </c>
      <c r="H52" s="81">
        <f t="shared" si="6"/>
        <v>0.45482313000000008</v>
      </c>
      <c r="I52" s="13">
        <v>0</v>
      </c>
      <c r="J52" s="23"/>
      <c r="L52" s="19"/>
      <c r="M52" s="20"/>
      <c r="N52" s="21"/>
    </row>
    <row r="53" spans="1:22" ht="30" hidden="1" customHeight="1">
      <c r="A53" s="29"/>
      <c r="B53" s="14" t="s">
        <v>49</v>
      </c>
      <c r="C53" s="16" t="s">
        <v>78</v>
      </c>
      <c r="D53" s="14" t="s">
        <v>52</v>
      </c>
      <c r="E53" s="69">
        <v>440</v>
      </c>
      <c r="F53" s="13">
        <f>SUM(E53/100)</f>
        <v>4.4000000000000004</v>
      </c>
      <c r="G53" s="13">
        <v>2074.63</v>
      </c>
      <c r="H53" s="81">
        <f t="shared" si="6"/>
        <v>9.1283720000000006</v>
      </c>
      <c r="I53" s="13">
        <v>0</v>
      </c>
      <c r="J53" s="23"/>
      <c r="L53" s="19"/>
      <c r="M53" s="20"/>
      <c r="N53" s="21"/>
    </row>
    <row r="54" spans="1:22" ht="25.5" hidden="1" customHeight="1">
      <c r="A54" s="29"/>
      <c r="B54" s="82" t="s">
        <v>72</v>
      </c>
      <c r="C54" s="16" t="s">
        <v>31</v>
      </c>
      <c r="D54" s="14"/>
      <c r="E54" s="69">
        <v>2.8</v>
      </c>
      <c r="F54" s="13">
        <f>SUM(E54)</f>
        <v>2.8</v>
      </c>
      <c r="G54" s="13">
        <v>45.32</v>
      </c>
      <c r="H54" s="81">
        <f t="shared" si="6"/>
        <v>0.12689599999999998</v>
      </c>
      <c r="I54" s="13">
        <v>0</v>
      </c>
      <c r="J54" s="23"/>
      <c r="L54" s="19"/>
      <c r="M54" s="20"/>
      <c r="N54" s="21"/>
    </row>
    <row r="55" spans="1:22" ht="19.5" hidden="1" customHeight="1">
      <c r="A55" s="29"/>
      <c r="B55" s="82" t="s">
        <v>73</v>
      </c>
      <c r="C55" s="16" t="s">
        <v>31</v>
      </c>
      <c r="D55" s="14"/>
      <c r="E55" s="69">
        <v>2.8</v>
      </c>
      <c r="F55" s="13">
        <f>SUM(E55)</f>
        <v>2.8</v>
      </c>
      <c r="G55" s="13">
        <v>42.28</v>
      </c>
      <c r="H55" s="81">
        <f t="shared" si="6"/>
        <v>0.118384</v>
      </c>
      <c r="I55" s="13">
        <v>0</v>
      </c>
      <c r="J55" s="23"/>
      <c r="L55" s="19"/>
      <c r="M55" s="20"/>
      <c r="N55" s="21"/>
    </row>
    <row r="56" spans="1:22" ht="21" hidden="1" customHeight="1">
      <c r="A56" s="29"/>
      <c r="B56" s="14" t="s">
        <v>55</v>
      </c>
      <c r="C56" s="16" t="s">
        <v>56</v>
      </c>
      <c r="D56" s="14" t="s">
        <v>52</v>
      </c>
      <c r="E56" s="18">
        <v>3</v>
      </c>
      <c r="F56" s="66">
        <f>SUM(E56)</f>
        <v>3</v>
      </c>
      <c r="G56" s="13">
        <v>49.88</v>
      </c>
      <c r="H56" s="81">
        <f t="shared" si="6"/>
        <v>0.14964000000000002</v>
      </c>
      <c r="I56" s="13">
        <v>0</v>
      </c>
      <c r="J56" s="23"/>
      <c r="L56" s="19"/>
      <c r="M56" s="20"/>
      <c r="N56" s="21"/>
    </row>
    <row r="57" spans="1:22" ht="14.25" hidden="1" customHeight="1">
      <c r="A57" s="29"/>
      <c r="B57" s="56" t="s">
        <v>74</v>
      </c>
      <c r="C57" s="16"/>
      <c r="D57" s="14"/>
      <c r="E57" s="18"/>
      <c r="F57" s="13"/>
      <c r="G57" s="13"/>
      <c r="H57" s="81" t="s">
        <v>110</v>
      </c>
      <c r="I57" s="72"/>
      <c r="J57" s="23"/>
      <c r="L57" s="19"/>
      <c r="M57" s="20"/>
      <c r="N57" s="21"/>
    </row>
    <row r="58" spans="1:22" ht="19.5" hidden="1" customHeight="1">
      <c r="A58" s="29">
        <v>6</v>
      </c>
      <c r="B58" s="14" t="s">
        <v>75</v>
      </c>
      <c r="C58" s="16" t="s">
        <v>76</v>
      </c>
      <c r="D58" s="14"/>
      <c r="E58" s="18">
        <v>15</v>
      </c>
      <c r="F58" s="13">
        <v>1.5</v>
      </c>
      <c r="G58" s="13">
        <v>501.62</v>
      </c>
      <c r="H58" s="81">
        <f t="shared" si="6"/>
        <v>0.75243000000000004</v>
      </c>
      <c r="I58" s="13">
        <f>G58*0.3</f>
        <v>150.48599999999999</v>
      </c>
      <c r="J58" s="23"/>
      <c r="L58" s="19"/>
    </row>
    <row r="59" spans="1:22" ht="30.75" hidden="1" customHeight="1">
      <c r="A59" s="29"/>
      <c r="B59" s="14" t="s">
        <v>106</v>
      </c>
      <c r="C59" s="16" t="s">
        <v>86</v>
      </c>
      <c r="D59" s="14"/>
      <c r="E59" s="18">
        <v>1</v>
      </c>
      <c r="F59" s="66">
        <f>SUM(E59)</f>
        <v>1</v>
      </c>
      <c r="G59" s="13">
        <v>358.51</v>
      </c>
      <c r="H59" s="81">
        <f t="shared" si="6"/>
        <v>0.35851</v>
      </c>
      <c r="I59" s="13">
        <v>0</v>
      </c>
    </row>
    <row r="60" spans="1:22" ht="30.75" hidden="1" customHeight="1">
      <c r="A60" s="29"/>
      <c r="B60" s="84" t="s">
        <v>77</v>
      </c>
      <c r="C60" s="16"/>
      <c r="D60" s="14"/>
      <c r="E60" s="18"/>
      <c r="F60" s="13"/>
      <c r="G60" s="13" t="s">
        <v>110</v>
      </c>
      <c r="H60" s="81" t="s">
        <v>110</v>
      </c>
      <c r="I60" s="72"/>
    </row>
    <row r="61" spans="1:22" ht="30" hidden="1" customHeight="1">
      <c r="A61" s="29"/>
      <c r="B61" s="42" t="s">
        <v>107</v>
      </c>
      <c r="C61" s="16" t="s">
        <v>78</v>
      </c>
      <c r="D61" s="14"/>
      <c r="E61" s="18"/>
      <c r="F61" s="13">
        <v>0.3</v>
      </c>
      <c r="G61" s="13">
        <v>2759.44</v>
      </c>
      <c r="H61" s="81">
        <f t="shared" si="6"/>
        <v>0.82783200000000001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35.25" hidden="1" customHeight="1">
      <c r="A62" s="29"/>
      <c r="B62" s="56" t="s">
        <v>104</v>
      </c>
      <c r="C62" s="84"/>
      <c r="D62" s="31"/>
      <c r="E62" s="32"/>
      <c r="F62" s="85"/>
      <c r="G62" s="85"/>
      <c r="H62" s="86">
        <f>SUM(H43:H61)</f>
        <v>28.991313509999998</v>
      </c>
      <c r="I62" s="71"/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36" hidden="1" customHeight="1">
      <c r="A63" s="29"/>
      <c r="B63" s="64" t="s">
        <v>105</v>
      </c>
      <c r="C63" s="16"/>
      <c r="D63" s="14"/>
      <c r="E63" s="60"/>
      <c r="F63" s="13">
        <v>1</v>
      </c>
      <c r="G63" s="13">
        <v>2119.1999999999998</v>
      </c>
      <c r="H63" s="81">
        <f>G63*F63/1000</f>
        <v>2.1191999999999998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145" t="s">
        <v>128</v>
      </c>
      <c r="B64" s="146"/>
      <c r="C64" s="146"/>
      <c r="D64" s="146"/>
      <c r="E64" s="146"/>
      <c r="F64" s="146"/>
      <c r="G64" s="146"/>
      <c r="H64" s="146"/>
      <c r="I64" s="147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29">
        <v>5</v>
      </c>
      <c r="B65" s="64" t="s">
        <v>108</v>
      </c>
      <c r="C65" s="16" t="s">
        <v>53</v>
      </c>
      <c r="D65" s="45"/>
      <c r="E65" s="13">
        <v>737</v>
      </c>
      <c r="F65" s="13">
        <f>SUM(E65*12)</f>
        <v>8844</v>
      </c>
      <c r="G65" s="13">
        <v>2.1</v>
      </c>
      <c r="H65" s="81">
        <f>SUM(F65*G65/1000)</f>
        <v>18.572400000000002</v>
      </c>
      <c r="I65" s="13">
        <f>F65/12*G65</f>
        <v>1547.7</v>
      </c>
      <c r="J65" s="5"/>
      <c r="K65" s="5"/>
      <c r="L65" s="5"/>
      <c r="M65" s="5"/>
      <c r="N65" s="5"/>
      <c r="O65" s="5"/>
      <c r="P65" s="5"/>
      <c r="Q65" s="5"/>
      <c r="R65" s="144"/>
      <c r="S65" s="144"/>
      <c r="T65" s="144"/>
      <c r="U65" s="144"/>
    </row>
    <row r="66" spans="1:21" ht="31.5" customHeight="1">
      <c r="A66" s="29">
        <v>6</v>
      </c>
      <c r="B66" s="14" t="s">
        <v>79</v>
      </c>
      <c r="C66" s="16"/>
      <c r="D66" s="45"/>
      <c r="E66" s="69">
        <f>E65</f>
        <v>737</v>
      </c>
      <c r="F66" s="13">
        <f>E66*12</f>
        <v>8844</v>
      </c>
      <c r="G66" s="13">
        <v>1.63</v>
      </c>
      <c r="H66" s="81">
        <f>F66*G66/1000</f>
        <v>14.415719999999999</v>
      </c>
      <c r="I66" s="13">
        <f>F66/12*G66</f>
        <v>1201.31</v>
      </c>
      <c r="J66" s="5"/>
      <c r="K66" s="5"/>
      <c r="L66" s="5"/>
      <c r="M66" s="5"/>
      <c r="N66" s="5"/>
      <c r="O66" s="5"/>
      <c r="P66" s="5"/>
      <c r="Q66" s="5"/>
      <c r="R66" s="54"/>
      <c r="S66" s="54"/>
      <c r="T66" s="54"/>
      <c r="U66" s="54"/>
    </row>
    <row r="67" spans="1:21" ht="15.75" customHeight="1">
      <c r="A67" s="29"/>
      <c r="B67" s="35" t="s">
        <v>81</v>
      </c>
      <c r="C67" s="84"/>
      <c r="D67" s="83"/>
      <c r="E67" s="85"/>
      <c r="F67" s="85"/>
      <c r="G67" s="85"/>
      <c r="H67" s="86">
        <f>SUM(H66)</f>
        <v>14.415719999999999</v>
      </c>
      <c r="I67" s="85">
        <f>I66+I65+I40+I20+I19+I16</f>
        <v>6377.0916243333331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148" t="s">
        <v>58</v>
      </c>
      <c r="B68" s="149"/>
      <c r="C68" s="149"/>
      <c r="D68" s="149"/>
      <c r="E68" s="149"/>
      <c r="F68" s="149"/>
      <c r="G68" s="149"/>
      <c r="H68" s="149"/>
      <c r="I68" s="150"/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16.5" customHeight="1">
      <c r="A69" s="29">
        <v>7</v>
      </c>
      <c r="B69" s="101" t="s">
        <v>144</v>
      </c>
      <c r="C69" s="16" t="s">
        <v>145</v>
      </c>
      <c r="D69" s="42"/>
      <c r="E69" s="13"/>
      <c r="F69" s="13">
        <v>200</v>
      </c>
      <c r="G69" s="13">
        <v>1.4</v>
      </c>
      <c r="H69" s="81">
        <f>SUM(F69*G69/1000)</f>
        <v>0.28000000000000003</v>
      </c>
      <c r="I69" s="13">
        <f>G69*100</f>
        <v>140</v>
      </c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31.5" hidden="1" customHeight="1">
      <c r="A70" s="29">
        <v>9</v>
      </c>
      <c r="B70" s="48"/>
      <c r="C70" s="87"/>
      <c r="D70" s="97"/>
      <c r="E70" s="34"/>
      <c r="F70" s="34">
        <v>2</v>
      </c>
      <c r="G70" s="34"/>
      <c r="H70" s="81">
        <f t="shared" ref="H70" si="7">G70*F70/1000</f>
        <v>0</v>
      </c>
      <c r="I70" s="13"/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18" customHeight="1">
      <c r="A71" s="29">
        <v>8</v>
      </c>
      <c r="B71" s="50" t="s">
        <v>181</v>
      </c>
      <c r="C71" s="51" t="s">
        <v>148</v>
      </c>
      <c r="D71" s="97"/>
      <c r="E71" s="34"/>
      <c r="F71" s="105">
        <v>12</v>
      </c>
      <c r="G71" s="105">
        <v>284</v>
      </c>
      <c r="H71" s="81"/>
      <c r="I71" s="13">
        <f>G71*2</f>
        <v>568</v>
      </c>
      <c r="J71" s="5"/>
      <c r="K71" s="5"/>
      <c r="L71" s="5"/>
      <c r="M71" s="5"/>
      <c r="N71" s="5"/>
      <c r="O71" s="5"/>
      <c r="P71" s="5"/>
      <c r="Q71" s="5"/>
      <c r="R71" s="130"/>
      <c r="S71" s="130"/>
      <c r="T71" s="130"/>
      <c r="U71" s="130"/>
    </row>
    <row r="72" spans="1:21" ht="15.75" customHeight="1">
      <c r="A72" s="29"/>
      <c r="B72" s="40" t="s">
        <v>50</v>
      </c>
      <c r="C72" s="36"/>
      <c r="D72" s="43"/>
      <c r="E72" s="36">
        <v>1</v>
      </c>
      <c r="F72" s="36"/>
      <c r="G72" s="36"/>
      <c r="H72" s="36"/>
      <c r="I72" s="32">
        <f>SUM(I69:I71)</f>
        <v>708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75" customHeight="1">
      <c r="A73" s="29"/>
      <c r="B73" s="42" t="s">
        <v>80</v>
      </c>
      <c r="C73" s="15"/>
      <c r="D73" s="15"/>
      <c r="E73" s="37"/>
      <c r="F73" s="37"/>
      <c r="G73" s="38"/>
      <c r="H73" s="38"/>
      <c r="I73" s="17">
        <v>0</v>
      </c>
    </row>
    <row r="74" spans="1:21" ht="15.75" customHeight="1">
      <c r="A74" s="44"/>
      <c r="B74" s="41" t="s">
        <v>138</v>
      </c>
      <c r="C74" s="33"/>
      <c r="D74" s="33"/>
      <c r="E74" s="33"/>
      <c r="F74" s="33"/>
      <c r="G74" s="33"/>
      <c r="H74" s="33"/>
      <c r="I74" s="39">
        <f>I67+I72</f>
        <v>7085.0916243333331</v>
      </c>
    </row>
    <row r="75" spans="1:21" ht="15.75" customHeight="1">
      <c r="A75" s="157" t="s">
        <v>200</v>
      </c>
      <c r="B75" s="157"/>
      <c r="C75" s="157"/>
      <c r="D75" s="157"/>
      <c r="E75" s="157"/>
      <c r="F75" s="157"/>
      <c r="G75" s="157"/>
      <c r="H75" s="157"/>
      <c r="I75" s="157"/>
    </row>
    <row r="76" spans="1:21" ht="15.75">
      <c r="A76" s="58"/>
      <c r="B76" s="158" t="s">
        <v>201</v>
      </c>
      <c r="C76" s="158"/>
      <c r="D76" s="158"/>
      <c r="E76" s="158"/>
      <c r="F76" s="158"/>
      <c r="G76" s="158"/>
      <c r="H76" s="63"/>
      <c r="I76" s="3"/>
    </row>
    <row r="77" spans="1:21">
      <c r="A77" s="54"/>
      <c r="B77" s="154" t="s">
        <v>6</v>
      </c>
      <c r="C77" s="154"/>
      <c r="D77" s="154"/>
      <c r="E77" s="154"/>
      <c r="F77" s="154"/>
      <c r="G77" s="154"/>
      <c r="H77" s="24"/>
      <c r="I77" s="5"/>
    </row>
    <row r="78" spans="1:21">
      <c r="A78" s="10"/>
      <c r="B78" s="10"/>
      <c r="C78" s="10"/>
      <c r="D78" s="10"/>
      <c r="E78" s="10"/>
      <c r="F78" s="10"/>
      <c r="G78" s="10"/>
      <c r="H78" s="10"/>
      <c r="I78" s="10"/>
    </row>
    <row r="79" spans="1:21" ht="15.75" customHeight="1">
      <c r="A79" s="141" t="s">
        <v>7</v>
      </c>
      <c r="B79" s="141"/>
      <c r="C79" s="141"/>
      <c r="D79" s="141"/>
      <c r="E79" s="141"/>
      <c r="F79" s="141"/>
      <c r="G79" s="141"/>
      <c r="H79" s="141"/>
      <c r="I79" s="141"/>
    </row>
    <row r="80" spans="1:21" ht="15.75">
      <c r="A80" s="141" t="s">
        <v>8</v>
      </c>
      <c r="B80" s="141"/>
      <c r="C80" s="141"/>
      <c r="D80" s="141"/>
      <c r="E80" s="141"/>
      <c r="F80" s="141"/>
      <c r="G80" s="141"/>
      <c r="H80" s="141"/>
      <c r="I80" s="141"/>
    </row>
    <row r="81" spans="1:9" ht="15.75">
      <c r="A81" s="142" t="s">
        <v>59</v>
      </c>
      <c r="B81" s="142"/>
      <c r="C81" s="142"/>
      <c r="D81" s="142"/>
      <c r="E81" s="142"/>
      <c r="F81" s="142"/>
      <c r="G81" s="142"/>
      <c r="H81" s="142"/>
      <c r="I81" s="142"/>
    </row>
    <row r="82" spans="1:9" ht="15.75" customHeight="1">
      <c r="A82" s="11"/>
    </row>
    <row r="83" spans="1:9" ht="15.75" customHeight="1">
      <c r="A83" s="152" t="s">
        <v>9</v>
      </c>
      <c r="B83" s="152"/>
      <c r="C83" s="152"/>
      <c r="D83" s="152"/>
      <c r="E83" s="152"/>
      <c r="F83" s="152"/>
      <c r="G83" s="152"/>
      <c r="H83" s="152"/>
      <c r="I83" s="152"/>
    </row>
    <row r="84" spans="1:9" ht="15.75" customHeight="1">
      <c r="A84" s="4"/>
    </row>
    <row r="85" spans="1:9" ht="15.75" customHeight="1">
      <c r="B85" s="55" t="s">
        <v>10</v>
      </c>
      <c r="C85" s="153" t="s">
        <v>85</v>
      </c>
      <c r="D85" s="153"/>
      <c r="E85" s="153"/>
      <c r="F85" s="61"/>
      <c r="I85" s="53"/>
    </row>
    <row r="86" spans="1:9" ht="15.75" customHeight="1">
      <c r="A86" s="54"/>
      <c r="C86" s="154" t="s">
        <v>11</v>
      </c>
      <c r="D86" s="154"/>
      <c r="E86" s="154"/>
      <c r="F86" s="24"/>
      <c r="I86" s="52" t="s">
        <v>12</v>
      </c>
    </row>
    <row r="87" spans="1:9" ht="15.75" customHeight="1">
      <c r="A87" s="25"/>
      <c r="C87" s="12"/>
      <c r="D87" s="12"/>
      <c r="G87" s="12"/>
      <c r="H87" s="12"/>
    </row>
    <row r="88" spans="1:9" ht="15.75" customHeight="1">
      <c r="B88" s="55" t="s">
        <v>13</v>
      </c>
      <c r="C88" s="155"/>
      <c r="D88" s="155"/>
      <c r="E88" s="155"/>
      <c r="F88" s="62"/>
      <c r="I88" s="53"/>
    </row>
    <row r="89" spans="1:9" ht="15.75" customHeight="1">
      <c r="A89" s="54"/>
      <c r="C89" s="144" t="s">
        <v>11</v>
      </c>
      <c r="D89" s="144"/>
      <c r="E89" s="144"/>
      <c r="F89" s="54"/>
      <c r="I89" s="52" t="s">
        <v>12</v>
      </c>
    </row>
    <row r="90" spans="1:9" ht="15.75" customHeight="1">
      <c r="A90" s="4" t="s">
        <v>14</v>
      </c>
    </row>
    <row r="91" spans="1:9">
      <c r="A91" s="156" t="s">
        <v>15</v>
      </c>
      <c r="B91" s="156"/>
      <c r="C91" s="156"/>
      <c r="D91" s="156"/>
      <c r="E91" s="156"/>
      <c r="F91" s="156"/>
      <c r="G91" s="156"/>
      <c r="H91" s="156"/>
      <c r="I91" s="156"/>
    </row>
    <row r="92" spans="1:9" ht="45" customHeight="1">
      <c r="A92" s="151" t="s">
        <v>16</v>
      </c>
      <c r="B92" s="151"/>
      <c r="C92" s="151"/>
      <c r="D92" s="151"/>
      <c r="E92" s="151"/>
      <c r="F92" s="151"/>
      <c r="G92" s="151"/>
      <c r="H92" s="151"/>
      <c r="I92" s="151"/>
    </row>
    <row r="93" spans="1:9" ht="30" customHeight="1">
      <c r="A93" s="151" t="s">
        <v>17</v>
      </c>
      <c r="B93" s="151"/>
      <c r="C93" s="151"/>
      <c r="D93" s="151"/>
      <c r="E93" s="151"/>
      <c r="F93" s="151"/>
      <c r="G93" s="151"/>
      <c r="H93" s="151"/>
      <c r="I93" s="151"/>
    </row>
    <row r="94" spans="1:9" ht="30" customHeight="1">
      <c r="A94" s="151" t="s">
        <v>21</v>
      </c>
      <c r="B94" s="151"/>
      <c r="C94" s="151"/>
      <c r="D94" s="151"/>
      <c r="E94" s="151"/>
      <c r="F94" s="151"/>
      <c r="G94" s="151"/>
      <c r="H94" s="151"/>
      <c r="I94" s="151"/>
    </row>
    <row r="95" spans="1:9" ht="15" customHeight="1">
      <c r="A95" s="151" t="s">
        <v>20</v>
      </c>
      <c r="B95" s="151"/>
      <c r="C95" s="151"/>
      <c r="D95" s="151"/>
      <c r="E95" s="151"/>
      <c r="F95" s="151"/>
      <c r="G95" s="151"/>
      <c r="H95" s="151"/>
      <c r="I95" s="151"/>
    </row>
  </sheetData>
  <autoFilter ref="I12:I60"/>
  <mergeCells count="29">
    <mergeCell ref="A92:I92"/>
    <mergeCell ref="A93:I93"/>
    <mergeCell ref="A94:I94"/>
    <mergeCell ref="A95:I95"/>
    <mergeCell ref="A83:I83"/>
    <mergeCell ref="C85:E85"/>
    <mergeCell ref="C86:E86"/>
    <mergeCell ref="C88:E88"/>
    <mergeCell ref="C89:E89"/>
    <mergeCell ref="A91:I91"/>
    <mergeCell ref="A81:I81"/>
    <mergeCell ref="A15:I15"/>
    <mergeCell ref="A17:I17"/>
    <mergeCell ref="A31:I31"/>
    <mergeCell ref="A41:I41"/>
    <mergeCell ref="A64:I64"/>
    <mergeCell ref="A75:I75"/>
    <mergeCell ref="B76:G76"/>
    <mergeCell ref="B77:G77"/>
    <mergeCell ref="A79:I79"/>
    <mergeCell ref="A80:I80"/>
    <mergeCell ref="A68:I68"/>
    <mergeCell ref="R65:U6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1"/>
  <sheetViews>
    <sheetView topLeftCell="A41" workbookViewId="0">
      <selection activeCell="J85" sqref="J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140625" hidden="1" customWidth="1"/>
    <col min="7" max="7" width="22.7109375" customWidth="1"/>
    <col min="8" max="8" width="22.7109375" hidden="1" customWidth="1"/>
    <col min="9" max="9" width="22.7109375" customWidth="1"/>
    <col min="10" max="10" width="11.140625" customWidth="1"/>
  </cols>
  <sheetData>
    <row r="1" spans="1:13" ht="15.75" customHeight="1">
      <c r="A1" s="27" t="s">
        <v>146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136" t="s">
        <v>135</v>
      </c>
      <c r="B3" s="136"/>
      <c r="C3" s="136"/>
      <c r="D3" s="136"/>
      <c r="E3" s="136"/>
      <c r="F3" s="136"/>
      <c r="G3" s="136"/>
      <c r="H3" s="136"/>
      <c r="I3" s="136"/>
      <c r="J3" s="3"/>
      <c r="K3" s="3"/>
      <c r="L3" s="3"/>
    </row>
    <row r="4" spans="1:13" ht="31.5" customHeight="1">
      <c r="A4" s="137" t="s">
        <v>109</v>
      </c>
      <c r="B4" s="137"/>
      <c r="C4" s="137"/>
      <c r="D4" s="137"/>
      <c r="E4" s="137"/>
      <c r="F4" s="137"/>
      <c r="G4" s="137"/>
      <c r="H4" s="137"/>
      <c r="I4" s="137"/>
    </row>
    <row r="5" spans="1:13" ht="15.75" customHeight="1">
      <c r="A5" s="136" t="s">
        <v>202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57"/>
      <c r="G6" s="57"/>
      <c r="H6" s="57"/>
      <c r="I6" s="30">
        <v>44104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147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137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5" t="s">
        <v>57</v>
      </c>
      <c r="B14" s="135"/>
      <c r="C14" s="135"/>
      <c r="D14" s="135"/>
      <c r="E14" s="135"/>
      <c r="F14" s="135"/>
      <c r="G14" s="135"/>
      <c r="H14" s="135"/>
      <c r="I14" s="135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118" t="s">
        <v>150</v>
      </c>
      <c r="C16" s="119" t="s">
        <v>145</v>
      </c>
      <c r="D16" s="118" t="s">
        <v>160</v>
      </c>
      <c r="E16" s="120">
        <v>1.86</v>
      </c>
      <c r="F16" s="121">
        <f>E16*258</f>
        <v>479.88000000000005</v>
      </c>
      <c r="G16" s="121">
        <v>10.39</v>
      </c>
      <c r="H16" s="67">
        <f>SUM(F16*G16/1000)</f>
        <v>4.9859532000000009</v>
      </c>
      <c r="I16" s="13">
        <f>F16/12*G16</f>
        <v>415.49610000000007</v>
      </c>
      <c r="J16" s="22"/>
      <c r="K16" s="8"/>
      <c r="L16" s="8"/>
      <c r="M16" s="8"/>
    </row>
    <row r="17" spans="1:13" ht="15.75" customHeight="1">
      <c r="A17" s="145" t="s">
        <v>84</v>
      </c>
      <c r="B17" s="146"/>
      <c r="C17" s="146"/>
      <c r="D17" s="146"/>
      <c r="E17" s="146"/>
      <c r="F17" s="146"/>
      <c r="G17" s="146"/>
      <c r="H17" s="146"/>
      <c r="I17" s="147"/>
      <c r="J17" s="22"/>
      <c r="K17" s="8"/>
      <c r="L17" s="8"/>
      <c r="M17" s="8"/>
    </row>
    <row r="18" spans="1:13" ht="15.75" customHeight="1">
      <c r="A18" s="29"/>
      <c r="B18" s="88" t="s">
        <v>27</v>
      </c>
      <c r="C18" s="65"/>
      <c r="D18" s="70"/>
      <c r="E18" s="69"/>
      <c r="F18" s="66"/>
      <c r="G18" s="66"/>
      <c r="H18" s="67"/>
      <c r="I18" s="13"/>
      <c r="J18" s="22"/>
      <c r="K18" s="8"/>
      <c r="L18" s="8"/>
      <c r="M18" s="8"/>
    </row>
    <row r="19" spans="1:13" ht="15.75" customHeight="1">
      <c r="A19" s="29">
        <v>2</v>
      </c>
      <c r="B19" s="64" t="s">
        <v>92</v>
      </c>
      <c r="C19" s="65" t="s">
        <v>93</v>
      </c>
      <c r="D19" s="64" t="s">
        <v>156</v>
      </c>
      <c r="E19" s="66">
        <v>783.5</v>
      </c>
      <c r="F19" s="66">
        <f>SUM(E19*52/1000)</f>
        <v>40.741999999999997</v>
      </c>
      <c r="G19" s="66">
        <v>155.88999999999999</v>
      </c>
      <c r="H19" s="67">
        <f t="shared" ref="H19:H20" si="0">SUM(F19*G19/1000)</f>
        <v>6.351270379999999</v>
      </c>
      <c r="I19" s="13">
        <f t="shared" ref="I19:I20" si="1">F19/6*G19</f>
        <v>1058.5450633333332</v>
      </c>
      <c r="J19" s="8"/>
      <c r="K19" s="8"/>
      <c r="L19" s="8"/>
      <c r="M19" s="8"/>
    </row>
    <row r="20" spans="1:13" ht="31.5" customHeight="1">
      <c r="A20" s="29">
        <v>3</v>
      </c>
      <c r="B20" s="64" t="s">
        <v>123</v>
      </c>
      <c r="C20" s="65" t="s">
        <v>93</v>
      </c>
      <c r="D20" s="64" t="s">
        <v>157</v>
      </c>
      <c r="E20" s="66">
        <v>171.9</v>
      </c>
      <c r="F20" s="66">
        <f>SUM(E20*78/1000)</f>
        <v>13.408200000000001</v>
      </c>
      <c r="G20" s="66">
        <v>258.63</v>
      </c>
      <c r="H20" s="67">
        <f t="shared" si="0"/>
        <v>3.4677627660000003</v>
      </c>
      <c r="I20" s="13">
        <f t="shared" si="1"/>
        <v>577.96046100000001</v>
      </c>
      <c r="J20" s="22"/>
      <c r="K20" s="8"/>
      <c r="L20" s="8"/>
      <c r="M20" s="8"/>
    </row>
    <row r="21" spans="1:13" ht="15.75" hidden="1" customHeight="1">
      <c r="A21" s="29">
        <v>5</v>
      </c>
      <c r="B21" s="64" t="s">
        <v>26</v>
      </c>
      <c r="C21" s="65" t="s">
        <v>93</v>
      </c>
      <c r="D21" s="64" t="s">
        <v>52</v>
      </c>
      <c r="E21" s="66">
        <v>783.5</v>
      </c>
      <c r="F21" s="66">
        <f>SUM(E21/1000)</f>
        <v>0.78349999999999997</v>
      </c>
      <c r="G21" s="66">
        <v>3020.33</v>
      </c>
      <c r="H21" s="67">
        <f t="shared" ref="H21:H23" si="2">SUM(F21*G21/1000)</f>
        <v>2.3664285550000002</v>
      </c>
      <c r="I21" s="13">
        <f>F21*G21</f>
        <v>2366.428555</v>
      </c>
      <c r="J21" s="22"/>
      <c r="K21" s="8"/>
      <c r="L21" s="8"/>
      <c r="M21" s="8"/>
    </row>
    <row r="22" spans="1:13" ht="15.75" hidden="1" customHeight="1">
      <c r="A22" s="29"/>
      <c r="B22" s="64" t="s">
        <v>62</v>
      </c>
      <c r="C22" s="65" t="s">
        <v>31</v>
      </c>
      <c r="D22" s="64" t="s">
        <v>64</v>
      </c>
      <c r="E22" s="69"/>
      <c r="F22" s="66">
        <v>2</v>
      </c>
      <c r="G22" s="66">
        <v>191.32</v>
      </c>
      <c r="H22" s="67">
        <f t="shared" si="2"/>
        <v>0.38263999999999998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64" t="s">
        <v>63</v>
      </c>
      <c r="C23" s="65" t="s">
        <v>30</v>
      </c>
      <c r="D23" s="64" t="s">
        <v>64</v>
      </c>
      <c r="E23" s="69"/>
      <c r="F23" s="66">
        <v>2</v>
      </c>
      <c r="G23" s="66">
        <v>1136.33</v>
      </c>
      <c r="H23" s="67">
        <f t="shared" si="2"/>
        <v>2.2726599999999997</v>
      </c>
      <c r="I23" s="13">
        <v>0</v>
      </c>
      <c r="J23" s="22"/>
      <c r="K23" s="8"/>
      <c r="L23" s="8"/>
      <c r="M23" s="8"/>
    </row>
    <row r="24" spans="1:13" ht="15.75" hidden="1" customHeight="1">
      <c r="A24" s="29"/>
      <c r="B24" s="88" t="s">
        <v>5</v>
      </c>
      <c r="C24" s="65"/>
      <c r="D24" s="64"/>
      <c r="E24" s="69"/>
      <c r="F24" s="66"/>
      <c r="G24" s="66"/>
      <c r="H24" s="67" t="s">
        <v>110</v>
      </c>
      <c r="I24" s="72"/>
      <c r="J24" s="22"/>
      <c r="K24" s="8"/>
      <c r="L24" s="8"/>
      <c r="M24" s="8"/>
    </row>
    <row r="25" spans="1:13" ht="15.75" hidden="1" customHeight="1">
      <c r="A25" s="29">
        <v>3</v>
      </c>
      <c r="B25" s="64" t="s">
        <v>25</v>
      </c>
      <c r="C25" s="65" t="s">
        <v>30</v>
      </c>
      <c r="D25" s="64"/>
      <c r="E25" s="69"/>
      <c r="F25" s="66">
        <v>3</v>
      </c>
      <c r="G25" s="66">
        <v>1527.22</v>
      </c>
      <c r="H25" s="67">
        <f t="shared" ref="H25:H30" si="3">SUM(F25*G25/1000)</f>
        <v>4.5816600000000003</v>
      </c>
      <c r="I25" s="13">
        <f t="shared" ref="I25:I30" si="4">F25/6*G25</f>
        <v>763.61</v>
      </c>
      <c r="J25" s="22"/>
      <c r="K25" s="8"/>
      <c r="L25" s="8"/>
      <c r="M25" s="8"/>
    </row>
    <row r="26" spans="1:13" ht="15.75" hidden="1" customHeight="1">
      <c r="A26" s="29">
        <v>4</v>
      </c>
      <c r="B26" s="64" t="s">
        <v>65</v>
      </c>
      <c r="C26" s="65" t="s">
        <v>28</v>
      </c>
      <c r="D26" s="64" t="s">
        <v>66</v>
      </c>
      <c r="E26" s="66">
        <v>171.9</v>
      </c>
      <c r="F26" s="66">
        <f>SUM(E26*18/1000)</f>
        <v>3.0942000000000003</v>
      </c>
      <c r="G26" s="66">
        <v>2102.71</v>
      </c>
      <c r="H26" s="67">
        <f t="shared" si="3"/>
        <v>6.5062052820000007</v>
      </c>
      <c r="I26" s="13">
        <f t="shared" si="4"/>
        <v>1084.3675470000001</v>
      </c>
      <c r="J26" s="22"/>
      <c r="K26" s="8"/>
      <c r="L26" s="8"/>
      <c r="M26" s="8"/>
    </row>
    <row r="27" spans="1:13" ht="15.75" hidden="1" customHeight="1">
      <c r="A27" s="29">
        <v>5</v>
      </c>
      <c r="B27" s="64" t="s">
        <v>67</v>
      </c>
      <c r="C27" s="65" t="s">
        <v>28</v>
      </c>
      <c r="D27" s="64" t="s">
        <v>68</v>
      </c>
      <c r="E27" s="66">
        <v>48</v>
      </c>
      <c r="F27" s="66">
        <f>SUM(E27*70/1000)</f>
        <v>3.36</v>
      </c>
      <c r="G27" s="66">
        <v>350.75</v>
      </c>
      <c r="H27" s="67">
        <f t="shared" si="3"/>
        <v>1.17852</v>
      </c>
      <c r="I27" s="13">
        <f t="shared" si="4"/>
        <v>196.42</v>
      </c>
      <c r="J27" s="22"/>
      <c r="K27" s="8"/>
      <c r="L27" s="8"/>
      <c r="M27" s="8"/>
    </row>
    <row r="28" spans="1:13" ht="47.25" hidden="1" customHeight="1">
      <c r="A28" s="29">
        <v>6</v>
      </c>
      <c r="B28" s="64" t="s">
        <v>83</v>
      </c>
      <c r="C28" s="65" t="s">
        <v>93</v>
      </c>
      <c r="D28" s="64" t="s">
        <v>68</v>
      </c>
      <c r="E28" s="66">
        <v>18</v>
      </c>
      <c r="F28" s="66">
        <f>SUM(E28*70/1000)</f>
        <v>1.26</v>
      </c>
      <c r="G28" s="66">
        <v>5803.28</v>
      </c>
      <c r="H28" s="67">
        <f t="shared" si="3"/>
        <v>7.3121327999999997</v>
      </c>
      <c r="I28" s="13">
        <f t="shared" si="4"/>
        <v>1218.6887999999999</v>
      </c>
      <c r="J28" s="22"/>
      <c r="K28" s="8"/>
      <c r="L28" s="8"/>
      <c r="M28" s="8"/>
    </row>
    <row r="29" spans="1:13" ht="15.75" hidden="1" customHeight="1">
      <c r="A29" s="29">
        <v>7</v>
      </c>
      <c r="B29" s="64" t="s">
        <v>95</v>
      </c>
      <c r="C29" s="65" t="s">
        <v>93</v>
      </c>
      <c r="D29" s="64" t="s">
        <v>69</v>
      </c>
      <c r="E29" s="66">
        <v>48</v>
      </c>
      <c r="F29" s="66">
        <f>SUM(E29*45/1000)</f>
        <v>2.16</v>
      </c>
      <c r="G29" s="66">
        <v>428.7</v>
      </c>
      <c r="H29" s="67">
        <f t="shared" si="3"/>
        <v>0.92599200000000004</v>
      </c>
      <c r="I29" s="13">
        <f t="shared" si="4"/>
        <v>154.33200000000002</v>
      </c>
      <c r="J29" s="22"/>
      <c r="K29" s="8"/>
      <c r="L29" s="8"/>
      <c r="M29" s="8"/>
    </row>
    <row r="30" spans="1:13" ht="15.75" hidden="1" customHeight="1">
      <c r="A30" s="29">
        <v>8</v>
      </c>
      <c r="B30" s="64" t="s">
        <v>70</v>
      </c>
      <c r="C30" s="65" t="s">
        <v>31</v>
      </c>
      <c r="D30" s="64"/>
      <c r="E30" s="69"/>
      <c r="F30" s="66">
        <v>0.2</v>
      </c>
      <c r="G30" s="66">
        <v>798</v>
      </c>
      <c r="H30" s="67">
        <f t="shared" si="3"/>
        <v>0.15960000000000002</v>
      </c>
      <c r="I30" s="13">
        <f t="shared" si="4"/>
        <v>26.599999999999998</v>
      </c>
      <c r="J30" s="22"/>
      <c r="K30" s="8"/>
      <c r="L30" s="8"/>
      <c r="M30" s="8"/>
    </row>
    <row r="31" spans="1:13" ht="15.75" customHeight="1">
      <c r="A31" s="145" t="s">
        <v>113</v>
      </c>
      <c r="B31" s="146"/>
      <c r="C31" s="146"/>
      <c r="D31" s="146"/>
      <c r="E31" s="146"/>
      <c r="F31" s="146"/>
      <c r="G31" s="146"/>
      <c r="H31" s="146"/>
      <c r="I31" s="147"/>
      <c r="J31" s="23"/>
    </row>
    <row r="32" spans="1:13" ht="15.75" customHeight="1">
      <c r="A32" s="29">
        <v>4</v>
      </c>
      <c r="B32" s="64" t="s">
        <v>96</v>
      </c>
      <c r="C32" s="65" t="s">
        <v>93</v>
      </c>
      <c r="D32" s="64" t="s">
        <v>155</v>
      </c>
      <c r="E32" s="69">
        <v>578.5</v>
      </c>
      <c r="F32" s="66">
        <f>SUM(E32*2/1000)</f>
        <v>1.157</v>
      </c>
      <c r="G32" s="13">
        <v>809.74</v>
      </c>
      <c r="H32" s="67">
        <f t="shared" ref="H32:H40" si="5">SUM(F32*G32/1000)</f>
        <v>0.93686918000000008</v>
      </c>
      <c r="I32" s="13">
        <f t="shared" ref="I32:I34" si="6">F32/2*G32</f>
        <v>468.43459000000001</v>
      </c>
      <c r="J32" s="23"/>
    </row>
    <row r="33" spans="1:14" ht="15.75" customHeight="1">
      <c r="A33" s="29">
        <v>5</v>
      </c>
      <c r="B33" s="64" t="s">
        <v>34</v>
      </c>
      <c r="C33" s="65" t="s">
        <v>93</v>
      </c>
      <c r="D33" s="64" t="s">
        <v>155</v>
      </c>
      <c r="E33" s="69">
        <v>21</v>
      </c>
      <c r="F33" s="66">
        <f>SUM(E33*2/1000)</f>
        <v>4.2000000000000003E-2</v>
      </c>
      <c r="G33" s="13">
        <v>579.48</v>
      </c>
      <c r="H33" s="67">
        <f t="shared" si="5"/>
        <v>2.4338160000000001E-2</v>
      </c>
      <c r="I33" s="13">
        <f t="shared" si="6"/>
        <v>12.169080000000001</v>
      </c>
      <c r="J33" s="23"/>
    </row>
    <row r="34" spans="1:14" ht="15.75" customHeight="1">
      <c r="A34" s="29">
        <v>6</v>
      </c>
      <c r="B34" s="64" t="s">
        <v>35</v>
      </c>
      <c r="C34" s="65" t="s">
        <v>93</v>
      </c>
      <c r="D34" s="64" t="s">
        <v>155</v>
      </c>
      <c r="E34" s="69">
        <v>737</v>
      </c>
      <c r="F34" s="66">
        <f>SUM(E34*2/1000)</f>
        <v>1.474</v>
      </c>
      <c r="G34" s="13">
        <v>579.48</v>
      </c>
      <c r="H34" s="67">
        <f t="shared" si="5"/>
        <v>0.85415352</v>
      </c>
      <c r="I34" s="13">
        <f t="shared" si="6"/>
        <v>427.07675999999998</v>
      </c>
      <c r="J34" s="23"/>
    </row>
    <row r="35" spans="1:14" ht="15.75" customHeight="1">
      <c r="A35" s="29">
        <v>7</v>
      </c>
      <c r="B35" s="64" t="s">
        <v>32</v>
      </c>
      <c r="C35" s="65" t="s">
        <v>33</v>
      </c>
      <c r="D35" s="64" t="s">
        <v>155</v>
      </c>
      <c r="E35" s="69">
        <v>59.75</v>
      </c>
      <c r="F35" s="66">
        <f>SUM(E35*2/100)</f>
        <v>1.1950000000000001</v>
      </c>
      <c r="G35" s="13">
        <v>72.81</v>
      </c>
      <c r="H35" s="67">
        <f t="shared" si="5"/>
        <v>8.7007950000000014E-2</v>
      </c>
      <c r="I35" s="13">
        <f>F35/2*G35</f>
        <v>43.503975000000004</v>
      </c>
      <c r="J35" s="23"/>
    </row>
    <row r="36" spans="1:14" ht="15.75" customHeight="1">
      <c r="A36" s="29">
        <v>8</v>
      </c>
      <c r="B36" s="64" t="s">
        <v>54</v>
      </c>
      <c r="C36" s="65" t="s">
        <v>93</v>
      </c>
      <c r="D36" s="64" t="s">
        <v>155</v>
      </c>
      <c r="E36" s="69">
        <v>479.7</v>
      </c>
      <c r="F36" s="66">
        <f>SUM(E36*5/1000)</f>
        <v>2.3984999999999999</v>
      </c>
      <c r="G36" s="13">
        <v>1213.55</v>
      </c>
      <c r="H36" s="67">
        <f t="shared" si="5"/>
        <v>2.910699675</v>
      </c>
      <c r="I36" s="13">
        <f>F36/5*G36</f>
        <v>582.13993499999992</v>
      </c>
      <c r="J36" s="23"/>
    </row>
    <row r="37" spans="1:14" ht="31.5" customHeight="1">
      <c r="A37" s="29">
        <v>9</v>
      </c>
      <c r="B37" s="64" t="s">
        <v>97</v>
      </c>
      <c r="C37" s="65" t="s">
        <v>93</v>
      </c>
      <c r="D37" s="64" t="s">
        <v>155</v>
      </c>
      <c r="E37" s="69">
        <v>479.7</v>
      </c>
      <c r="F37" s="66">
        <f>SUM(E37*2/1000)</f>
        <v>0.95940000000000003</v>
      </c>
      <c r="G37" s="13">
        <v>1213.55</v>
      </c>
      <c r="H37" s="67">
        <f t="shared" si="5"/>
        <v>1.1642798700000001</v>
      </c>
      <c r="I37" s="13">
        <f>G37*F37/2</f>
        <v>582.13993500000004</v>
      </c>
      <c r="J37" s="23"/>
    </row>
    <row r="38" spans="1:14" ht="31.5" customHeight="1">
      <c r="A38" s="29">
        <v>10</v>
      </c>
      <c r="B38" s="64" t="s">
        <v>98</v>
      </c>
      <c r="C38" s="65" t="s">
        <v>36</v>
      </c>
      <c r="D38" s="64" t="s">
        <v>155</v>
      </c>
      <c r="E38" s="69">
        <v>4</v>
      </c>
      <c r="F38" s="66">
        <f>SUM(E38*2/100)</f>
        <v>0.08</v>
      </c>
      <c r="G38" s="13">
        <v>2730.49</v>
      </c>
      <c r="H38" s="67">
        <f t="shared" si="5"/>
        <v>0.2184392</v>
      </c>
      <c r="I38" s="13">
        <f>G38*F38/2</f>
        <v>109.2196</v>
      </c>
      <c r="J38" s="23"/>
      <c r="L38" s="19"/>
      <c r="M38" s="20"/>
      <c r="N38" s="21"/>
    </row>
    <row r="39" spans="1:14" ht="15.75" customHeight="1">
      <c r="A39" s="29">
        <v>11</v>
      </c>
      <c r="B39" s="64" t="s">
        <v>37</v>
      </c>
      <c r="C39" s="65" t="s">
        <v>38</v>
      </c>
      <c r="D39" s="64" t="s">
        <v>155</v>
      </c>
      <c r="E39" s="69">
        <v>1</v>
      </c>
      <c r="F39" s="66">
        <v>0.02</v>
      </c>
      <c r="G39" s="13">
        <v>5652.13</v>
      </c>
      <c r="H39" s="67">
        <f t="shared" si="5"/>
        <v>0.11304260000000001</v>
      </c>
      <c r="I39" s="13">
        <f>G39*F39/2</f>
        <v>56.521300000000004</v>
      </c>
      <c r="J39" s="23"/>
      <c r="L39" s="19"/>
      <c r="M39" s="20"/>
      <c r="N39" s="21"/>
    </row>
    <row r="40" spans="1:14" ht="15.75" hidden="1" customHeight="1">
      <c r="A40" s="29">
        <v>11</v>
      </c>
      <c r="B40" s="64" t="s">
        <v>39</v>
      </c>
      <c r="C40" s="65" t="s">
        <v>86</v>
      </c>
      <c r="D40" s="64" t="s">
        <v>71</v>
      </c>
      <c r="E40" s="69">
        <v>24</v>
      </c>
      <c r="F40" s="66">
        <f>SUM(E40)*3</f>
        <v>72</v>
      </c>
      <c r="G40" s="13">
        <v>65.67</v>
      </c>
      <c r="H40" s="67">
        <f t="shared" si="5"/>
        <v>4.7282399999999996</v>
      </c>
      <c r="I40" s="13">
        <f>E40*G40</f>
        <v>1576.08</v>
      </c>
      <c r="J40" s="23"/>
      <c r="L40" s="19"/>
      <c r="M40" s="20"/>
      <c r="N40" s="21"/>
    </row>
    <row r="41" spans="1:14" ht="15.75" customHeight="1">
      <c r="A41" s="145" t="s">
        <v>114</v>
      </c>
      <c r="B41" s="146"/>
      <c r="C41" s="146"/>
      <c r="D41" s="146"/>
      <c r="E41" s="146"/>
      <c r="F41" s="146"/>
      <c r="G41" s="146"/>
      <c r="H41" s="146"/>
      <c r="I41" s="147"/>
      <c r="J41" s="23"/>
      <c r="L41" s="19"/>
      <c r="M41" s="20"/>
      <c r="N41" s="21"/>
    </row>
    <row r="42" spans="1:14" ht="15.75" hidden="1" customHeight="1">
      <c r="A42" s="29"/>
      <c r="B42" s="88" t="s">
        <v>41</v>
      </c>
      <c r="C42" s="65"/>
      <c r="D42" s="64"/>
      <c r="E42" s="69"/>
      <c r="F42" s="66"/>
      <c r="G42" s="66"/>
      <c r="H42" s="67"/>
      <c r="I42" s="72"/>
      <c r="J42" s="23"/>
      <c r="L42" s="19"/>
      <c r="M42" s="20"/>
      <c r="N42" s="21"/>
    </row>
    <row r="43" spans="1:14" ht="31.5" hidden="1" customHeight="1">
      <c r="A43" s="29">
        <v>11</v>
      </c>
      <c r="B43" s="64" t="s">
        <v>119</v>
      </c>
      <c r="C43" s="65" t="s">
        <v>89</v>
      </c>
      <c r="D43" s="64" t="s">
        <v>99</v>
      </c>
      <c r="E43" s="69">
        <v>57.85</v>
      </c>
      <c r="F43" s="66">
        <f>SUM(E43*6/100)</f>
        <v>3.4710000000000001</v>
      </c>
      <c r="G43" s="13">
        <v>1547.28</v>
      </c>
      <c r="H43" s="67">
        <f>SUM(F43*G43/1000)</f>
        <v>5.3706088799999998</v>
      </c>
      <c r="I43" s="13">
        <f>F43/6*G43</f>
        <v>895.10148000000004</v>
      </c>
      <c r="J43" s="23"/>
      <c r="L43" s="19"/>
      <c r="M43" s="20"/>
      <c r="N43" s="21"/>
    </row>
    <row r="44" spans="1:14" ht="15.75" hidden="1" customHeight="1">
      <c r="A44" s="29"/>
      <c r="B44" s="88" t="s">
        <v>42</v>
      </c>
      <c r="C44" s="65"/>
      <c r="D44" s="64"/>
      <c r="E44" s="69"/>
      <c r="F44" s="66"/>
      <c r="G44" s="59"/>
      <c r="H44" s="67"/>
      <c r="I44" s="72"/>
      <c r="J44" s="23"/>
      <c r="L44" s="19"/>
      <c r="M44" s="20"/>
      <c r="N44" s="21"/>
    </row>
    <row r="45" spans="1:14" ht="15.75" hidden="1" customHeight="1">
      <c r="A45" s="29"/>
      <c r="B45" s="64" t="s">
        <v>43</v>
      </c>
      <c r="C45" s="65" t="s">
        <v>89</v>
      </c>
      <c r="D45" s="64" t="s">
        <v>52</v>
      </c>
      <c r="E45" s="69">
        <v>479.7</v>
      </c>
      <c r="F45" s="67">
        <v>4.8</v>
      </c>
      <c r="G45" s="13">
        <v>793.61</v>
      </c>
      <c r="H45" s="73">
        <f>F45*G45/1000</f>
        <v>3.8093279999999998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88" t="s">
        <v>100</v>
      </c>
      <c r="C46" s="65"/>
      <c r="D46" s="64"/>
      <c r="E46" s="69"/>
      <c r="F46" s="66"/>
      <c r="G46" s="74"/>
      <c r="H46" s="67" t="s">
        <v>110</v>
      </c>
      <c r="I46" s="72"/>
      <c r="J46" s="23"/>
      <c r="L46" s="19"/>
      <c r="M46" s="20"/>
      <c r="N46" s="21"/>
    </row>
    <row r="47" spans="1:14" ht="15.75" hidden="1" customHeight="1">
      <c r="A47" s="29"/>
      <c r="B47" s="64" t="s">
        <v>101</v>
      </c>
      <c r="C47" s="65" t="s">
        <v>86</v>
      </c>
      <c r="D47" s="64" t="s">
        <v>64</v>
      </c>
      <c r="E47" s="69">
        <v>3</v>
      </c>
      <c r="F47" s="66">
        <f>SUM(E47)</f>
        <v>3</v>
      </c>
      <c r="G47" s="75">
        <v>237.75</v>
      </c>
      <c r="H47" s="67">
        <f t="shared" ref="H47:H61" si="7">SUM(F47*G47/1000)</f>
        <v>0.71325000000000005</v>
      </c>
      <c r="I47" s="13">
        <v>0</v>
      </c>
      <c r="J47" s="23"/>
      <c r="L47" s="19"/>
      <c r="M47" s="20"/>
      <c r="N47" s="21"/>
    </row>
    <row r="48" spans="1:14" ht="15.75" customHeight="1">
      <c r="A48" s="29"/>
      <c r="B48" s="89" t="s">
        <v>44</v>
      </c>
      <c r="C48" s="76"/>
      <c r="D48" s="77"/>
      <c r="E48" s="78"/>
      <c r="F48" s="79"/>
      <c r="G48" s="79"/>
      <c r="H48" s="80" t="s">
        <v>110</v>
      </c>
      <c r="I48" s="72"/>
      <c r="J48" s="23"/>
      <c r="L48" s="19"/>
      <c r="M48" s="20"/>
      <c r="N48" s="21"/>
    </row>
    <row r="49" spans="1:22" ht="17.25" hidden="1" customHeight="1">
      <c r="A49" s="29">
        <v>12</v>
      </c>
      <c r="B49" s="14" t="s">
        <v>45</v>
      </c>
      <c r="C49" s="16" t="s">
        <v>86</v>
      </c>
      <c r="D49" s="64" t="s">
        <v>64</v>
      </c>
      <c r="E49" s="18">
        <v>5</v>
      </c>
      <c r="F49" s="66">
        <v>5</v>
      </c>
      <c r="G49" s="13">
        <v>222.4</v>
      </c>
      <c r="H49" s="81">
        <f t="shared" si="7"/>
        <v>1.1120000000000001</v>
      </c>
      <c r="I49" s="13">
        <f>G49*1</f>
        <v>222.4</v>
      </c>
      <c r="J49" s="23"/>
      <c r="L49" s="19"/>
      <c r="M49" s="20"/>
      <c r="N49" s="21"/>
    </row>
    <row r="50" spans="1:22" ht="13.5" hidden="1" customHeight="1">
      <c r="A50" s="29"/>
      <c r="B50" s="14" t="s">
        <v>46</v>
      </c>
      <c r="C50" s="16" t="s">
        <v>86</v>
      </c>
      <c r="D50" s="64" t="s">
        <v>64</v>
      </c>
      <c r="E50" s="18">
        <v>3</v>
      </c>
      <c r="F50" s="66">
        <v>3</v>
      </c>
      <c r="G50" s="13">
        <v>76.25</v>
      </c>
      <c r="H50" s="81">
        <f t="shared" si="7"/>
        <v>0.22875000000000001</v>
      </c>
      <c r="I50" s="13">
        <v>0</v>
      </c>
      <c r="J50" s="23"/>
      <c r="L50" s="19"/>
      <c r="M50" s="20"/>
      <c r="N50" s="21"/>
    </row>
    <row r="51" spans="1:22" ht="15" hidden="1" customHeight="1">
      <c r="A51" s="29"/>
      <c r="B51" s="14" t="s">
        <v>47</v>
      </c>
      <c r="C51" s="16" t="s">
        <v>102</v>
      </c>
      <c r="D51" s="14" t="s">
        <v>52</v>
      </c>
      <c r="E51" s="69">
        <v>2753</v>
      </c>
      <c r="F51" s="13">
        <f>SUM(E51/100)</f>
        <v>27.53</v>
      </c>
      <c r="G51" s="13">
        <v>212.15</v>
      </c>
      <c r="H51" s="81">
        <f t="shared" si="7"/>
        <v>5.8404895000000003</v>
      </c>
      <c r="I51" s="13">
        <v>0</v>
      </c>
      <c r="J51" s="23"/>
      <c r="L51" s="19"/>
      <c r="M51" s="20"/>
      <c r="N51" s="21"/>
    </row>
    <row r="52" spans="1:22" ht="18.75" hidden="1" customHeight="1">
      <c r="A52" s="29"/>
      <c r="B52" s="14" t="s">
        <v>48</v>
      </c>
      <c r="C52" s="16" t="s">
        <v>103</v>
      </c>
      <c r="D52" s="14"/>
      <c r="E52" s="69">
        <v>2753</v>
      </c>
      <c r="F52" s="13">
        <f>SUM(E52/1000)</f>
        <v>2.7530000000000001</v>
      </c>
      <c r="G52" s="13">
        <v>165.21</v>
      </c>
      <c r="H52" s="81">
        <f t="shared" si="7"/>
        <v>0.45482313000000008</v>
      </c>
      <c r="I52" s="13">
        <v>0</v>
      </c>
      <c r="J52" s="23"/>
      <c r="L52" s="19"/>
      <c r="M52" s="20"/>
      <c r="N52" s="21"/>
    </row>
    <row r="53" spans="1:22" ht="20.25" hidden="1" customHeight="1">
      <c r="A53" s="29"/>
      <c r="B53" s="14" t="s">
        <v>49</v>
      </c>
      <c r="C53" s="16" t="s">
        <v>78</v>
      </c>
      <c r="D53" s="14" t="s">
        <v>52</v>
      </c>
      <c r="E53" s="69">
        <v>440</v>
      </c>
      <c r="F53" s="13">
        <f>SUM(E53/100)</f>
        <v>4.4000000000000004</v>
      </c>
      <c r="G53" s="13">
        <v>2074.63</v>
      </c>
      <c r="H53" s="81">
        <f t="shared" si="7"/>
        <v>9.1283720000000006</v>
      </c>
      <c r="I53" s="13">
        <v>0</v>
      </c>
      <c r="J53" s="23"/>
      <c r="L53" s="19"/>
      <c r="M53" s="20"/>
      <c r="N53" s="21"/>
    </row>
    <row r="54" spans="1:22" ht="24" hidden="1" customHeight="1">
      <c r="A54" s="29"/>
      <c r="B54" s="82" t="s">
        <v>72</v>
      </c>
      <c r="C54" s="16" t="s">
        <v>31</v>
      </c>
      <c r="D54" s="14"/>
      <c r="E54" s="69">
        <v>2.8</v>
      </c>
      <c r="F54" s="13">
        <f>SUM(E54)</f>
        <v>2.8</v>
      </c>
      <c r="G54" s="13">
        <v>45.32</v>
      </c>
      <c r="H54" s="81">
        <f t="shared" si="7"/>
        <v>0.12689599999999998</v>
      </c>
      <c r="I54" s="13">
        <v>0</v>
      </c>
      <c r="J54" s="23"/>
      <c r="L54" s="19"/>
      <c r="M54" s="20"/>
      <c r="N54" s="21"/>
    </row>
    <row r="55" spans="1:22" ht="14.25" hidden="1" customHeight="1">
      <c r="A55" s="29"/>
      <c r="B55" s="82" t="s">
        <v>73</v>
      </c>
      <c r="C55" s="16" t="s">
        <v>31</v>
      </c>
      <c r="D55" s="14"/>
      <c r="E55" s="69">
        <v>2.8</v>
      </c>
      <c r="F55" s="13">
        <f>SUM(E55)</f>
        <v>2.8</v>
      </c>
      <c r="G55" s="13">
        <v>42.28</v>
      </c>
      <c r="H55" s="81">
        <f t="shared" si="7"/>
        <v>0.118384</v>
      </c>
      <c r="I55" s="13">
        <v>0</v>
      </c>
      <c r="J55" s="23"/>
      <c r="L55" s="19"/>
      <c r="M55" s="20"/>
      <c r="N55" s="21"/>
    </row>
    <row r="56" spans="1:22" ht="15.75" customHeight="1">
      <c r="A56" s="29">
        <v>12</v>
      </c>
      <c r="B56" s="100" t="s">
        <v>55</v>
      </c>
      <c r="C56" s="104" t="s">
        <v>56</v>
      </c>
      <c r="D56" s="100" t="s">
        <v>155</v>
      </c>
      <c r="E56" s="17">
        <v>3</v>
      </c>
      <c r="F56" s="121">
        <f>SUM(E56)</f>
        <v>3</v>
      </c>
      <c r="G56" s="34">
        <v>49.88</v>
      </c>
      <c r="H56" s="81">
        <f t="shared" si="7"/>
        <v>0.14964000000000002</v>
      </c>
      <c r="I56" s="13">
        <f>G56*3</f>
        <v>149.64000000000001</v>
      </c>
      <c r="J56" s="23"/>
      <c r="L56" s="19"/>
      <c r="M56" s="20"/>
      <c r="N56" s="21"/>
    </row>
    <row r="57" spans="1:22" ht="18.75" hidden="1" customHeight="1">
      <c r="A57" s="29"/>
      <c r="B57" s="56" t="s">
        <v>74</v>
      </c>
      <c r="C57" s="16"/>
      <c r="D57" s="14"/>
      <c r="E57" s="18"/>
      <c r="F57" s="13"/>
      <c r="G57" s="13"/>
      <c r="H57" s="81" t="s">
        <v>110</v>
      </c>
      <c r="I57" s="72"/>
      <c r="J57" s="23"/>
      <c r="L57" s="19"/>
      <c r="M57" s="20"/>
      <c r="N57" s="21"/>
    </row>
    <row r="58" spans="1:22" ht="17.25" hidden="1" customHeight="1">
      <c r="A58" s="29">
        <v>14</v>
      </c>
      <c r="B58" s="14" t="s">
        <v>75</v>
      </c>
      <c r="C58" s="16" t="s">
        <v>76</v>
      </c>
      <c r="D58" s="14"/>
      <c r="E58" s="18">
        <v>15</v>
      </c>
      <c r="F58" s="13">
        <v>1.5</v>
      </c>
      <c r="G58" s="13">
        <v>501.62</v>
      </c>
      <c r="H58" s="81">
        <f t="shared" si="7"/>
        <v>0.75243000000000004</v>
      </c>
      <c r="I58" s="13">
        <f>G58*0.3</f>
        <v>150.48599999999999</v>
      </c>
      <c r="J58" s="23"/>
      <c r="L58" s="19"/>
    </row>
    <row r="59" spans="1:22" ht="16.5" hidden="1" customHeight="1">
      <c r="A59" s="29"/>
      <c r="B59" s="14" t="s">
        <v>106</v>
      </c>
      <c r="C59" s="16" t="s">
        <v>86</v>
      </c>
      <c r="D59" s="14"/>
      <c r="E59" s="18">
        <v>1</v>
      </c>
      <c r="F59" s="66">
        <f>SUM(E59)</f>
        <v>1</v>
      </c>
      <c r="G59" s="13">
        <v>358.51</v>
      </c>
      <c r="H59" s="81">
        <f t="shared" si="7"/>
        <v>0.35851</v>
      </c>
      <c r="I59" s="13">
        <v>0</v>
      </c>
    </row>
    <row r="60" spans="1:22" ht="26.25" hidden="1" customHeight="1">
      <c r="A60" s="29"/>
      <c r="B60" s="84" t="s">
        <v>77</v>
      </c>
      <c r="C60" s="16"/>
      <c r="D60" s="14"/>
      <c r="E60" s="18"/>
      <c r="F60" s="13"/>
      <c r="G60" s="13" t="s">
        <v>110</v>
      </c>
      <c r="H60" s="81" t="s">
        <v>110</v>
      </c>
      <c r="I60" s="72"/>
    </row>
    <row r="61" spans="1:22" ht="22.5" hidden="1" customHeight="1">
      <c r="A61" s="29"/>
      <c r="B61" s="42" t="s">
        <v>107</v>
      </c>
      <c r="C61" s="16" t="s">
        <v>78</v>
      </c>
      <c r="D61" s="14"/>
      <c r="E61" s="18"/>
      <c r="F61" s="13">
        <v>0.3</v>
      </c>
      <c r="G61" s="13">
        <v>2759.44</v>
      </c>
      <c r="H61" s="81">
        <f t="shared" si="7"/>
        <v>0.82783200000000001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4.25" hidden="1" customHeight="1">
      <c r="A62" s="29"/>
      <c r="B62" s="56" t="s">
        <v>104</v>
      </c>
      <c r="C62" s="84"/>
      <c r="D62" s="31"/>
      <c r="E62" s="32"/>
      <c r="F62" s="85"/>
      <c r="G62" s="85"/>
      <c r="H62" s="86">
        <f>SUM(H43:H61)</f>
        <v>28.991313509999998</v>
      </c>
      <c r="I62" s="71"/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9.5" hidden="1" customHeight="1">
      <c r="A63" s="29">
        <v>13</v>
      </c>
      <c r="B63" s="64" t="s">
        <v>105</v>
      </c>
      <c r="C63" s="16"/>
      <c r="D63" s="14"/>
      <c r="E63" s="60"/>
      <c r="F63" s="13">
        <v>1</v>
      </c>
      <c r="G63" s="13">
        <v>909.6</v>
      </c>
      <c r="H63" s="81">
        <f>G63*F63/1000</f>
        <v>0.90960000000000008</v>
      </c>
      <c r="I63" s="13">
        <f>G63*1</f>
        <v>909.6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customHeight="1">
      <c r="A64" s="145" t="s">
        <v>115</v>
      </c>
      <c r="B64" s="146"/>
      <c r="C64" s="146"/>
      <c r="D64" s="146"/>
      <c r="E64" s="146"/>
      <c r="F64" s="146"/>
      <c r="G64" s="146"/>
      <c r="H64" s="146"/>
      <c r="I64" s="147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29">
        <v>13</v>
      </c>
      <c r="B65" s="64" t="s">
        <v>108</v>
      </c>
      <c r="C65" s="16" t="s">
        <v>53</v>
      </c>
      <c r="D65" s="45"/>
      <c r="E65" s="13">
        <v>737</v>
      </c>
      <c r="F65" s="13">
        <f>SUM(E65*12)</f>
        <v>8844</v>
      </c>
      <c r="G65" s="13">
        <v>2.1</v>
      </c>
      <c r="H65" s="81">
        <f>SUM(F65*G65/1000)</f>
        <v>18.572400000000002</v>
      </c>
      <c r="I65" s="13">
        <f>F65/12*G65</f>
        <v>1547.7</v>
      </c>
      <c r="J65" s="5"/>
      <c r="K65" s="5"/>
      <c r="L65" s="5"/>
      <c r="M65" s="5"/>
      <c r="N65" s="5"/>
      <c r="O65" s="5"/>
      <c r="P65" s="5"/>
      <c r="Q65" s="5"/>
      <c r="R65" s="144"/>
      <c r="S65" s="144"/>
      <c r="T65" s="144"/>
      <c r="U65" s="144"/>
    </row>
    <row r="66" spans="1:21" ht="31.5" customHeight="1">
      <c r="A66" s="29">
        <v>14</v>
      </c>
      <c r="B66" s="14" t="s">
        <v>79</v>
      </c>
      <c r="C66" s="16"/>
      <c r="D66" s="45"/>
      <c r="E66" s="69">
        <f>E65</f>
        <v>737</v>
      </c>
      <c r="F66" s="13">
        <f>E66*12</f>
        <v>8844</v>
      </c>
      <c r="G66" s="13">
        <v>1.63</v>
      </c>
      <c r="H66" s="81">
        <f>F66*G66/1000</f>
        <v>14.415719999999999</v>
      </c>
      <c r="I66" s="13">
        <f>F66/12*G66</f>
        <v>1201.31</v>
      </c>
      <c r="J66" s="5"/>
      <c r="K66" s="5"/>
      <c r="L66" s="5"/>
      <c r="M66" s="5"/>
      <c r="N66" s="5"/>
      <c r="O66" s="5"/>
      <c r="P66" s="5"/>
      <c r="Q66" s="5"/>
      <c r="R66" s="54"/>
      <c r="S66" s="54"/>
      <c r="T66" s="54"/>
      <c r="U66" s="54"/>
    </row>
    <row r="67" spans="1:21" ht="15.75" customHeight="1">
      <c r="A67" s="29"/>
      <c r="B67" s="35" t="s">
        <v>81</v>
      </c>
      <c r="C67" s="84"/>
      <c r="D67" s="83"/>
      <c r="E67" s="85"/>
      <c r="F67" s="85"/>
      <c r="G67" s="85"/>
      <c r="H67" s="86">
        <f>SUM(H66)</f>
        <v>14.415719999999999</v>
      </c>
      <c r="I67" s="85">
        <f>I66+I65+I56+I39+I38+I37+I36+I35+I34+I33+I32+I20+I19+I16</f>
        <v>7231.8567993333318</v>
      </c>
      <c r="J67" s="5"/>
      <c r="K67" s="5"/>
      <c r="L67" s="5"/>
      <c r="M67" s="5"/>
      <c r="N67" s="5"/>
      <c r="O67" s="5"/>
      <c r="P67" s="5"/>
      <c r="Q67" s="5"/>
      <c r="R67" s="54"/>
      <c r="S67" s="54"/>
      <c r="T67" s="54"/>
      <c r="U67" s="54"/>
    </row>
    <row r="68" spans="1:21" ht="15.75" customHeight="1">
      <c r="A68" s="148" t="s">
        <v>58</v>
      </c>
      <c r="B68" s="149"/>
      <c r="C68" s="149"/>
      <c r="D68" s="149"/>
      <c r="E68" s="149"/>
      <c r="F68" s="149"/>
      <c r="G68" s="149"/>
      <c r="H68" s="149"/>
      <c r="I68" s="150"/>
      <c r="J68" s="5"/>
      <c r="K68" s="5"/>
      <c r="L68" s="5"/>
      <c r="M68" s="5"/>
      <c r="N68" s="5"/>
      <c r="O68" s="5"/>
      <c r="P68" s="5"/>
      <c r="Q68" s="5"/>
      <c r="R68" s="54"/>
      <c r="S68" s="54"/>
      <c r="T68" s="54"/>
      <c r="U68" s="54"/>
    </row>
    <row r="69" spans="1:21" ht="31.5" hidden="1" customHeight="1">
      <c r="A69" s="29"/>
      <c r="B69" s="48" t="s">
        <v>120</v>
      </c>
      <c r="C69" s="49" t="s">
        <v>82</v>
      </c>
      <c r="D69" s="42"/>
      <c r="E69" s="13"/>
      <c r="F69" s="13">
        <v>2</v>
      </c>
      <c r="G69" s="13">
        <v>2057</v>
      </c>
      <c r="H69" s="81">
        <f>F69*G69/1000</f>
        <v>4.1139999999999999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54"/>
      <c r="S69" s="54"/>
      <c r="T69" s="54"/>
      <c r="U69" s="54"/>
    </row>
    <row r="70" spans="1:21" ht="31.5" hidden="1" customHeight="1">
      <c r="A70" s="29"/>
      <c r="B70" s="48" t="s">
        <v>121</v>
      </c>
      <c r="C70" s="49" t="s">
        <v>111</v>
      </c>
      <c r="D70" s="42"/>
      <c r="E70" s="13"/>
      <c r="F70" s="13">
        <v>3</v>
      </c>
      <c r="G70" s="13">
        <v>629.39</v>
      </c>
      <c r="H70" s="81">
        <f>F70*G70/1000</f>
        <v>1.8881700000000001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54"/>
      <c r="S70" s="54"/>
      <c r="T70" s="54"/>
      <c r="U70" s="54"/>
    </row>
    <row r="71" spans="1:21" ht="15.75" hidden="1" customHeight="1">
      <c r="A71" s="29"/>
      <c r="B71" s="46" t="s">
        <v>87</v>
      </c>
      <c r="C71" s="47" t="s">
        <v>88</v>
      </c>
      <c r="D71" s="42"/>
      <c r="E71" s="13"/>
      <c r="F71" s="13">
        <f>9/3</f>
        <v>3</v>
      </c>
      <c r="G71" s="13">
        <v>1063.47</v>
      </c>
      <c r="H71" s="81">
        <f>F71*G71/1000</f>
        <v>3.19041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54"/>
      <c r="S71" s="54"/>
      <c r="T71" s="54"/>
      <c r="U71" s="54"/>
    </row>
    <row r="72" spans="1:21" ht="15.75" hidden="1" customHeight="1">
      <c r="A72" s="29"/>
      <c r="B72" s="46" t="s">
        <v>122</v>
      </c>
      <c r="C72" s="47"/>
      <c r="D72" s="42"/>
      <c r="E72" s="13"/>
      <c r="F72" s="13"/>
      <c r="G72" s="13"/>
      <c r="H72" s="81">
        <f t="shared" ref="H72:H74" si="8">F72*G72/1000</f>
        <v>0</v>
      </c>
      <c r="I72" s="13"/>
      <c r="J72" s="5"/>
      <c r="K72" s="5"/>
      <c r="L72" s="5"/>
      <c r="M72" s="5"/>
      <c r="N72" s="5"/>
      <c r="O72" s="5"/>
      <c r="P72" s="5"/>
      <c r="Q72" s="5"/>
      <c r="R72" s="54"/>
      <c r="S72" s="54"/>
      <c r="T72" s="54"/>
      <c r="U72" s="54"/>
    </row>
    <row r="73" spans="1:21" ht="31.5" hidden="1" customHeight="1">
      <c r="A73" s="29"/>
      <c r="B73" s="48" t="s">
        <v>112</v>
      </c>
      <c r="C73" s="49" t="s">
        <v>36</v>
      </c>
      <c r="D73" s="42"/>
      <c r="E73" s="13"/>
      <c r="F73" s="13">
        <f>3/100</f>
        <v>0.03</v>
      </c>
      <c r="G73" s="13">
        <v>3397.65</v>
      </c>
      <c r="H73" s="81">
        <f t="shared" si="8"/>
        <v>0.10192950000000001</v>
      </c>
      <c r="I73" s="13">
        <v>0</v>
      </c>
      <c r="J73" s="5"/>
      <c r="K73" s="5"/>
      <c r="L73" s="5"/>
      <c r="M73" s="5"/>
      <c r="N73" s="5"/>
      <c r="O73" s="5"/>
      <c r="P73" s="5"/>
      <c r="Q73" s="5"/>
      <c r="R73" s="54"/>
      <c r="S73" s="54"/>
      <c r="T73" s="54"/>
      <c r="U73" s="54"/>
    </row>
    <row r="74" spans="1:21" ht="15.75" hidden="1" customHeight="1">
      <c r="A74" s="29"/>
      <c r="B74" s="48" t="s">
        <v>91</v>
      </c>
      <c r="C74" s="49" t="s">
        <v>86</v>
      </c>
      <c r="D74" s="42"/>
      <c r="E74" s="13"/>
      <c r="F74" s="13">
        <v>2</v>
      </c>
      <c r="G74" s="13">
        <v>124.25</v>
      </c>
      <c r="H74" s="81">
        <f t="shared" si="8"/>
        <v>0.2485</v>
      </c>
      <c r="I74" s="13">
        <v>0</v>
      </c>
      <c r="J74" s="5"/>
      <c r="K74" s="5"/>
      <c r="L74" s="5"/>
      <c r="M74" s="5"/>
      <c r="N74" s="5"/>
      <c r="O74" s="5"/>
      <c r="P74" s="5"/>
      <c r="Q74" s="5"/>
      <c r="R74" s="54"/>
      <c r="S74" s="54"/>
      <c r="T74" s="54"/>
      <c r="U74" s="54"/>
    </row>
    <row r="75" spans="1:21" ht="15.75" customHeight="1">
      <c r="A75" s="29">
        <v>15</v>
      </c>
      <c r="B75" s="101" t="s">
        <v>144</v>
      </c>
      <c r="C75" s="16" t="s">
        <v>145</v>
      </c>
      <c r="D75" s="42"/>
      <c r="E75" s="13"/>
      <c r="F75" s="13">
        <v>200</v>
      </c>
      <c r="G75" s="13">
        <v>1.4</v>
      </c>
      <c r="H75" s="81">
        <f>SUM(F75*G75/1000)</f>
        <v>0.28000000000000003</v>
      </c>
      <c r="I75" s="13">
        <f>G75*100</f>
        <v>140</v>
      </c>
      <c r="J75" s="5"/>
      <c r="K75" s="5"/>
      <c r="L75" s="5"/>
      <c r="M75" s="5"/>
      <c r="N75" s="5"/>
      <c r="O75" s="5"/>
      <c r="P75" s="5"/>
      <c r="Q75" s="5"/>
      <c r="R75" s="106"/>
      <c r="S75" s="106"/>
      <c r="T75" s="106"/>
      <c r="U75" s="106"/>
    </row>
    <row r="76" spans="1:21" ht="36" customHeight="1">
      <c r="A76" s="29">
        <v>16</v>
      </c>
      <c r="B76" s="50" t="s">
        <v>162</v>
      </c>
      <c r="C76" s="51" t="s">
        <v>163</v>
      </c>
      <c r="D76" s="100" t="s">
        <v>204</v>
      </c>
      <c r="E76" s="34"/>
      <c r="F76" s="105">
        <v>3</v>
      </c>
      <c r="G76" s="105">
        <v>222.63</v>
      </c>
      <c r="H76" s="81"/>
      <c r="I76" s="13">
        <f>G76*1</f>
        <v>222.63</v>
      </c>
      <c r="J76" s="5"/>
      <c r="K76" s="5"/>
      <c r="L76" s="5"/>
      <c r="M76" s="5"/>
      <c r="N76" s="5"/>
      <c r="O76" s="5"/>
      <c r="P76" s="5"/>
      <c r="Q76" s="5"/>
      <c r="R76" s="106"/>
      <c r="S76" s="106"/>
      <c r="T76" s="106"/>
      <c r="U76" s="106"/>
    </row>
    <row r="77" spans="1:21" ht="18.75" customHeight="1">
      <c r="A77" s="29">
        <v>17</v>
      </c>
      <c r="B77" s="50" t="s">
        <v>203</v>
      </c>
      <c r="C77" s="51" t="s">
        <v>38</v>
      </c>
      <c r="D77" s="97"/>
      <c r="E77" s="34"/>
      <c r="F77" s="105">
        <v>0.01</v>
      </c>
      <c r="G77" s="105">
        <v>27139.18</v>
      </c>
      <c r="H77" s="81"/>
      <c r="I77" s="13">
        <f>G77*0.01</f>
        <v>271.39179999999999</v>
      </c>
      <c r="J77" s="5"/>
      <c r="K77" s="5"/>
      <c r="L77" s="5"/>
      <c r="M77" s="5"/>
      <c r="N77" s="5"/>
      <c r="O77" s="5"/>
      <c r="P77" s="5"/>
      <c r="Q77" s="5"/>
      <c r="R77" s="131"/>
      <c r="S77" s="131"/>
      <c r="T77" s="131"/>
      <c r="U77" s="131"/>
    </row>
    <row r="78" spans="1:21" ht="15.75" customHeight="1">
      <c r="A78" s="29"/>
      <c r="B78" s="40" t="s">
        <v>50</v>
      </c>
      <c r="C78" s="36"/>
      <c r="D78" s="43"/>
      <c r="E78" s="36">
        <v>1</v>
      </c>
      <c r="F78" s="36"/>
      <c r="G78" s="36"/>
      <c r="H78" s="36"/>
      <c r="I78" s="32">
        <f>SUM(I73:I77)</f>
        <v>634.02179999999998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75" customHeight="1">
      <c r="A79" s="29"/>
      <c r="B79" s="42" t="s">
        <v>80</v>
      </c>
      <c r="C79" s="15"/>
      <c r="D79" s="15"/>
      <c r="E79" s="37"/>
      <c r="F79" s="37"/>
      <c r="G79" s="38"/>
      <c r="H79" s="38"/>
      <c r="I79" s="17">
        <v>0</v>
      </c>
    </row>
    <row r="80" spans="1:21" ht="15.75" customHeight="1">
      <c r="A80" s="44"/>
      <c r="B80" s="41" t="s">
        <v>138</v>
      </c>
      <c r="C80" s="33"/>
      <c r="D80" s="33"/>
      <c r="E80" s="33"/>
      <c r="F80" s="33"/>
      <c r="G80" s="33"/>
      <c r="H80" s="33"/>
      <c r="I80" s="39">
        <f>I67+I78</f>
        <v>7865.8785993333313</v>
      </c>
    </row>
    <row r="81" spans="1:9" ht="15.75" customHeight="1">
      <c r="A81" s="157" t="s">
        <v>205</v>
      </c>
      <c r="B81" s="157"/>
      <c r="C81" s="157"/>
      <c r="D81" s="157"/>
      <c r="E81" s="157"/>
      <c r="F81" s="157"/>
      <c r="G81" s="157"/>
      <c r="H81" s="157"/>
      <c r="I81" s="157"/>
    </row>
    <row r="82" spans="1:9" ht="15.75">
      <c r="A82" s="58"/>
      <c r="B82" s="158" t="s">
        <v>206</v>
      </c>
      <c r="C82" s="158"/>
      <c r="D82" s="158"/>
      <c r="E82" s="158"/>
      <c r="F82" s="158"/>
      <c r="G82" s="158"/>
      <c r="H82" s="63"/>
      <c r="I82" s="3"/>
    </row>
    <row r="83" spans="1:9">
      <c r="A83" s="54"/>
      <c r="B83" s="154" t="s">
        <v>6</v>
      </c>
      <c r="C83" s="154"/>
      <c r="D83" s="154"/>
      <c r="E83" s="154"/>
      <c r="F83" s="154"/>
      <c r="G83" s="154"/>
      <c r="H83" s="24"/>
      <c r="I83" s="5"/>
    </row>
    <row r="84" spans="1:9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5.75" customHeight="1">
      <c r="A85" s="141" t="s">
        <v>7</v>
      </c>
      <c r="B85" s="141"/>
      <c r="C85" s="141"/>
      <c r="D85" s="141"/>
      <c r="E85" s="141"/>
      <c r="F85" s="141"/>
      <c r="G85" s="141"/>
      <c r="H85" s="141"/>
      <c r="I85" s="141"/>
    </row>
    <row r="86" spans="1:9" ht="15.75">
      <c r="A86" s="141" t="s">
        <v>8</v>
      </c>
      <c r="B86" s="141"/>
      <c r="C86" s="141"/>
      <c r="D86" s="141"/>
      <c r="E86" s="141"/>
      <c r="F86" s="141"/>
      <c r="G86" s="141"/>
      <c r="H86" s="141"/>
      <c r="I86" s="141"/>
    </row>
    <row r="87" spans="1:9" ht="15.75">
      <c r="A87" s="142" t="s">
        <v>59</v>
      </c>
      <c r="B87" s="142"/>
      <c r="C87" s="142"/>
      <c r="D87" s="142"/>
      <c r="E87" s="142"/>
      <c r="F87" s="142"/>
      <c r="G87" s="142"/>
      <c r="H87" s="142"/>
      <c r="I87" s="142"/>
    </row>
    <row r="88" spans="1:9" ht="15.75" customHeight="1">
      <c r="A88" s="11"/>
    </row>
    <row r="89" spans="1:9" ht="15.75" customHeight="1">
      <c r="A89" s="152" t="s">
        <v>9</v>
      </c>
      <c r="B89" s="152"/>
      <c r="C89" s="152"/>
      <c r="D89" s="152"/>
      <c r="E89" s="152"/>
      <c r="F89" s="152"/>
      <c r="G89" s="152"/>
      <c r="H89" s="152"/>
      <c r="I89" s="152"/>
    </row>
    <row r="90" spans="1:9" ht="15.75" customHeight="1">
      <c r="A90" s="4"/>
    </row>
    <row r="91" spans="1:9" ht="15.75" customHeight="1">
      <c r="B91" s="55" t="s">
        <v>10</v>
      </c>
      <c r="C91" s="153" t="s">
        <v>85</v>
      </c>
      <c r="D91" s="153"/>
      <c r="E91" s="153"/>
      <c r="F91" s="61"/>
      <c r="I91" s="53"/>
    </row>
    <row r="92" spans="1:9" ht="15.75" customHeight="1">
      <c r="A92" s="54"/>
      <c r="C92" s="154" t="s">
        <v>11</v>
      </c>
      <c r="D92" s="154"/>
      <c r="E92" s="154"/>
      <c r="F92" s="24"/>
      <c r="I92" s="52" t="s">
        <v>12</v>
      </c>
    </row>
    <row r="93" spans="1:9" ht="15.75" customHeight="1">
      <c r="A93" s="25"/>
      <c r="C93" s="12"/>
      <c r="D93" s="12"/>
      <c r="G93" s="12"/>
      <c r="H93" s="12"/>
    </row>
    <row r="94" spans="1:9" ht="15.75" customHeight="1">
      <c r="B94" s="55" t="s">
        <v>13</v>
      </c>
      <c r="C94" s="155"/>
      <c r="D94" s="155"/>
      <c r="E94" s="155"/>
      <c r="F94" s="62"/>
      <c r="I94" s="53"/>
    </row>
    <row r="95" spans="1:9" ht="15.75" customHeight="1">
      <c r="A95" s="54"/>
      <c r="C95" s="144" t="s">
        <v>11</v>
      </c>
      <c r="D95" s="144"/>
      <c r="E95" s="144"/>
      <c r="F95" s="54"/>
      <c r="I95" s="52" t="s">
        <v>12</v>
      </c>
    </row>
    <row r="96" spans="1:9" ht="15.75" customHeight="1">
      <c r="A96" s="4" t="s">
        <v>14</v>
      </c>
    </row>
    <row r="97" spans="1:9">
      <c r="A97" s="156" t="s">
        <v>15</v>
      </c>
      <c r="B97" s="156"/>
      <c r="C97" s="156"/>
      <c r="D97" s="156"/>
      <c r="E97" s="156"/>
      <c r="F97" s="156"/>
      <c r="G97" s="156"/>
      <c r="H97" s="156"/>
      <c r="I97" s="156"/>
    </row>
    <row r="98" spans="1:9" ht="45" customHeight="1">
      <c r="A98" s="151" t="s">
        <v>16</v>
      </c>
      <c r="B98" s="151"/>
      <c r="C98" s="151"/>
      <c r="D98" s="151"/>
      <c r="E98" s="151"/>
      <c r="F98" s="151"/>
      <c r="G98" s="151"/>
      <c r="H98" s="151"/>
      <c r="I98" s="151"/>
    </row>
    <row r="99" spans="1:9" ht="30" customHeight="1">
      <c r="A99" s="151" t="s">
        <v>17</v>
      </c>
      <c r="B99" s="151"/>
      <c r="C99" s="151"/>
      <c r="D99" s="151"/>
      <c r="E99" s="151"/>
      <c r="F99" s="151"/>
      <c r="G99" s="151"/>
      <c r="H99" s="151"/>
      <c r="I99" s="151"/>
    </row>
    <row r="100" spans="1:9" ht="30" customHeight="1">
      <c r="A100" s="151" t="s">
        <v>21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" customHeight="1">
      <c r="A101" s="151" t="s">
        <v>20</v>
      </c>
      <c r="B101" s="151"/>
      <c r="C101" s="151"/>
      <c r="D101" s="151"/>
      <c r="E101" s="151"/>
      <c r="F101" s="151"/>
      <c r="G101" s="151"/>
      <c r="H101" s="151"/>
      <c r="I101" s="151"/>
    </row>
  </sheetData>
  <autoFilter ref="I12:I60"/>
  <mergeCells count="29">
    <mergeCell ref="A98:I98"/>
    <mergeCell ref="A99:I99"/>
    <mergeCell ref="A100:I100"/>
    <mergeCell ref="A101:I101"/>
    <mergeCell ref="A89:I89"/>
    <mergeCell ref="C91:E91"/>
    <mergeCell ref="C92:E92"/>
    <mergeCell ref="C94:E94"/>
    <mergeCell ref="C95:E95"/>
    <mergeCell ref="A97:I97"/>
    <mergeCell ref="A87:I87"/>
    <mergeCell ref="A15:I15"/>
    <mergeCell ref="A17:I17"/>
    <mergeCell ref="A31:I31"/>
    <mergeCell ref="A41:I41"/>
    <mergeCell ref="A64:I64"/>
    <mergeCell ref="A81:I81"/>
    <mergeCell ref="B82:G82"/>
    <mergeCell ref="B83:G83"/>
    <mergeCell ref="A85:I85"/>
    <mergeCell ref="A86:I86"/>
    <mergeCell ref="A68:I68"/>
    <mergeCell ref="R65:U65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2021-02-09T06:42:45Z</cp:lastPrinted>
  <dcterms:created xsi:type="dcterms:W3CDTF">2016-03-25T08:33:47Z</dcterms:created>
  <dcterms:modified xsi:type="dcterms:W3CDTF">2021-02-09T06:47:09Z</dcterms:modified>
</cp:coreProperties>
</file>