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50" yWindow="540" windowWidth="15450" windowHeight="11280"/>
  </bookViews>
  <sheets>
    <sheet name="01.16" sheetId="17" r:id="rId1"/>
    <sheet name="02.16" sheetId="18" r:id="rId2"/>
    <sheet name="03.16" sheetId="19" r:id="rId3"/>
    <sheet name="04.16" sheetId="20" r:id="rId4"/>
    <sheet name="05.16" sheetId="21" r:id="rId5"/>
    <sheet name="06.16" sheetId="22" r:id="rId6"/>
    <sheet name="07.16" sheetId="23" r:id="rId7"/>
    <sheet name="08.16" sheetId="24" r:id="rId8"/>
    <sheet name="09.16" sheetId="25" r:id="rId9"/>
    <sheet name="10.16" sheetId="26" r:id="rId10"/>
    <sheet name="11.16" sheetId="16" r:id="rId11"/>
    <sheet name="12.16" sheetId="8" r:id="rId12"/>
  </sheets>
  <definedNames>
    <definedName name="_xlnm._FilterDatabase" localSheetId="0" hidden="1">'01.16'!$I$12:$I$61</definedName>
    <definedName name="_xlnm._FilterDatabase" localSheetId="1" hidden="1">'02.16'!$I$12:$I$61</definedName>
    <definedName name="_xlnm._FilterDatabase" localSheetId="2" hidden="1">'03.16'!$I$12:$I$61</definedName>
    <definedName name="_xlnm._FilterDatabase" localSheetId="3" hidden="1">'04.16'!$I$12:$I$61</definedName>
    <definedName name="_xlnm._FilterDatabase" localSheetId="4" hidden="1">'05.16'!$I$12:$I$51</definedName>
    <definedName name="_xlnm._FilterDatabase" localSheetId="5" hidden="1">'06.16'!$I$12:$I$61</definedName>
    <definedName name="_xlnm._FilterDatabase" localSheetId="6" hidden="1">'07.16'!$I$12:$I$61</definedName>
    <definedName name="_xlnm._FilterDatabase" localSheetId="7" hidden="1">'08.16'!$I$12:$I$61</definedName>
    <definedName name="_xlnm._FilterDatabase" localSheetId="8" hidden="1">'09.16'!$I$12:$I$61</definedName>
    <definedName name="_xlnm._FilterDatabase" localSheetId="9" hidden="1">'10.16'!$I$12:$I$61</definedName>
    <definedName name="_xlnm._FilterDatabase" localSheetId="11" hidden="1">'12.16'!$G$12:$G$66</definedName>
    <definedName name="_xlnm.Print_Area" localSheetId="0">'01.16'!$A$1:$I$151</definedName>
    <definedName name="_xlnm.Print_Area" localSheetId="1">'02.16'!$A$1:$I$145</definedName>
    <definedName name="_xlnm.Print_Area" localSheetId="2">'03.16'!$A$1:$I$112</definedName>
    <definedName name="_xlnm.Print_Area" localSheetId="3">'04.16'!$A$1:$I$118</definedName>
    <definedName name="_xlnm.Print_Area" localSheetId="4">'05.16'!$A$1:$I$107</definedName>
    <definedName name="_xlnm.Print_Area" localSheetId="5">'06.16'!$A$1:$I$114</definedName>
    <definedName name="_xlnm.Print_Area" localSheetId="6">'07.16'!$A$1:$I$116</definedName>
    <definedName name="_xlnm.Print_Area" localSheetId="7">'08.16'!$A$1:$I$122</definedName>
    <definedName name="_xlnm.Print_Area" localSheetId="8">'09.16'!$A$1:$I$116</definedName>
    <definedName name="_xlnm.Print_Area" localSheetId="9">'10.16'!$A$1:$I$119</definedName>
    <definedName name="_xlnm.Print_Area" localSheetId="10">'11.16'!$A$1:$G$119</definedName>
    <definedName name="_xlnm.Print_Area" localSheetId="11">'12.16'!$A$1:$G$118</definedName>
  </definedNames>
  <calcPr calcId="124519"/>
</workbook>
</file>

<file path=xl/calcChain.xml><?xml version="1.0" encoding="utf-8"?>
<calcChain xmlns="http://schemas.openxmlformats.org/spreadsheetml/2006/main">
  <c r="I93" i="26"/>
  <c r="I94"/>
  <c r="I95"/>
  <c r="I92"/>
  <c r="I91"/>
  <c r="I90"/>
  <c r="I89"/>
  <c r="I88"/>
  <c r="I87"/>
  <c r="I66"/>
  <c r="H95"/>
  <c r="H94"/>
  <c r="H93"/>
  <c r="H92"/>
  <c r="H91"/>
  <c r="H90"/>
  <c r="F89"/>
  <c r="H89" s="1"/>
  <c r="H88"/>
  <c r="H87"/>
  <c r="I96"/>
  <c r="E84"/>
  <c r="F84" s="1"/>
  <c r="F83"/>
  <c r="H83" s="1"/>
  <c r="H81"/>
  <c r="H79"/>
  <c r="H77"/>
  <c r="H76"/>
  <c r="H75"/>
  <c r="I73"/>
  <c r="H73"/>
  <c r="F72"/>
  <c r="I72" s="1"/>
  <c r="F71"/>
  <c r="H71" s="1"/>
  <c r="F70"/>
  <c r="I70" s="1"/>
  <c r="F69"/>
  <c r="H69" s="1"/>
  <c r="F68"/>
  <c r="I68" s="1"/>
  <c r="H67"/>
  <c r="H66"/>
  <c r="F64"/>
  <c r="H64" s="1"/>
  <c r="F63"/>
  <c r="H63" s="1"/>
  <c r="F61"/>
  <c r="H61" s="1"/>
  <c r="I60"/>
  <c r="H60"/>
  <c r="F59"/>
  <c r="I59" s="1"/>
  <c r="F58"/>
  <c r="H58" s="1"/>
  <c r="I55"/>
  <c r="F55"/>
  <c r="H55" s="1"/>
  <c r="H54"/>
  <c r="F53"/>
  <c r="H53" s="1"/>
  <c r="F52"/>
  <c r="H52" s="1"/>
  <c r="F51"/>
  <c r="I51" s="1"/>
  <c r="F50"/>
  <c r="H50" s="1"/>
  <c r="F49"/>
  <c r="H49" s="1"/>
  <c r="F48"/>
  <c r="H48" s="1"/>
  <c r="F47"/>
  <c r="H47" s="1"/>
  <c r="I45"/>
  <c r="H45"/>
  <c r="F44"/>
  <c r="H44" s="1"/>
  <c r="F43"/>
  <c r="I43" s="1"/>
  <c r="F42"/>
  <c r="H42" s="1"/>
  <c r="I41"/>
  <c r="H41"/>
  <c r="F40"/>
  <c r="I40" s="1"/>
  <c r="I39"/>
  <c r="H39"/>
  <c r="H37"/>
  <c r="H36"/>
  <c r="H35"/>
  <c r="F35"/>
  <c r="I35" s="1"/>
  <c r="F34"/>
  <c r="I34" s="1"/>
  <c r="F33"/>
  <c r="H33" s="1"/>
  <c r="F32"/>
  <c r="I32" s="1"/>
  <c r="F31"/>
  <c r="H31" s="1"/>
  <c r="F28"/>
  <c r="I28" s="1"/>
  <c r="F27"/>
  <c r="H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F18"/>
  <c r="I18" s="1"/>
  <c r="F17"/>
  <c r="H17" s="1"/>
  <c r="F16"/>
  <c r="I16" s="1"/>
  <c r="I92" i="25"/>
  <c r="I91"/>
  <c r="I90"/>
  <c r="I89"/>
  <c r="I88"/>
  <c r="I66"/>
  <c r="I54"/>
  <c r="H92"/>
  <c r="H91"/>
  <c r="H90"/>
  <c r="H89"/>
  <c r="H88"/>
  <c r="I87"/>
  <c r="H87"/>
  <c r="I93"/>
  <c r="E84"/>
  <c r="F84" s="1"/>
  <c r="H84" s="1"/>
  <c r="H85" s="1"/>
  <c r="F83"/>
  <c r="H83" s="1"/>
  <c r="H81"/>
  <c r="H79"/>
  <c r="H77"/>
  <c r="H76"/>
  <c r="H75"/>
  <c r="I73"/>
  <c r="H73"/>
  <c r="F72"/>
  <c r="I72" s="1"/>
  <c r="F71"/>
  <c r="H71" s="1"/>
  <c r="F70"/>
  <c r="I70" s="1"/>
  <c r="F69"/>
  <c r="H69" s="1"/>
  <c r="F68"/>
  <c r="I68" s="1"/>
  <c r="H67"/>
  <c r="H66"/>
  <c r="F64"/>
  <c r="H64" s="1"/>
  <c r="F63"/>
  <c r="H63" s="1"/>
  <c r="F61"/>
  <c r="H61" s="1"/>
  <c r="I60"/>
  <c r="H60"/>
  <c r="F59"/>
  <c r="I59" s="1"/>
  <c r="F58"/>
  <c r="H58" s="1"/>
  <c r="I55"/>
  <c r="F55"/>
  <c r="H55" s="1"/>
  <c r="H54"/>
  <c r="F53"/>
  <c r="H53" s="1"/>
  <c r="F52"/>
  <c r="H52" s="1"/>
  <c r="F51"/>
  <c r="I51" s="1"/>
  <c r="F50"/>
  <c r="H50" s="1"/>
  <c r="F49"/>
  <c r="H49" s="1"/>
  <c r="F48"/>
  <c r="H48" s="1"/>
  <c r="F47"/>
  <c r="H47" s="1"/>
  <c r="I45"/>
  <c r="H45"/>
  <c r="F44"/>
  <c r="H44" s="1"/>
  <c r="F43"/>
  <c r="I43" s="1"/>
  <c r="F42"/>
  <c r="H42" s="1"/>
  <c r="I41"/>
  <c r="H41"/>
  <c r="F40"/>
  <c r="I40" s="1"/>
  <c r="I39"/>
  <c r="H39"/>
  <c r="H37"/>
  <c r="H36"/>
  <c r="H35"/>
  <c r="F35"/>
  <c r="I35" s="1"/>
  <c r="F34"/>
  <c r="I34" s="1"/>
  <c r="F33"/>
  <c r="H33" s="1"/>
  <c r="F32"/>
  <c r="I32" s="1"/>
  <c r="F31"/>
  <c r="H31" s="1"/>
  <c r="F28"/>
  <c r="I28" s="1"/>
  <c r="F27"/>
  <c r="H27" s="1"/>
  <c r="F26"/>
  <c r="H26" s="1"/>
  <c r="F25"/>
  <c r="H25" s="1"/>
  <c r="F24"/>
  <c r="H24" s="1"/>
  <c r="F23"/>
  <c r="H23" s="1"/>
  <c r="F22"/>
  <c r="H22" s="1"/>
  <c r="F21"/>
  <c r="I21" s="1"/>
  <c r="F20"/>
  <c r="I20" s="1"/>
  <c r="F19"/>
  <c r="H19" s="1"/>
  <c r="F18"/>
  <c r="I18" s="1"/>
  <c r="F17"/>
  <c r="I17" s="1"/>
  <c r="F16"/>
  <c r="I16" s="1"/>
  <c r="I98" i="24"/>
  <c r="I97"/>
  <c r="I96"/>
  <c r="I95"/>
  <c r="I94"/>
  <c r="I93"/>
  <c r="I92"/>
  <c r="I91"/>
  <c r="I90"/>
  <c r="I89"/>
  <c r="I88"/>
  <c r="H98"/>
  <c r="H97"/>
  <c r="H96"/>
  <c r="H95"/>
  <c r="H94"/>
  <c r="F93"/>
  <c r="H93" s="1"/>
  <c r="H92"/>
  <c r="H91"/>
  <c r="H90"/>
  <c r="H89"/>
  <c r="H88"/>
  <c r="I87"/>
  <c r="H87"/>
  <c r="I99"/>
  <c r="E84"/>
  <c r="F84" s="1"/>
  <c r="F83"/>
  <c r="H83" s="1"/>
  <c r="H81"/>
  <c r="H79"/>
  <c r="H77"/>
  <c r="H76"/>
  <c r="H75"/>
  <c r="I73"/>
  <c r="H73"/>
  <c r="H72"/>
  <c r="F72"/>
  <c r="I72" s="1"/>
  <c r="F71"/>
  <c r="H71" s="1"/>
  <c r="F70"/>
  <c r="I70" s="1"/>
  <c r="F69"/>
  <c r="H69" s="1"/>
  <c r="F68"/>
  <c r="I68" s="1"/>
  <c r="H67"/>
  <c r="H66"/>
  <c r="F64"/>
  <c r="H64" s="1"/>
  <c r="F63"/>
  <c r="H63" s="1"/>
  <c r="F61"/>
  <c r="H61" s="1"/>
  <c r="I60"/>
  <c r="H60"/>
  <c r="F59"/>
  <c r="I59" s="1"/>
  <c r="F58"/>
  <c r="H58" s="1"/>
  <c r="I55"/>
  <c r="F55"/>
  <c r="H55" s="1"/>
  <c r="H54"/>
  <c r="F53"/>
  <c r="H53" s="1"/>
  <c r="F52"/>
  <c r="H52" s="1"/>
  <c r="F51"/>
  <c r="I51" s="1"/>
  <c r="F50"/>
  <c r="H50" s="1"/>
  <c r="F49"/>
  <c r="H49" s="1"/>
  <c r="F48"/>
  <c r="H48" s="1"/>
  <c r="F47"/>
  <c r="H47" s="1"/>
  <c r="I45"/>
  <c r="H45"/>
  <c r="F44"/>
  <c r="H44" s="1"/>
  <c r="F43"/>
  <c r="I43" s="1"/>
  <c r="F42"/>
  <c r="H42" s="1"/>
  <c r="I41"/>
  <c r="H41"/>
  <c r="F40"/>
  <c r="I40" s="1"/>
  <c r="I39"/>
  <c r="H39"/>
  <c r="H37"/>
  <c r="H36"/>
  <c r="H35"/>
  <c r="F35"/>
  <c r="I35" s="1"/>
  <c r="F34"/>
  <c r="I34" s="1"/>
  <c r="F33"/>
  <c r="H33" s="1"/>
  <c r="F32"/>
  <c r="I32" s="1"/>
  <c r="F31"/>
  <c r="H31" s="1"/>
  <c r="F28"/>
  <c r="I28" s="1"/>
  <c r="F27"/>
  <c r="H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F18"/>
  <c r="I18" s="1"/>
  <c r="F17"/>
  <c r="H17" s="1"/>
  <c r="F16"/>
  <c r="I16" s="1"/>
  <c r="I92" i="23"/>
  <c r="I91"/>
  <c r="I90"/>
  <c r="I89"/>
  <c r="I87"/>
  <c r="H92"/>
  <c r="H91"/>
  <c r="H90"/>
  <c r="H89"/>
  <c r="I88"/>
  <c r="H88"/>
  <c r="H87"/>
  <c r="I93"/>
  <c r="E84"/>
  <c r="F84" s="1"/>
  <c r="H84" s="1"/>
  <c r="H85" s="1"/>
  <c r="F83"/>
  <c r="H83" s="1"/>
  <c r="H81"/>
  <c r="H79"/>
  <c r="H77"/>
  <c r="H76"/>
  <c r="H75"/>
  <c r="I73"/>
  <c r="H73"/>
  <c r="F72"/>
  <c r="I72" s="1"/>
  <c r="F71"/>
  <c r="H71" s="1"/>
  <c r="F70"/>
  <c r="I70" s="1"/>
  <c r="F69"/>
  <c r="H69" s="1"/>
  <c r="F68"/>
  <c r="I68" s="1"/>
  <c r="H67"/>
  <c r="H66"/>
  <c r="F64"/>
  <c r="H64" s="1"/>
  <c r="F63"/>
  <c r="H63" s="1"/>
  <c r="F61"/>
  <c r="H61" s="1"/>
  <c r="I60"/>
  <c r="H60"/>
  <c r="F59"/>
  <c r="I59" s="1"/>
  <c r="F58"/>
  <c r="H58" s="1"/>
  <c r="I55"/>
  <c r="F55"/>
  <c r="H55" s="1"/>
  <c r="H54"/>
  <c r="F53"/>
  <c r="H53" s="1"/>
  <c r="F52"/>
  <c r="H52" s="1"/>
  <c r="F51"/>
  <c r="I51" s="1"/>
  <c r="F50"/>
  <c r="H50" s="1"/>
  <c r="F49"/>
  <c r="H49" s="1"/>
  <c r="F48"/>
  <c r="H48" s="1"/>
  <c r="F47"/>
  <c r="H47" s="1"/>
  <c r="I45"/>
  <c r="H45"/>
  <c r="F44"/>
  <c r="H44" s="1"/>
  <c r="F43"/>
  <c r="I43" s="1"/>
  <c r="F42"/>
  <c r="H42" s="1"/>
  <c r="I41"/>
  <c r="H41"/>
  <c r="F40"/>
  <c r="I40" s="1"/>
  <c r="I39"/>
  <c r="H39"/>
  <c r="H37"/>
  <c r="H36"/>
  <c r="H35"/>
  <c r="F35"/>
  <c r="I35" s="1"/>
  <c r="F34"/>
  <c r="I34" s="1"/>
  <c r="F33"/>
  <c r="H33" s="1"/>
  <c r="F32"/>
  <c r="I32" s="1"/>
  <c r="F31"/>
  <c r="H31" s="1"/>
  <c r="F28"/>
  <c r="I28" s="1"/>
  <c r="F27"/>
  <c r="H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F18"/>
  <c r="I18" s="1"/>
  <c r="F17"/>
  <c r="H17" s="1"/>
  <c r="F16"/>
  <c r="I16" s="1"/>
  <c r="H43" i="26" l="1"/>
  <c r="H84"/>
  <c r="H85" s="1"/>
  <c r="I84"/>
  <c r="H16"/>
  <c r="I17"/>
  <c r="H18"/>
  <c r="I20"/>
  <c r="H21"/>
  <c r="I27"/>
  <c r="H28"/>
  <c r="I31"/>
  <c r="H32"/>
  <c r="I33"/>
  <c r="H34"/>
  <c r="H40"/>
  <c r="I42"/>
  <c r="I44"/>
  <c r="H51"/>
  <c r="I58"/>
  <c r="H59"/>
  <c r="I64"/>
  <c r="H68"/>
  <c r="I69"/>
  <c r="H70"/>
  <c r="I71"/>
  <c r="H72"/>
  <c r="I83"/>
  <c r="H51" i="25"/>
  <c r="H20"/>
  <c r="I47"/>
  <c r="I49"/>
  <c r="I52"/>
  <c r="I53"/>
  <c r="H17"/>
  <c r="I50"/>
  <c r="I48"/>
  <c r="H68"/>
  <c r="H72"/>
  <c r="H70"/>
  <c r="H59"/>
  <c r="H80" s="1"/>
  <c r="H43"/>
  <c r="H40"/>
  <c r="H16"/>
  <c r="H18"/>
  <c r="H21"/>
  <c r="I27"/>
  <c r="H28"/>
  <c r="I31"/>
  <c r="H32"/>
  <c r="I33"/>
  <c r="H34"/>
  <c r="I42"/>
  <c r="I44"/>
  <c r="I58"/>
  <c r="I64"/>
  <c r="I69"/>
  <c r="I71"/>
  <c r="I83"/>
  <c r="I84"/>
  <c r="H68" i="24"/>
  <c r="H70"/>
  <c r="H84"/>
  <c r="H85" s="1"/>
  <c r="I84"/>
  <c r="H16"/>
  <c r="I17"/>
  <c r="H18"/>
  <c r="I20"/>
  <c r="H21"/>
  <c r="I27"/>
  <c r="H28"/>
  <c r="I31"/>
  <c r="H32"/>
  <c r="I33"/>
  <c r="H34"/>
  <c r="H40"/>
  <c r="I42"/>
  <c r="H43"/>
  <c r="I44"/>
  <c r="H51"/>
  <c r="I58"/>
  <c r="H59"/>
  <c r="H80" s="1"/>
  <c r="I64"/>
  <c r="I69"/>
  <c r="I71"/>
  <c r="I83"/>
  <c r="H70" i="23"/>
  <c r="H68"/>
  <c r="H72"/>
  <c r="H16"/>
  <c r="I17"/>
  <c r="H18"/>
  <c r="I20"/>
  <c r="H21"/>
  <c r="I27"/>
  <c r="H28"/>
  <c r="I31"/>
  <c r="H32"/>
  <c r="I33"/>
  <c r="H34"/>
  <c r="H40"/>
  <c r="I42"/>
  <c r="H43"/>
  <c r="I44"/>
  <c r="H51"/>
  <c r="I58"/>
  <c r="H59"/>
  <c r="H80" s="1"/>
  <c r="I64"/>
  <c r="I69"/>
  <c r="I71"/>
  <c r="I83"/>
  <c r="I84"/>
  <c r="I85" i="26" l="1"/>
  <c r="H80"/>
  <c r="I98"/>
  <c r="I85" i="25"/>
  <c r="I95" s="1"/>
  <c r="I85" i="24"/>
  <c r="I101"/>
  <c r="I85" i="23"/>
  <c r="I95" s="1"/>
  <c r="I90" i="22" l="1"/>
  <c r="I89"/>
  <c r="I88"/>
  <c r="I66"/>
  <c r="F90"/>
  <c r="H90" s="1"/>
  <c r="H89"/>
  <c r="H88"/>
  <c r="I87"/>
  <c r="H87"/>
  <c r="I91"/>
  <c r="E84"/>
  <c r="F84" s="1"/>
  <c r="F83"/>
  <c r="H83" s="1"/>
  <c r="H81"/>
  <c r="H79"/>
  <c r="H77"/>
  <c r="H76"/>
  <c r="H75"/>
  <c r="I73"/>
  <c r="H73"/>
  <c r="F72"/>
  <c r="I72" s="1"/>
  <c r="F71"/>
  <c r="H71" s="1"/>
  <c r="F70"/>
  <c r="I70" s="1"/>
  <c r="F69"/>
  <c r="H69" s="1"/>
  <c r="F68"/>
  <c r="I68" s="1"/>
  <c r="H67"/>
  <c r="H66"/>
  <c r="F64"/>
  <c r="H64" s="1"/>
  <c r="F63"/>
  <c r="H63" s="1"/>
  <c r="F61"/>
  <c r="H61" s="1"/>
  <c r="I60"/>
  <c r="H60"/>
  <c r="F59"/>
  <c r="I59" s="1"/>
  <c r="F58"/>
  <c r="H58" s="1"/>
  <c r="I55"/>
  <c r="F55"/>
  <c r="H55" s="1"/>
  <c r="H54"/>
  <c r="F53"/>
  <c r="H53" s="1"/>
  <c r="F52"/>
  <c r="H52" s="1"/>
  <c r="F51"/>
  <c r="I51" s="1"/>
  <c r="F50"/>
  <c r="H50" s="1"/>
  <c r="F49"/>
  <c r="H49" s="1"/>
  <c r="F48"/>
  <c r="H48" s="1"/>
  <c r="F47"/>
  <c r="H47" s="1"/>
  <c r="I45"/>
  <c r="H45"/>
  <c r="F44"/>
  <c r="H44" s="1"/>
  <c r="F43"/>
  <c r="I43" s="1"/>
  <c r="F42"/>
  <c r="H42" s="1"/>
  <c r="I41"/>
  <c r="H41"/>
  <c r="F40"/>
  <c r="I40" s="1"/>
  <c r="I39"/>
  <c r="H39"/>
  <c r="H37"/>
  <c r="H36"/>
  <c r="H35"/>
  <c r="F35"/>
  <c r="I35" s="1"/>
  <c r="F34"/>
  <c r="I34" s="1"/>
  <c r="F33"/>
  <c r="H33" s="1"/>
  <c r="F32"/>
  <c r="I32" s="1"/>
  <c r="F31"/>
  <c r="H31" s="1"/>
  <c r="F28"/>
  <c r="I28" s="1"/>
  <c r="F27"/>
  <c r="H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F18"/>
  <c r="I18" s="1"/>
  <c r="F17"/>
  <c r="H17" s="1"/>
  <c r="F16"/>
  <c r="I16" s="1"/>
  <c r="I75" i="21"/>
  <c r="I86" s="1"/>
  <c r="I84"/>
  <c r="I81"/>
  <c r="I82"/>
  <c r="I83"/>
  <c r="I80"/>
  <c r="I79"/>
  <c r="I78"/>
  <c r="I77"/>
  <c r="H83"/>
  <c r="H82"/>
  <c r="F81"/>
  <c r="H81" s="1"/>
  <c r="H80"/>
  <c r="H79"/>
  <c r="H78"/>
  <c r="H77"/>
  <c r="E74"/>
  <c r="F74" s="1"/>
  <c r="F73"/>
  <c r="H73" s="1"/>
  <c r="H71"/>
  <c r="H69"/>
  <c r="H67"/>
  <c r="H66"/>
  <c r="H65"/>
  <c r="I63"/>
  <c r="H63"/>
  <c r="F62"/>
  <c r="I62" s="1"/>
  <c r="F61"/>
  <c r="H61" s="1"/>
  <c r="F60"/>
  <c r="I60" s="1"/>
  <c r="F59"/>
  <c r="H59" s="1"/>
  <c r="F58"/>
  <c r="I58" s="1"/>
  <c r="H57"/>
  <c r="H56"/>
  <c r="F54"/>
  <c r="H54" s="1"/>
  <c r="F53"/>
  <c r="H53" s="1"/>
  <c r="F51"/>
  <c r="H51" s="1"/>
  <c r="I50"/>
  <c r="H50"/>
  <c r="F49"/>
  <c r="I49" s="1"/>
  <c r="F48"/>
  <c r="H48" s="1"/>
  <c r="I45"/>
  <c r="F45"/>
  <c r="H45" s="1"/>
  <c r="H44"/>
  <c r="F43"/>
  <c r="H43" s="1"/>
  <c r="F42"/>
  <c r="H42" s="1"/>
  <c r="F41"/>
  <c r="I41" s="1"/>
  <c r="F40"/>
  <c r="H40" s="1"/>
  <c r="F39"/>
  <c r="H39" s="1"/>
  <c r="F38"/>
  <c r="H38" s="1"/>
  <c r="F37"/>
  <c r="H37" s="1"/>
  <c r="H35"/>
  <c r="F35"/>
  <c r="I35" s="1"/>
  <c r="F34"/>
  <c r="I34" s="1"/>
  <c r="F33"/>
  <c r="H33" s="1"/>
  <c r="F32"/>
  <c r="I32" s="1"/>
  <c r="F31"/>
  <c r="H31" s="1"/>
  <c r="F28"/>
  <c r="I28" s="1"/>
  <c r="F27"/>
  <c r="H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F18"/>
  <c r="I18" s="1"/>
  <c r="F17"/>
  <c r="H17" s="1"/>
  <c r="F16"/>
  <c r="I16" s="1"/>
  <c r="I94" i="20"/>
  <c r="I93"/>
  <c r="I92"/>
  <c r="I90"/>
  <c r="I91"/>
  <c r="I89"/>
  <c r="I88"/>
  <c r="H94"/>
  <c r="H93"/>
  <c r="H92"/>
  <c r="H91"/>
  <c r="H90"/>
  <c r="H89"/>
  <c r="H88"/>
  <c r="I87"/>
  <c r="I95" s="1"/>
  <c r="H87"/>
  <c r="E84"/>
  <c r="F84" s="1"/>
  <c r="F83"/>
  <c r="H83" s="1"/>
  <c r="H81"/>
  <c r="H79"/>
  <c r="H77"/>
  <c r="H76"/>
  <c r="H75"/>
  <c r="I73"/>
  <c r="H73"/>
  <c r="F72"/>
  <c r="I72" s="1"/>
  <c r="F71"/>
  <c r="H71" s="1"/>
  <c r="F70"/>
  <c r="I70" s="1"/>
  <c r="F69"/>
  <c r="H69" s="1"/>
  <c r="F68"/>
  <c r="I68" s="1"/>
  <c r="H67"/>
  <c r="H66"/>
  <c r="F64"/>
  <c r="H64" s="1"/>
  <c r="F63"/>
  <c r="H63" s="1"/>
  <c r="F61"/>
  <c r="H61" s="1"/>
  <c r="I60"/>
  <c r="H60"/>
  <c r="F59"/>
  <c r="I59" s="1"/>
  <c r="F58"/>
  <c r="H58" s="1"/>
  <c r="I55"/>
  <c r="F55"/>
  <c r="H55" s="1"/>
  <c r="H54"/>
  <c r="F53"/>
  <c r="H53" s="1"/>
  <c r="F52"/>
  <c r="H52" s="1"/>
  <c r="F51"/>
  <c r="I51" s="1"/>
  <c r="F50"/>
  <c r="H50" s="1"/>
  <c r="F49"/>
  <c r="H49" s="1"/>
  <c r="F48"/>
  <c r="H48" s="1"/>
  <c r="F47"/>
  <c r="H47" s="1"/>
  <c r="I45"/>
  <c r="H45"/>
  <c r="F44"/>
  <c r="H44" s="1"/>
  <c r="F43"/>
  <c r="I43" s="1"/>
  <c r="F42"/>
  <c r="H42" s="1"/>
  <c r="I41"/>
  <c r="H41"/>
  <c r="F40"/>
  <c r="I40" s="1"/>
  <c r="I39"/>
  <c r="H39"/>
  <c r="H37"/>
  <c r="H36"/>
  <c r="H35"/>
  <c r="F35"/>
  <c r="I35" s="1"/>
  <c r="F34"/>
  <c r="I34" s="1"/>
  <c r="F33"/>
  <c r="H33" s="1"/>
  <c r="F32"/>
  <c r="I32" s="1"/>
  <c r="F31"/>
  <c r="H31" s="1"/>
  <c r="F28"/>
  <c r="I28" s="1"/>
  <c r="F27"/>
  <c r="H27" s="1"/>
  <c r="F26"/>
  <c r="H26" s="1"/>
  <c r="F25"/>
  <c r="H25" s="1"/>
  <c r="F24"/>
  <c r="H24" s="1"/>
  <c r="F23"/>
  <c r="H23" s="1"/>
  <c r="F22"/>
  <c r="H22" s="1"/>
  <c r="F21"/>
  <c r="I21" s="1"/>
  <c r="F20"/>
  <c r="I20" s="1"/>
  <c r="F19"/>
  <c r="H19" s="1"/>
  <c r="F18"/>
  <c r="I18" s="1"/>
  <c r="F17"/>
  <c r="I17" s="1"/>
  <c r="F16"/>
  <c r="I16" s="1"/>
  <c r="I85" i="19"/>
  <c r="I88"/>
  <c r="I66"/>
  <c r="H88"/>
  <c r="I87"/>
  <c r="H87"/>
  <c r="I89"/>
  <c r="E84"/>
  <c r="F84" s="1"/>
  <c r="F83"/>
  <c r="H83" s="1"/>
  <c r="H81"/>
  <c r="H79"/>
  <c r="H77"/>
  <c r="H76"/>
  <c r="H75"/>
  <c r="I73"/>
  <c r="H73"/>
  <c r="F72"/>
  <c r="I72" s="1"/>
  <c r="F71"/>
  <c r="H71" s="1"/>
  <c r="F70"/>
  <c r="I70" s="1"/>
  <c r="F69"/>
  <c r="H69" s="1"/>
  <c r="F68"/>
  <c r="I68" s="1"/>
  <c r="H67"/>
  <c r="H66"/>
  <c r="F64"/>
  <c r="H64" s="1"/>
  <c r="F63"/>
  <c r="H63" s="1"/>
  <c r="F61"/>
  <c r="H61" s="1"/>
  <c r="I60"/>
  <c r="H60"/>
  <c r="F59"/>
  <c r="I59" s="1"/>
  <c r="F58"/>
  <c r="H58" s="1"/>
  <c r="I55"/>
  <c r="F55"/>
  <c r="H55" s="1"/>
  <c r="H54"/>
  <c r="F53"/>
  <c r="H53" s="1"/>
  <c r="F52"/>
  <c r="H52" s="1"/>
  <c r="F51"/>
  <c r="I51" s="1"/>
  <c r="F50"/>
  <c r="H50" s="1"/>
  <c r="F49"/>
  <c r="H49" s="1"/>
  <c r="F48"/>
  <c r="H48" s="1"/>
  <c r="F47"/>
  <c r="H47" s="1"/>
  <c r="I45"/>
  <c r="H45"/>
  <c r="F44"/>
  <c r="H44" s="1"/>
  <c r="F43"/>
  <c r="I43" s="1"/>
  <c r="F42"/>
  <c r="H42" s="1"/>
  <c r="I41"/>
  <c r="H41"/>
  <c r="F40"/>
  <c r="I40" s="1"/>
  <c r="I39"/>
  <c r="H39"/>
  <c r="H37"/>
  <c r="H36"/>
  <c r="H35"/>
  <c r="F35"/>
  <c r="I35" s="1"/>
  <c r="F34"/>
  <c r="I34" s="1"/>
  <c r="F33"/>
  <c r="H33" s="1"/>
  <c r="F32"/>
  <c r="I32" s="1"/>
  <c r="F31"/>
  <c r="H31" s="1"/>
  <c r="F28"/>
  <c r="I28" s="1"/>
  <c r="F27"/>
  <c r="H27" s="1"/>
  <c r="F26"/>
  <c r="H26" s="1"/>
  <c r="F25"/>
  <c r="H25" s="1"/>
  <c r="F24"/>
  <c r="H24" s="1"/>
  <c r="F23"/>
  <c r="H23" s="1"/>
  <c r="F22"/>
  <c r="H22" s="1"/>
  <c r="F21"/>
  <c r="I21" s="1"/>
  <c r="F20"/>
  <c r="I20" s="1"/>
  <c r="F19"/>
  <c r="H19" s="1"/>
  <c r="F18"/>
  <c r="I18" s="1"/>
  <c r="F17"/>
  <c r="I17" s="1"/>
  <c r="F16"/>
  <c r="I16" s="1"/>
  <c r="I90" i="18"/>
  <c r="I88"/>
  <c r="I89"/>
  <c r="I87"/>
  <c r="I66"/>
  <c r="I54"/>
  <c r="H121"/>
  <c r="H120"/>
  <c r="H119"/>
  <c r="H118"/>
  <c r="H117"/>
  <c r="H116"/>
  <c r="H115"/>
  <c r="H114"/>
  <c r="H113"/>
  <c r="H112"/>
  <c r="H111"/>
  <c r="H110"/>
  <c r="F109"/>
  <c r="H109" s="1"/>
  <c r="H108"/>
  <c r="H107"/>
  <c r="H106"/>
  <c r="H105"/>
  <c r="F104"/>
  <c r="H104" s="1"/>
  <c r="H103"/>
  <c r="H102"/>
  <c r="H101"/>
  <c r="F100"/>
  <c r="H100" s="1"/>
  <c r="H99"/>
  <c r="H98"/>
  <c r="H97"/>
  <c r="H96"/>
  <c r="H95"/>
  <c r="H94"/>
  <c r="H93"/>
  <c r="H92"/>
  <c r="H91"/>
  <c r="F90"/>
  <c r="H90" s="1"/>
  <c r="H89"/>
  <c r="H88"/>
  <c r="H87"/>
  <c r="I122"/>
  <c r="E84"/>
  <c r="F84" s="1"/>
  <c r="F83"/>
  <c r="H83" s="1"/>
  <c r="H81"/>
  <c r="H79"/>
  <c r="H77"/>
  <c r="H76"/>
  <c r="H75"/>
  <c r="I73"/>
  <c r="H73"/>
  <c r="F72"/>
  <c r="I72" s="1"/>
  <c r="F71"/>
  <c r="H71" s="1"/>
  <c r="F70"/>
  <c r="I70" s="1"/>
  <c r="F69"/>
  <c r="H69" s="1"/>
  <c r="F68"/>
  <c r="I68" s="1"/>
  <c r="H67"/>
  <c r="H66"/>
  <c r="F64"/>
  <c r="H64" s="1"/>
  <c r="F63"/>
  <c r="H63" s="1"/>
  <c r="F61"/>
  <c r="H61" s="1"/>
  <c r="I60"/>
  <c r="H60"/>
  <c r="F59"/>
  <c r="I59" s="1"/>
  <c r="F58"/>
  <c r="H58" s="1"/>
  <c r="I55"/>
  <c r="F55"/>
  <c r="H55" s="1"/>
  <c r="H54"/>
  <c r="F53"/>
  <c r="H53" s="1"/>
  <c r="F52"/>
  <c r="H52" s="1"/>
  <c r="F51"/>
  <c r="I51" s="1"/>
  <c r="F50"/>
  <c r="H50" s="1"/>
  <c r="F49"/>
  <c r="H49" s="1"/>
  <c r="F48"/>
  <c r="H48" s="1"/>
  <c r="F47"/>
  <c r="H47" s="1"/>
  <c r="I45"/>
  <c r="H45"/>
  <c r="F44"/>
  <c r="H44" s="1"/>
  <c r="F43"/>
  <c r="I43" s="1"/>
  <c r="F42"/>
  <c r="H42" s="1"/>
  <c r="I41"/>
  <c r="H41"/>
  <c r="F40"/>
  <c r="I40" s="1"/>
  <c r="I39"/>
  <c r="H39"/>
  <c r="H37"/>
  <c r="H36"/>
  <c r="H35"/>
  <c r="F35"/>
  <c r="I35" s="1"/>
  <c r="F34"/>
  <c r="I34" s="1"/>
  <c r="F33"/>
  <c r="H33" s="1"/>
  <c r="F32"/>
  <c r="I32" s="1"/>
  <c r="F31"/>
  <c r="H31" s="1"/>
  <c r="F28"/>
  <c r="I28" s="1"/>
  <c r="F27"/>
  <c r="H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F18"/>
  <c r="I18" s="1"/>
  <c r="F17"/>
  <c r="H17" s="1"/>
  <c r="F16"/>
  <c r="I16" s="1"/>
  <c r="I130" i="17"/>
  <c r="I128"/>
  <c r="H84" i="22" l="1"/>
  <c r="H85" s="1"/>
  <c r="I84"/>
  <c r="H16"/>
  <c r="I17"/>
  <c r="H18"/>
  <c r="I20"/>
  <c r="H21"/>
  <c r="I27"/>
  <c r="H28"/>
  <c r="I31"/>
  <c r="H32"/>
  <c r="I33"/>
  <c r="H34"/>
  <c r="H40"/>
  <c r="I42"/>
  <c r="H43"/>
  <c r="I44"/>
  <c r="H51"/>
  <c r="I58"/>
  <c r="H59"/>
  <c r="I64"/>
  <c r="H68"/>
  <c r="I69"/>
  <c r="H70"/>
  <c r="I71"/>
  <c r="H72"/>
  <c r="I83"/>
  <c r="I37" i="21"/>
  <c r="I39"/>
  <c r="I40"/>
  <c r="I38"/>
  <c r="H60"/>
  <c r="I22"/>
  <c r="I25"/>
  <c r="I23"/>
  <c r="H58"/>
  <c r="H62"/>
  <c r="I19"/>
  <c r="I26"/>
  <c r="I24"/>
  <c r="H74"/>
  <c r="H75" s="1"/>
  <c r="I74"/>
  <c r="H16"/>
  <c r="I17"/>
  <c r="H18"/>
  <c r="I20"/>
  <c r="H21"/>
  <c r="I27"/>
  <c r="H28"/>
  <c r="I31"/>
  <c r="H32"/>
  <c r="I33"/>
  <c r="H34"/>
  <c r="H41"/>
  <c r="I48"/>
  <c r="H49"/>
  <c r="H70" s="1"/>
  <c r="I54"/>
  <c r="I59"/>
  <c r="I61"/>
  <c r="I73"/>
  <c r="H17" i="20"/>
  <c r="I52"/>
  <c r="H20"/>
  <c r="I53"/>
  <c r="H84"/>
  <c r="H85" s="1"/>
  <c r="I84"/>
  <c r="H16"/>
  <c r="H18"/>
  <c r="H21"/>
  <c r="I27"/>
  <c r="H28"/>
  <c r="I31"/>
  <c r="H32"/>
  <c r="I33"/>
  <c r="H34"/>
  <c r="H40"/>
  <c r="I42"/>
  <c r="H43"/>
  <c r="I44"/>
  <c r="H51"/>
  <c r="I58"/>
  <c r="H59"/>
  <c r="I64"/>
  <c r="H68"/>
  <c r="I69"/>
  <c r="H70"/>
  <c r="I71"/>
  <c r="H72"/>
  <c r="I83"/>
  <c r="H20" i="19"/>
  <c r="H17"/>
  <c r="H72"/>
  <c r="H84"/>
  <c r="H85" s="1"/>
  <c r="I84"/>
  <c r="H16"/>
  <c r="H18"/>
  <c r="H21"/>
  <c r="I27"/>
  <c r="H28"/>
  <c r="I31"/>
  <c r="H32"/>
  <c r="I33"/>
  <c r="H34"/>
  <c r="H40"/>
  <c r="I42"/>
  <c r="H43"/>
  <c r="I44"/>
  <c r="H51"/>
  <c r="I58"/>
  <c r="H59"/>
  <c r="I64"/>
  <c r="H68"/>
  <c r="I69"/>
  <c r="H70"/>
  <c r="I71"/>
  <c r="I83"/>
  <c r="H68" i="18"/>
  <c r="H72"/>
  <c r="H70"/>
  <c r="H84"/>
  <c r="H85" s="1"/>
  <c r="I84"/>
  <c r="H16"/>
  <c r="I17"/>
  <c r="I85" s="1"/>
  <c r="H18"/>
  <c r="I20"/>
  <c r="H21"/>
  <c r="I27"/>
  <c r="H28"/>
  <c r="I31"/>
  <c r="H32"/>
  <c r="I33"/>
  <c r="H34"/>
  <c r="H40"/>
  <c r="I42"/>
  <c r="H43"/>
  <c r="I44"/>
  <c r="H51"/>
  <c r="I58"/>
  <c r="H59"/>
  <c r="H80" s="1"/>
  <c r="I64"/>
  <c r="I69"/>
  <c r="I71"/>
  <c r="I83"/>
  <c r="I85" i="22" l="1"/>
  <c r="I93" s="1"/>
  <c r="H80"/>
  <c r="I85" i="20"/>
  <c r="H80"/>
  <c r="I97"/>
  <c r="I91" i="19"/>
  <c r="H80"/>
  <c r="I124" i="18"/>
  <c r="I73" i="17" l="1"/>
  <c r="H127" l="1"/>
  <c r="H126"/>
  <c r="H125"/>
  <c r="H124"/>
  <c r="H123"/>
  <c r="H122"/>
  <c r="H121"/>
  <c r="H120"/>
  <c r="H119"/>
  <c r="H118"/>
  <c r="H117"/>
  <c r="H116"/>
  <c r="F115"/>
  <c r="H115" s="1"/>
  <c r="H114"/>
  <c r="H113"/>
  <c r="H112"/>
  <c r="H111"/>
  <c r="F110"/>
  <c r="H110" s="1"/>
  <c r="H109"/>
  <c r="H108"/>
  <c r="H107"/>
  <c r="H106"/>
  <c r="F106"/>
  <c r="H105"/>
  <c r="H104"/>
  <c r="H103"/>
  <c r="H102"/>
  <c r="H101"/>
  <c r="H100"/>
  <c r="H99"/>
  <c r="H98"/>
  <c r="H97"/>
  <c r="F96"/>
  <c r="H96" s="1"/>
  <c r="H95"/>
  <c r="H94"/>
  <c r="H93"/>
  <c r="I92"/>
  <c r="F92"/>
  <c r="H92" s="1"/>
  <c r="I91"/>
  <c r="H91"/>
  <c r="I90"/>
  <c r="H90"/>
  <c r="I89"/>
  <c r="H89"/>
  <c r="I88"/>
  <c r="H88"/>
  <c r="I87"/>
  <c r="H87"/>
  <c r="E84"/>
  <c r="F84" s="1"/>
  <c r="F83"/>
  <c r="H83" s="1"/>
  <c r="H81"/>
  <c r="H79"/>
  <c r="H77"/>
  <c r="H76"/>
  <c r="H75"/>
  <c r="H73"/>
  <c r="F72"/>
  <c r="F71"/>
  <c r="F70"/>
  <c r="F69"/>
  <c r="F68"/>
  <c r="H67"/>
  <c r="H66"/>
  <c r="F64"/>
  <c r="H64" s="1"/>
  <c r="F63"/>
  <c r="H63" s="1"/>
  <c r="F61"/>
  <c r="H61" s="1"/>
  <c r="I60"/>
  <c r="H60"/>
  <c r="F59"/>
  <c r="I59" s="1"/>
  <c r="F58"/>
  <c r="H58" s="1"/>
  <c r="I55"/>
  <c r="F55"/>
  <c r="H55" s="1"/>
  <c r="H54"/>
  <c r="F53"/>
  <c r="H53" s="1"/>
  <c r="F52"/>
  <c r="H52" s="1"/>
  <c r="F51"/>
  <c r="H51" s="1"/>
  <c r="F50"/>
  <c r="H50" s="1"/>
  <c r="F49"/>
  <c r="H49" s="1"/>
  <c r="F48"/>
  <c r="H48" s="1"/>
  <c r="F47"/>
  <c r="H47" s="1"/>
  <c r="I45"/>
  <c r="H45"/>
  <c r="F44"/>
  <c r="H44" s="1"/>
  <c r="F43"/>
  <c r="I43" s="1"/>
  <c r="F42"/>
  <c r="H42" s="1"/>
  <c r="I41"/>
  <c r="H41"/>
  <c r="F40"/>
  <c r="I40" s="1"/>
  <c r="I39"/>
  <c r="H39"/>
  <c r="F28"/>
  <c r="I28" s="1"/>
  <c r="H37"/>
  <c r="H36"/>
  <c r="F27"/>
  <c r="H27" s="1"/>
  <c r="H35"/>
  <c r="F35"/>
  <c r="I35" s="1"/>
  <c r="F34"/>
  <c r="F33"/>
  <c r="F32"/>
  <c r="F31"/>
  <c r="F26"/>
  <c r="H26" s="1"/>
  <c r="F25"/>
  <c r="H25" s="1"/>
  <c r="F24"/>
  <c r="H24" s="1"/>
  <c r="F23"/>
  <c r="H23" s="1"/>
  <c r="F22"/>
  <c r="H22" s="1"/>
  <c r="F21"/>
  <c r="H21" s="1"/>
  <c r="F20"/>
  <c r="I20" s="1"/>
  <c r="F19"/>
  <c r="H19" s="1"/>
  <c r="F18"/>
  <c r="H18" s="1"/>
  <c r="F17"/>
  <c r="I17" s="1"/>
  <c r="F16"/>
  <c r="H16" s="1"/>
  <c r="H68" l="1"/>
  <c r="I68"/>
  <c r="H70"/>
  <c r="I70"/>
  <c r="H72"/>
  <c r="I72"/>
  <c r="H69"/>
  <c r="I69"/>
  <c r="H71"/>
  <c r="I71"/>
  <c r="H32"/>
  <c r="I32"/>
  <c r="H34"/>
  <c r="I34"/>
  <c r="H31"/>
  <c r="I31"/>
  <c r="H33"/>
  <c r="I33"/>
  <c r="H17"/>
  <c r="H43"/>
  <c r="H59"/>
  <c r="H80" s="1"/>
  <c r="H20"/>
  <c r="H28"/>
  <c r="H40"/>
  <c r="I84"/>
  <c r="H84"/>
  <c r="H85" s="1"/>
  <c r="I16"/>
  <c r="I18"/>
  <c r="I21"/>
  <c r="I27"/>
  <c r="I42"/>
  <c r="I44"/>
  <c r="I51"/>
  <c r="I58"/>
  <c r="I64"/>
  <c r="I83"/>
  <c r="I85" l="1"/>
  <c r="G96" i="16" l="1"/>
  <c r="G85"/>
  <c r="G95" i="8"/>
  <c r="G85" l="1"/>
  <c r="G63"/>
  <c r="E32"/>
  <c r="G97" l="1"/>
  <c r="G98" i="16" l="1"/>
  <c r="G63"/>
  <c r="E32"/>
</calcChain>
</file>

<file path=xl/sharedStrings.xml><?xml version="1.0" encoding="utf-8"?>
<sst xmlns="http://schemas.openxmlformats.org/spreadsheetml/2006/main" count="2867" uniqueCount="264">
  <si>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</si>
  <si>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</si>
  <si>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</si>
  <si>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</si>
  <si>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</si>
  <si>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</si>
  <si>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</si>
  <si>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</si>
  <si>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</si>
  <si>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</si>
  <si>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</si>
  <si>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</si>
  <si>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</si>
  <si>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</si>
  <si>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</si>
  <si>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</si>
  <si>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</si>
  <si>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</si>
  <si>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</si>
  <si>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</si>
  <si>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</si>
  <si>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</si>
  <si>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</si>
  <si>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</si>
  <si>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</si>
  <si>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м2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</si>
  <si>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</si>
  <si>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</si>
  <si>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</si>
  <si>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</si>
  <si>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1 раз в месяц</t>
  </si>
  <si>
    <t>шт.</t>
  </si>
  <si>
    <t>м/час</t>
  </si>
  <si>
    <t>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</si>
  <si>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</si>
  <si>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</si>
  <si>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</si>
  <si>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</si>
  <si>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</si>
  <si>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</si>
  <si>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</si>
  <si>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</si>
  <si>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</si>
  <si>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</si>
  <si>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Очистка от мусора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</si>
  <si>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</si>
  <si>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</si>
  <si>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</si>
  <si>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</si>
  <si>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</si>
  <si>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</si>
  <si>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</si>
  <si>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Итого годовые затраты</t>
  </si>
  <si>
    <t>100 м2</t>
  </si>
  <si>
    <t>1 раз в год</t>
  </si>
  <si>
    <t>1 м2</t>
  </si>
  <si>
    <t>ежемесячно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</si>
  <si>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</si>
  <si>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</si>
  <si>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</si>
  <si>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</si>
  <si>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</si>
  <si>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</si>
  <si>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Проведение технических осмотров и мелкий ремонт</t>
  </si>
  <si>
    <t>пгт. Ярега</t>
  </si>
  <si>
    <t>155 раз</t>
  </si>
  <si>
    <t>Подборка мусора на контейнерной площадке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</si>
  <si>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</si>
  <si>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</si>
  <si>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</si>
  <si>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Подметание снега с тротуара, крылец, конт. площадок </t>
  </si>
  <si>
    <t>45 раз за сезон</t>
  </si>
  <si>
    <t>Стоимость песка -100м2-0,002м3</t>
  </si>
  <si>
    <t>3 раза в год</t>
  </si>
  <si>
    <t>Электроснабжение</t>
  </si>
  <si>
    <t>Смена ламп накаливания</t>
  </si>
  <si>
    <t>Смена плавкой вставки в электрощите</t>
  </si>
  <si>
    <t>10 шт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</si>
  <si>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</si>
  <si>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</si>
  <si>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</si>
  <si>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</si>
  <si>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за период с 01.01.2016 г. по 31.01.2016 г.</t>
  </si>
  <si>
    <t>Ремонт групповых щитков на лестничной клетке без ремонта автоматов</t>
  </si>
  <si>
    <t>Итого:</t>
  </si>
  <si>
    <t>1 м</t>
  </si>
  <si>
    <t>Подключение и отключение сварочного аппарата</t>
  </si>
  <si>
    <t>Внеплановый осмотр электросетей, арматуры и электрооборудования на лестничных клетках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</si>
  <si>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</si>
  <si>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место</t>
  </si>
  <si>
    <t>Смена сгонов у трубопроводов диаметром до 32 мм</t>
  </si>
  <si>
    <t>Пристрожка полотна по кромкам</t>
  </si>
  <si>
    <t>Смена дверных приборов (замки навесные)</t>
  </si>
  <si>
    <t>II. Уборка земельного участка</t>
  </si>
  <si>
    <t>ООО «Жилсервис»</t>
  </si>
  <si>
    <t>АКТ №11</t>
  </si>
  <si>
    <t>за период с 01.11.2016 г. по 30.11.2016 г.</t>
  </si>
  <si>
    <t>Влажное подметание лестничных клеток 1 этажа</t>
  </si>
  <si>
    <t>100м2</t>
  </si>
  <si>
    <t>3 раза в неделю 156 раз в год</t>
  </si>
  <si>
    <t>2 раза в неделю 104 раза в год</t>
  </si>
  <si>
    <t>155 раз за сезон</t>
  </si>
  <si>
    <t>1000м2</t>
  </si>
  <si>
    <t xml:space="preserve">Пескопосыпка территории: крыльца и тротуары 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</si>
  <si>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</si>
  <si>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</si>
  <si>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Техническое обслуживание наружных газопроводов</t>
  </si>
  <si>
    <t>Мытье окон</t>
  </si>
  <si>
    <t>10м2</t>
  </si>
  <si>
    <t xml:space="preserve">1 раз в год     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</si>
  <si>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</si>
  <si>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</si>
  <si>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</si>
  <si>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</si>
  <si>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подоконников</t>
  </si>
  <si>
    <t>Влажная протирка отопительных приборов</t>
  </si>
  <si>
    <t>2 раза в неделю 52 раза в сезон</t>
  </si>
  <si>
    <t>3 раза в неделю 78 раз за сезон</t>
  </si>
  <si>
    <t>Уборка контейнерной площадки (16 кв.м.)</t>
  </si>
  <si>
    <t>Уборка газонов</t>
  </si>
  <si>
    <t>Сдвигание снега в дни снегопада (крыльца, тротуары)</t>
  </si>
  <si>
    <t>1 раз в месяц (5 раз за сезон)</t>
  </si>
  <si>
    <t>шт</t>
  </si>
  <si>
    <t xml:space="preserve">6 раз за сезон </t>
  </si>
  <si>
    <t>100м3</t>
  </si>
  <si>
    <t>1000м3</t>
  </si>
  <si>
    <t>Вода для промывки СО</t>
  </si>
  <si>
    <t>Сброс воды после промывки СО в канализацию</t>
  </si>
  <si>
    <t>ТО внутридомового газ.оборудования</t>
  </si>
  <si>
    <t>Замена ламп ДРЛ</t>
  </si>
  <si>
    <t>Аварийно-диспетчерское обслуживание</t>
  </si>
  <si>
    <t>АКТ №12</t>
  </si>
  <si>
    <t>за период с 01.12.2016 г. по 31.12.2016 г.</t>
  </si>
  <si>
    <t>Влажное подметание лестничных клеток 2-5 этажа</t>
  </si>
  <si>
    <t>Мытье лестничных  площадок и маршей 1-5 этаж.</t>
  </si>
  <si>
    <t xml:space="preserve">1 раз в месяц </t>
  </si>
  <si>
    <t>ежедневно 365 раз</t>
  </si>
  <si>
    <t>Подметание территории с усовершенствованным покрытием асф.: крыльца, контейнерн пл., проезд, тротуар</t>
  </si>
  <si>
    <t>Очистка  от мусора</t>
  </si>
  <si>
    <t>Дератизация</t>
  </si>
  <si>
    <t>Влажная протирка шкафов для щитов и слаботочн.ус.</t>
  </si>
  <si>
    <t>Прочистка каналов</t>
  </si>
  <si>
    <t xml:space="preserve">2 раза в месяц 24 раза в год </t>
  </si>
  <si>
    <t>1 раз в 2  месяца</t>
  </si>
  <si>
    <t>Вывоз снега с придомовой территории</t>
  </si>
  <si>
    <t>1м3</t>
  </si>
  <si>
    <t>30 раз за сезон</t>
  </si>
  <si>
    <t>35 раз за сезон</t>
  </si>
  <si>
    <t xml:space="preserve">Осмотр рулонной кровли </t>
  </si>
  <si>
    <t>Очистка края кровли от слежавшегося снега со сбрасыванием сосулек (10% от S кровли и козырьки)</t>
  </si>
  <si>
    <t>Очистка водостоков от наледи</t>
  </si>
  <si>
    <t>Очистка внутреннего водостока</t>
  </si>
  <si>
    <t>водосток</t>
  </si>
  <si>
    <t xml:space="preserve"> </t>
  </si>
  <si>
    <t>Очистка урн от мусора</t>
  </si>
  <si>
    <t>Мелкий ремонт электропроводки</t>
  </si>
  <si>
    <t>Снятие оконных переплетов остекленных</t>
  </si>
  <si>
    <t>10 м2</t>
  </si>
  <si>
    <t>Снятие показаний эл.счетчика коммунального назначения</t>
  </si>
  <si>
    <t xml:space="preserve">Смена светодиодных светильников </t>
  </si>
  <si>
    <t>Устройство хомута диаметром до 50 мм</t>
  </si>
  <si>
    <t>Очистка фановой трубы от наледи</t>
  </si>
  <si>
    <t xml:space="preserve">приемки оказанных услуг и выполненных работ по содержанию и текущему ремонту
общего имущества в многоквартирном доме №9а по ул.Советская пгт.Ярега
</t>
  </si>
  <si>
    <t>Смена трубопроводов на полипропиленовые трубы PN25 диаметром 25 мм</t>
  </si>
  <si>
    <t>м</t>
  </si>
  <si>
    <t>Смена арматуры - вентилей и клапанов обратных муфтовых диаметром до 20 мм</t>
  </si>
  <si>
    <t>1 шт</t>
  </si>
  <si>
    <t>Смена арматуры - вентилей и клапанов обратных муфтовых диаметром до 32 мм</t>
  </si>
  <si>
    <t>Смена трубопроводов на полипропиленовые трубы PN25 диаметром 20 мм</t>
  </si>
  <si>
    <t>2. Всего за период с 01.12.2016 по 31.12.2016 выполнено работ (оказано услуг) на общую сумму: 115768,44 руб.</t>
  </si>
  <si>
    <t>(сто пятнадцать тысяч семьсот шестьдесят восемь рублей 44 копейки)</t>
  </si>
  <si>
    <t>Прочистка засоров ГВС, XВC</t>
  </si>
  <si>
    <t>3м</t>
  </si>
  <si>
    <t>2. Всего за период с 01.11.2016 по 30.11.2016 выполнено работ (оказано услуг) на общую сумму: 90609,21 руб.</t>
  </si>
  <si>
    <t>(девяносто тысяч шестьсот девять рублей 21 копейка)</t>
  </si>
  <si>
    <r>
      <t xml:space="preserve">    Собственники помещений в многоквартирном доме, расположенном по адресу: пгт.Ярега, ул.Строительная, д.9а, именуемые в дальнейшем "Заказчик", 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25.03.2014г. стороны, и ООО «Жилсервис», именуемое в дальнейшем "Исполнитель", в лице генерального директора Куканова Юрия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</si>
  <si>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r>
      <t xml:space="preserve">1. Исполнителем  предъявлены  к  приемке  следующие  оказанные  на  основании  Договора  на  содержание  и  ремонт  многоквартирного  дома  № </t>
    </r>
    <r>
      <rPr>
        <u/>
        <sz val="12"/>
        <rFont val="Times New Roman"/>
        <family val="1"/>
        <charset val="204"/>
      </rPr>
      <t xml:space="preserve"> 9а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ул.Строительная, д.9а</t>
    </r>
  </si>
  <si>
    <t>III. Проведение технических осмотров</t>
  </si>
  <si>
    <t>IV. Содержание общего имущества МКД</t>
  </si>
  <si>
    <t>V. Прочие услуги</t>
  </si>
  <si>
    <t>генеральный директор Куканов Ю.Л.</t>
  </si>
  <si>
    <t>III. Содержание общего имущества МКД</t>
  </si>
  <si>
    <t>IV. Прочие услуги</t>
  </si>
  <si>
    <t>АКТ №1</t>
  </si>
  <si>
    <t>1 раз в 2 месяца</t>
  </si>
  <si>
    <t>Ремонт и регулировка доводчика (со стоимостью доводчика)</t>
  </si>
  <si>
    <t>1шт.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</si>
  <si>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</si>
  <si>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</si>
  <si>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Работа автовышки</t>
  </si>
  <si>
    <t>маш/час</t>
  </si>
  <si>
    <t>Смена кронштейна</t>
  </si>
  <si>
    <t>Ремонт силового предохранительного шкафа (без стоимости материалов)</t>
  </si>
  <si>
    <t>Смена плавкой вставки на электрощите</t>
  </si>
  <si>
    <t>Демонтаж осветительных приборов. Светильники с лампами накаливания</t>
  </si>
  <si>
    <t>10шт</t>
  </si>
  <si>
    <t>Монтаж общедомового узла учёта электроэнергии</t>
  </si>
  <si>
    <t>тыс.руб.</t>
  </si>
  <si>
    <t>Смена полиэтиленовых канализационных труб 110×2000 мм</t>
  </si>
  <si>
    <t>Манжета 100</t>
  </si>
  <si>
    <t>Переход чугун-пластик 100</t>
  </si>
  <si>
    <t xml:space="preserve">Герметизация стыков трубопроводов    </t>
  </si>
  <si>
    <t>1 место</t>
  </si>
  <si>
    <t>Демонтаж тамбура</t>
  </si>
  <si>
    <t>Установка дверных полотен наружных кроме балконных (без стоимости полотен)</t>
  </si>
  <si>
    <t>полотно</t>
  </si>
  <si>
    <t>Настройка таймера освещения ТО-2</t>
  </si>
  <si>
    <t>100шт</t>
  </si>
  <si>
    <t>Ремонт ограждений контейнерной площадки</t>
  </si>
  <si>
    <t>Ремонт ограждения на лестничной клетке (мат-л: уголок 25)</t>
  </si>
  <si>
    <t>1 сгон</t>
  </si>
  <si>
    <t>Герметизация канализационной трубы</t>
  </si>
  <si>
    <t>10 м.</t>
  </si>
  <si>
    <t>Смена полиэтиленовых канализационных труб 110×1000 мм</t>
  </si>
  <si>
    <t>Тройник 110</t>
  </si>
  <si>
    <t>Патрубок компенсационный ПП Ду 110 с кольцом</t>
  </si>
  <si>
    <t>Проектно-сменая документация по замене аварийного тамбура под.№2</t>
  </si>
  <si>
    <t>Вывертывание и ввертывание радиаторной пробки</t>
  </si>
  <si>
    <t>1 пробка</t>
  </si>
  <si>
    <t>Смена вентилей диаметром до 20 мм (без стоимости маериалов)</t>
  </si>
  <si>
    <t>Монтаж светодиодных светильников</t>
  </si>
  <si>
    <t>1 полотно</t>
  </si>
  <si>
    <t>Ремонт крыльца (II под.)</t>
  </si>
  <si>
    <t>Переход на чугун 110×119 ВР</t>
  </si>
  <si>
    <t>Смена тройника 20×15×20</t>
  </si>
  <si>
    <t>5 раз в год</t>
  </si>
  <si>
    <t>2. Всего за период с 01.01.2016 по 31.01.2016 выполнено работ (оказано услуг) на общую сумму: 105651,09 руб.</t>
  </si>
  <si>
    <t>(сто пять тысяч шестьсот пятьдесят один рубль 09 копеек)</t>
  </si>
  <si>
    <t>АКТ №2</t>
  </si>
  <si>
    <t>за период с 01.02.2016 г. по 29.02.2016 г.</t>
  </si>
  <si>
    <t>2. Всего за период с 01.02.2016 по 29.02.2016 выполнено работ (оказано услуг) на общую сумму: 89494,08 руб.</t>
  </si>
  <si>
    <t>(восемьдесят девять тысяч четыреста девяносто четыре рубля 08 копеек)</t>
  </si>
  <si>
    <t>АКТ №3</t>
  </si>
  <si>
    <t>за период с 01.03.2016 г. по 31.03.2016 г.</t>
  </si>
  <si>
    <t>2. Всего за период с 01.03.2016 по 31.03.2016 выполнено работ (оказано услуг) на общую сумму: 111578,06 руб.</t>
  </si>
  <si>
    <t>(сто одиннадцать тысяч пятьсот семьдесят восемь рублей 06 копеек)</t>
  </si>
  <si>
    <t>АКТ №4</t>
  </si>
  <si>
    <t>за период с 01.04.2016 г. по 30.04.2016 г.</t>
  </si>
  <si>
    <t>2. Всего за период с 01.04.2016 по 30.04.2016 выполнено работ (оказано услуг) на общую сумму: 144611,61 руб.</t>
  </si>
  <si>
    <t>(сто сорок четыре тысячи шестьсот одиннадцать рублей 61 копейка)</t>
  </si>
  <si>
    <t>АКТ №5</t>
  </si>
  <si>
    <t>за период с 01.05.2016 г. по 31.05.2016 г.</t>
  </si>
  <si>
    <t>2. Всего за период с 01.05.2016 по 31.05.2016 выполнено работ (оказано услуг) на общую сумму: 213625,29 руб.</t>
  </si>
  <si>
    <t>(двести тринадцать тысяч шестьсот двадцать пять рублей 29 копеек)</t>
  </si>
  <si>
    <t>АКТ №6</t>
  </si>
  <si>
    <t>за период с 01.06.2016 г. по 30.06.2016 г.</t>
  </si>
  <si>
    <t>2. Всего за период с 01.06.2016 по 30.06.2016 выполнено работ (оказано услуг) на общую сумму: 81199,91 руб.</t>
  </si>
  <si>
    <t>(восемьдесят одна тысяча сто девяносто девяь рублей 91 копейка)</t>
  </si>
  <si>
    <t>АКТ №7</t>
  </si>
  <si>
    <t>за период с 01.07.2016 г. по 31.07.2016 г.</t>
  </si>
  <si>
    <t>2. Всего за период с 01.07.2016 по 31.07.2016 выполнено работ (оказано услуг) на общую сумму: 79642,14 руб.</t>
  </si>
  <si>
    <t>(семьдесят девять тысяч шестьсот сорок два рубля 14 копеек)</t>
  </si>
  <si>
    <t>АКТ №8</t>
  </si>
  <si>
    <t>за период с 01.08.2016 г. по 31.08.2016 г.</t>
  </si>
  <si>
    <t>2. Всего за период с 01.08.2016 по 31.08.2016 выполнено работ (оказано услуг) на общую сумму: 144765,88 руб.</t>
  </si>
  <si>
    <t>(сто сорок четыре тысяи семьсот шестьдесят пять рублей 88 копеек)</t>
  </si>
  <si>
    <t>АКТ №9</t>
  </si>
  <si>
    <t>за период с 01.09.2016 г. по 30.09.2016 г.</t>
  </si>
  <si>
    <t>2. Всего за период с 01.09.2016 по 30.09.2016 выполнено работ (оказано услуг) на общую сумму: 93947,60 руб.</t>
  </si>
  <si>
    <t>(девяносто три тысячи девятьсот сорок семь рублей 60 копеек)</t>
  </si>
  <si>
    <t>АКТ №10</t>
  </si>
  <si>
    <t>за период с 01.10.2016 г. по 31.10.2016 г.</t>
  </si>
  <si>
    <t>2. Всего за период с 01.10.2016 по 31.10.2016 выполнено работ (оказано услуг) на общую сумму: 165763,91 руб.</t>
  </si>
  <si>
    <t>(сто шестьдесят пять тысяч семьсот шестьдесят три рубля 91 копейка)</t>
  </si>
</sst>
</file>

<file path=xl/styles.xml><?xml version="1.0" encoding="utf-8"?>
<styleSheet xmlns="http://schemas.openxmlformats.org/spreadsheetml/2006/main">
  <numFmts count="1">
    <numFmt numFmtId="164" formatCode="#,##0.000"/>
  </numFmts>
  <fonts count="20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.5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51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191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0" fontId="11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center"/>
    </xf>
    <xf numFmtId="4" fontId="11" fillId="0" borderId="3" xfId="0" applyNumberFormat="1" applyFont="1" applyFill="1" applyBorder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164" fontId="11" fillId="0" borderId="3" xfId="0" applyNumberFormat="1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2" fontId="11" fillId="0" borderId="3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13" fillId="0" borderId="3" xfId="0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/>
    </xf>
    <xf numFmtId="0" fontId="11" fillId="3" borderId="8" xfId="0" applyFont="1" applyFill="1" applyBorder="1" applyAlignment="1">
      <alignment horizontal="left" vertical="center" wrapText="1"/>
    </xf>
    <xf numFmtId="4" fontId="11" fillId="3" borderId="8" xfId="0" applyNumberFormat="1" applyFont="1" applyFill="1" applyBorder="1" applyAlignment="1">
      <alignment horizontal="center" vertical="center"/>
    </xf>
    <xf numFmtId="0" fontId="14" fillId="0" borderId="3" xfId="0" applyFont="1" applyBorder="1"/>
    <xf numFmtId="4" fontId="11" fillId="2" borderId="3" xfId="0" applyNumberFormat="1" applyFont="1" applyFill="1" applyBorder="1" applyAlignment="1">
      <alignment horizontal="center" vertical="center"/>
    </xf>
    <xf numFmtId="4" fontId="11" fillId="3" borderId="3" xfId="0" applyNumberFormat="1" applyFont="1" applyFill="1" applyBorder="1" applyAlignment="1">
      <alignment horizontal="center" vertical="center"/>
    </xf>
    <xf numFmtId="4" fontId="11" fillId="4" borderId="3" xfId="0" applyNumberFormat="1" applyFont="1" applyFill="1" applyBorder="1" applyAlignment="1">
      <alignment horizontal="center" vertical="center"/>
    </xf>
    <xf numFmtId="0" fontId="14" fillId="0" borderId="0" xfId="0" applyFont="1"/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left" wrapText="1"/>
    </xf>
    <xf numFmtId="0" fontId="11" fillId="3" borderId="8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/>
    </xf>
    <xf numFmtId="2" fontId="11" fillId="0" borderId="3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11" fillId="2" borderId="11" xfId="0" applyFont="1" applyFill="1" applyBorder="1" applyAlignment="1">
      <alignment horizontal="left" vertical="center" wrapText="1"/>
    </xf>
    <xf numFmtId="4" fontId="11" fillId="2" borderId="0" xfId="0" applyNumberFormat="1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 wrapText="1"/>
    </xf>
    <xf numFmtId="4" fontId="11" fillId="0" borderId="13" xfId="0" applyNumberFormat="1" applyFont="1" applyFill="1" applyBorder="1" applyAlignment="1">
      <alignment horizontal="center" vertical="center" wrapText="1"/>
    </xf>
    <xf numFmtId="2" fontId="11" fillId="0" borderId="13" xfId="0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left" vertical="center" wrapText="1"/>
    </xf>
    <xf numFmtId="0" fontId="11" fillId="2" borderId="14" xfId="0" applyFont="1" applyFill="1" applyBorder="1" applyAlignment="1">
      <alignment horizontal="center" vertical="center"/>
    </xf>
    <xf numFmtId="4" fontId="11" fillId="0" borderId="7" xfId="0" applyNumberFormat="1" applyFont="1" applyFill="1" applyBorder="1" applyAlignment="1">
      <alignment horizontal="center" vertical="center" wrapText="1"/>
    </xf>
    <xf numFmtId="2" fontId="11" fillId="0" borderId="7" xfId="0" applyNumberFormat="1" applyFont="1" applyFill="1" applyBorder="1" applyAlignment="1">
      <alignment horizontal="center" vertical="center"/>
    </xf>
    <xf numFmtId="0" fontId="14" fillId="0" borderId="3" xfId="0" applyFont="1" applyBorder="1" applyAlignment="1"/>
    <xf numFmtId="0" fontId="11" fillId="5" borderId="3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11" fillId="2" borderId="7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left" vertical="center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11" fillId="2" borderId="4" xfId="0" applyNumberFormat="1" applyFont="1" applyFill="1" applyBorder="1" applyAlignment="1" applyProtection="1">
      <alignment horizontal="left" vertical="center" wrapText="1"/>
    </xf>
    <xf numFmtId="0" fontId="11" fillId="2" borderId="15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left" wrapText="1"/>
    </xf>
    <xf numFmtId="0" fontId="14" fillId="0" borderId="0" xfId="0" applyFont="1" applyAlignment="1">
      <alignment horizontal="center" vertical="center"/>
    </xf>
    <xf numFmtId="0" fontId="11" fillId="0" borderId="13" xfId="0" applyNumberFormat="1" applyFont="1" applyFill="1" applyBorder="1" applyAlignment="1" applyProtection="1">
      <alignment horizontal="left" vertical="center" wrapText="1"/>
    </xf>
    <xf numFmtId="0" fontId="11" fillId="2" borderId="13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1" fillId="2" borderId="12" xfId="0" applyFont="1" applyFill="1" applyBorder="1" applyAlignment="1">
      <alignment horizontal="left" vertical="center" wrapText="1"/>
    </xf>
    <xf numFmtId="0" fontId="11" fillId="4" borderId="7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left" vertical="center" wrapText="1"/>
    </xf>
    <xf numFmtId="4" fontId="11" fillId="4" borderId="7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9" fillId="0" borderId="3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center" vertical="center"/>
    </xf>
    <xf numFmtId="4" fontId="11" fillId="0" borderId="8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/>
    </xf>
    <xf numFmtId="4" fontId="11" fillId="0" borderId="16" xfId="0" applyNumberFormat="1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/>
    </xf>
    <xf numFmtId="4" fontId="17" fillId="0" borderId="8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center" vertical="center"/>
    </xf>
    <xf numFmtId="4" fontId="11" fillId="0" borderId="11" xfId="0" applyNumberFormat="1" applyFont="1" applyFill="1" applyBorder="1" applyAlignment="1">
      <alignment horizontal="center" vertical="center" wrapText="1"/>
    </xf>
    <xf numFmtId="4" fontId="11" fillId="0" borderId="17" xfId="0" applyNumberFormat="1" applyFont="1" applyFill="1" applyBorder="1" applyAlignment="1">
      <alignment horizontal="center" vertical="center"/>
    </xf>
    <xf numFmtId="4" fontId="11" fillId="0" borderId="18" xfId="0" applyNumberFormat="1" applyFont="1" applyFill="1" applyBorder="1" applyAlignment="1">
      <alignment horizontal="center" vertical="center"/>
    </xf>
    <xf numFmtId="4" fontId="11" fillId="0" borderId="11" xfId="0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0" fontId="11" fillId="0" borderId="13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left"/>
    </xf>
    <xf numFmtId="0" fontId="2" fillId="0" borderId="2" xfId="0" applyFont="1" applyBorder="1" applyAlignment="1">
      <alignment horizontal="left" wrapText="1"/>
    </xf>
    <xf numFmtId="0" fontId="14" fillId="0" borderId="1" xfId="0" applyFont="1" applyBorder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51"/>
  <sheetViews>
    <sheetView tabSelected="1"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4" t="s">
        <v>94</v>
      </c>
      <c r="I1" s="33"/>
      <c r="J1" s="1"/>
      <c r="K1" s="1"/>
      <c r="L1" s="1"/>
      <c r="M1" s="1"/>
    </row>
    <row r="2" spans="1:13" ht="15.75">
      <c r="A2" s="35" t="s">
        <v>64</v>
      </c>
      <c r="J2" s="2"/>
      <c r="K2" s="2"/>
      <c r="L2" s="2"/>
      <c r="M2" s="2"/>
    </row>
    <row r="3" spans="1:13" ht="15.75" customHeight="1">
      <c r="A3" s="180" t="s">
        <v>183</v>
      </c>
      <c r="B3" s="180"/>
      <c r="C3" s="180"/>
      <c r="D3" s="180"/>
      <c r="E3" s="180"/>
      <c r="F3" s="180"/>
      <c r="G3" s="180"/>
      <c r="H3" s="180"/>
      <c r="I3" s="180"/>
      <c r="J3" s="3"/>
      <c r="K3" s="3"/>
      <c r="L3" s="3"/>
    </row>
    <row r="4" spans="1:13" ht="31.5" customHeight="1">
      <c r="A4" s="181" t="s">
        <v>162</v>
      </c>
      <c r="B4" s="181"/>
      <c r="C4" s="181"/>
      <c r="D4" s="181"/>
      <c r="E4" s="181"/>
      <c r="F4" s="181"/>
      <c r="G4" s="181"/>
      <c r="H4" s="181"/>
      <c r="I4" s="181"/>
    </row>
    <row r="5" spans="1:13" ht="15.75">
      <c r="A5" s="180" t="s">
        <v>82</v>
      </c>
      <c r="B5" s="182"/>
      <c r="C5" s="182"/>
      <c r="D5" s="182"/>
      <c r="E5" s="182"/>
      <c r="F5" s="182"/>
      <c r="G5" s="182"/>
      <c r="H5" s="182"/>
      <c r="I5" s="182"/>
      <c r="J5" s="2"/>
      <c r="K5" s="2"/>
      <c r="L5" s="2"/>
      <c r="M5" s="2"/>
    </row>
    <row r="6" spans="1:13" ht="15.75">
      <c r="A6" s="2"/>
      <c r="B6" s="120"/>
      <c r="C6" s="120"/>
      <c r="D6" s="120"/>
      <c r="E6" s="120"/>
      <c r="F6" s="120"/>
      <c r="G6" s="120"/>
      <c r="H6" s="120"/>
      <c r="I6" s="37">
        <v>42400</v>
      </c>
      <c r="J6" s="2"/>
      <c r="K6" s="2"/>
      <c r="L6" s="2"/>
      <c r="M6" s="2"/>
    </row>
    <row r="7" spans="1:13" ht="15.75">
      <c r="B7" s="118"/>
      <c r="C7" s="118"/>
      <c r="D7" s="118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83" t="s">
        <v>175</v>
      </c>
      <c r="B8" s="183"/>
      <c r="C8" s="183"/>
      <c r="D8" s="183"/>
      <c r="E8" s="183"/>
      <c r="F8" s="183"/>
      <c r="G8" s="183"/>
      <c r="H8" s="183"/>
      <c r="I8" s="183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84" t="s">
        <v>176</v>
      </c>
      <c r="B10" s="184"/>
      <c r="C10" s="184"/>
      <c r="D10" s="184"/>
      <c r="E10" s="184"/>
      <c r="F10" s="184"/>
      <c r="G10" s="184"/>
      <c r="H10" s="184"/>
      <c r="I10" s="184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85" t="s">
        <v>60</v>
      </c>
      <c r="B14" s="185"/>
      <c r="C14" s="185"/>
      <c r="D14" s="185"/>
      <c r="E14" s="185"/>
      <c r="F14" s="185"/>
      <c r="G14" s="185"/>
      <c r="H14" s="185"/>
      <c r="I14" s="185"/>
      <c r="J14" s="8"/>
      <c r="K14" s="8"/>
      <c r="L14" s="8"/>
      <c r="M14" s="8"/>
    </row>
    <row r="15" spans="1:13" ht="15" customHeight="1">
      <c r="A15" s="173" t="s">
        <v>4</v>
      </c>
      <c r="B15" s="173"/>
      <c r="C15" s="173"/>
      <c r="D15" s="173"/>
      <c r="E15" s="173"/>
      <c r="F15" s="173"/>
      <c r="G15" s="173"/>
      <c r="H15" s="173"/>
      <c r="I15" s="173"/>
      <c r="J15" s="8"/>
      <c r="K15" s="8"/>
      <c r="L15" s="8"/>
      <c r="M15" s="8"/>
    </row>
    <row r="16" spans="1:13" ht="31.5" customHeight="1">
      <c r="A16" s="36">
        <v>1</v>
      </c>
      <c r="B16" s="141" t="s">
        <v>97</v>
      </c>
      <c r="C16" s="142" t="s">
        <v>98</v>
      </c>
      <c r="D16" s="141" t="s">
        <v>99</v>
      </c>
      <c r="E16" s="143">
        <v>143.78</v>
      </c>
      <c r="F16" s="144">
        <f>SUM(E16*156/100)</f>
        <v>224.29679999999999</v>
      </c>
      <c r="G16" s="144">
        <v>187.48</v>
      </c>
      <c r="H16" s="145">
        <f t="shared" ref="H16:H25" si="0">SUM(F16*G16/1000)</f>
        <v>42.051164063999998</v>
      </c>
      <c r="I16" s="16">
        <f>F16/12*G16</f>
        <v>3504.2636719999996</v>
      </c>
      <c r="J16" s="28"/>
      <c r="K16" s="8"/>
      <c r="L16" s="8"/>
      <c r="M16" s="8"/>
    </row>
    <row r="17" spans="1:13" ht="31.5" customHeight="1">
      <c r="A17" s="36">
        <v>2</v>
      </c>
      <c r="B17" s="141" t="s">
        <v>133</v>
      </c>
      <c r="C17" s="142" t="s">
        <v>98</v>
      </c>
      <c r="D17" s="141" t="s">
        <v>100</v>
      </c>
      <c r="E17" s="143">
        <v>575.125</v>
      </c>
      <c r="F17" s="144">
        <f>SUM(E17*104/100)</f>
        <v>598.13</v>
      </c>
      <c r="G17" s="144">
        <v>187.48</v>
      </c>
      <c r="H17" s="145">
        <f t="shared" si="0"/>
        <v>112.13741239999999</v>
      </c>
      <c r="I17" s="16">
        <f>F17/12*G17</f>
        <v>9344.7843666666668</v>
      </c>
      <c r="J17" s="29"/>
      <c r="K17" s="8"/>
      <c r="L17" s="8"/>
      <c r="M17" s="8"/>
    </row>
    <row r="18" spans="1:13" ht="31.5" customHeight="1">
      <c r="A18" s="36">
        <v>3</v>
      </c>
      <c r="B18" s="141" t="s">
        <v>134</v>
      </c>
      <c r="C18" s="142" t="s">
        <v>98</v>
      </c>
      <c r="D18" s="141" t="s">
        <v>142</v>
      </c>
      <c r="E18" s="143">
        <v>718.9</v>
      </c>
      <c r="F18" s="144">
        <f>SUM(E18*24/100)</f>
        <v>172.53599999999997</v>
      </c>
      <c r="G18" s="144">
        <v>539.51</v>
      </c>
      <c r="H18" s="145">
        <f t="shared" si="0"/>
        <v>93.084897359999985</v>
      </c>
      <c r="I18" s="16">
        <f>F18/12*G18</f>
        <v>7757.074779999999</v>
      </c>
      <c r="J18" s="29"/>
      <c r="K18" s="8"/>
      <c r="L18" s="8"/>
      <c r="M18" s="8"/>
    </row>
    <row r="19" spans="1:13" ht="15.75" hidden="1" customHeight="1">
      <c r="A19" s="36"/>
      <c r="B19" s="141" t="s">
        <v>107</v>
      </c>
      <c r="C19" s="142" t="s">
        <v>108</v>
      </c>
      <c r="D19" s="141" t="s">
        <v>109</v>
      </c>
      <c r="E19" s="143">
        <v>42.2</v>
      </c>
      <c r="F19" s="144">
        <f>SUM(E19/10)</f>
        <v>4.2200000000000006</v>
      </c>
      <c r="G19" s="144">
        <v>181.91</v>
      </c>
      <c r="H19" s="145">
        <f t="shared" si="0"/>
        <v>0.76766020000000013</v>
      </c>
      <c r="I19" s="16">
        <v>0</v>
      </c>
      <c r="J19" s="29"/>
      <c r="K19" s="8"/>
      <c r="L19" s="8"/>
      <c r="M19" s="8"/>
    </row>
    <row r="20" spans="1:13" ht="15.75" customHeight="1">
      <c r="A20" s="36">
        <v>4</v>
      </c>
      <c r="B20" s="141" t="s">
        <v>110</v>
      </c>
      <c r="C20" s="142" t="s">
        <v>98</v>
      </c>
      <c r="D20" s="141" t="s">
        <v>135</v>
      </c>
      <c r="E20" s="143">
        <v>14</v>
      </c>
      <c r="F20" s="144">
        <f>SUM(E20*12/100)</f>
        <v>1.68</v>
      </c>
      <c r="G20" s="144">
        <v>232.92</v>
      </c>
      <c r="H20" s="145">
        <f t="shared" si="0"/>
        <v>0.39130559999999998</v>
      </c>
      <c r="I20" s="16">
        <f>F20/12*G20</f>
        <v>32.608799999999995</v>
      </c>
      <c r="J20" s="29"/>
      <c r="K20" s="8"/>
      <c r="L20" s="8"/>
      <c r="M20" s="8"/>
    </row>
    <row r="21" spans="1:13" ht="15.75" customHeight="1">
      <c r="A21" s="36">
        <v>5</v>
      </c>
      <c r="B21" s="141" t="s">
        <v>111</v>
      </c>
      <c r="C21" s="142" t="s">
        <v>98</v>
      </c>
      <c r="D21" s="141" t="s">
        <v>184</v>
      </c>
      <c r="E21" s="143">
        <v>4.8</v>
      </c>
      <c r="F21" s="144">
        <f>SUM(E21*6/100)</f>
        <v>0.28799999999999998</v>
      </c>
      <c r="G21" s="144">
        <v>231.03</v>
      </c>
      <c r="H21" s="145">
        <f>SUM(F21*G21/1000)</f>
        <v>6.6536639999999994E-2</v>
      </c>
      <c r="I21" s="16">
        <f>F21/6*G21</f>
        <v>11.089439999999998</v>
      </c>
      <c r="J21" s="29"/>
      <c r="K21" s="8"/>
      <c r="L21" s="8"/>
      <c r="M21" s="8"/>
    </row>
    <row r="22" spans="1:13" ht="15.75" hidden="1" customHeight="1">
      <c r="A22" s="36"/>
      <c r="B22" s="141" t="s">
        <v>112</v>
      </c>
      <c r="C22" s="142" t="s">
        <v>53</v>
      </c>
      <c r="D22" s="141" t="s">
        <v>109</v>
      </c>
      <c r="E22" s="143">
        <v>640</v>
      </c>
      <c r="F22" s="144">
        <f>SUM(E22/100)</f>
        <v>6.4</v>
      </c>
      <c r="G22" s="144">
        <v>287.83999999999997</v>
      </c>
      <c r="H22" s="145">
        <f t="shared" si="0"/>
        <v>1.842176</v>
      </c>
      <c r="I22" s="16">
        <v>0</v>
      </c>
      <c r="J22" s="29"/>
      <c r="K22" s="8"/>
      <c r="L22" s="8"/>
      <c r="M22" s="8"/>
    </row>
    <row r="23" spans="1:13" ht="15.75" hidden="1" customHeight="1">
      <c r="A23" s="36"/>
      <c r="B23" s="141" t="s">
        <v>113</v>
      </c>
      <c r="C23" s="142" t="s">
        <v>53</v>
      </c>
      <c r="D23" s="141" t="s">
        <v>109</v>
      </c>
      <c r="E23" s="146">
        <v>48.3</v>
      </c>
      <c r="F23" s="144">
        <f>SUM(E23/100)</f>
        <v>0.48299999999999998</v>
      </c>
      <c r="G23" s="144">
        <v>47.34</v>
      </c>
      <c r="H23" s="145">
        <f t="shared" si="0"/>
        <v>2.2865220000000002E-2</v>
      </c>
      <c r="I23" s="16">
        <v>0</v>
      </c>
      <c r="J23" s="29"/>
      <c r="K23" s="8"/>
      <c r="L23" s="8"/>
      <c r="M23" s="8"/>
    </row>
    <row r="24" spans="1:13" ht="15.75" hidden="1" customHeight="1">
      <c r="A24" s="36"/>
      <c r="B24" s="141" t="s">
        <v>114</v>
      </c>
      <c r="C24" s="142" t="s">
        <v>53</v>
      </c>
      <c r="D24" s="141" t="s">
        <v>54</v>
      </c>
      <c r="E24" s="143">
        <v>20</v>
      </c>
      <c r="F24" s="144">
        <f>E24/100</f>
        <v>0.2</v>
      </c>
      <c r="G24" s="144">
        <v>416.62</v>
      </c>
      <c r="H24" s="145">
        <f t="shared" si="0"/>
        <v>8.3324000000000009E-2</v>
      </c>
      <c r="I24" s="16">
        <v>0</v>
      </c>
      <c r="J24" s="29"/>
      <c r="K24" s="8"/>
      <c r="L24" s="8"/>
      <c r="M24" s="8"/>
    </row>
    <row r="25" spans="1:13" ht="15.75" hidden="1" customHeight="1">
      <c r="A25" s="36"/>
      <c r="B25" s="141" t="s">
        <v>115</v>
      </c>
      <c r="C25" s="142" t="s">
        <v>53</v>
      </c>
      <c r="D25" s="141" t="s">
        <v>54</v>
      </c>
      <c r="E25" s="143">
        <v>8.5</v>
      </c>
      <c r="F25" s="144">
        <f>SUM(E25/100)</f>
        <v>8.5000000000000006E-2</v>
      </c>
      <c r="G25" s="144">
        <v>556.74</v>
      </c>
      <c r="H25" s="145">
        <f t="shared" si="0"/>
        <v>4.7322900000000001E-2</v>
      </c>
      <c r="I25" s="16">
        <v>0</v>
      </c>
      <c r="J25" s="29"/>
      <c r="K25" s="8"/>
      <c r="L25" s="8"/>
      <c r="M25" s="8"/>
    </row>
    <row r="26" spans="1:13" ht="15.75" hidden="1" customHeight="1">
      <c r="A26" s="36"/>
      <c r="B26" s="141" t="s">
        <v>140</v>
      </c>
      <c r="C26" s="142" t="s">
        <v>53</v>
      </c>
      <c r="D26" s="141" t="s">
        <v>54</v>
      </c>
      <c r="E26" s="143">
        <v>19</v>
      </c>
      <c r="F26" s="144">
        <f>E26/100</f>
        <v>0.19</v>
      </c>
      <c r="G26" s="144">
        <v>231.03</v>
      </c>
      <c r="H26" s="145">
        <f>G26*F26/1000</f>
        <v>4.3895699999999996E-2</v>
      </c>
      <c r="I26" s="16">
        <v>0</v>
      </c>
      <c r="J26" s="29"/>
      <c r="K26" s="8"/>
      <c r="L26" s="8"/>
      <c r="M26" s="8"/>
    </row>
    <row r="27" spans="1:13" ht="15.75" customHeight="1">
      <c r="A27" s="36">
        <v>6</v>
      </c>
      <c r="B27" s="141" t="s">
        <v>66</v>
      </c>
      <c r="C27" s="142" t="s">
        <v>33</v>
      </c>
      <c r="D27" s="141" t="s">
        <v>136</v>
      </c>
      <c r="E27" s="143">
        <v>0.1</v>
      </c>
      <c r="F27" s="144">
        <f>SUM(E27*365)</f>
        <v>36.5</v>
      </c>
      <c r="G27" s="144">
        <v>157.18</v>
      </c>
      <c r="H27" s="145">
        <f>SUM(F27*G27/1000)</f>
        <v>5.737070000000001</v>
      </c>
      <c r="I27" s="16">
        <f>F27/12*G27</f>
        <v>478.08916666666664</v>
      </c>
      <c r="J27" s="30"/>
    </row>
    <row r="28" spans="1:13" ht="15.75" customHeight="1">
      <c r="A28" s="36">
        <v>7</v>
      </c>
      <c r="B28" s="149" t="s">
        <v>23</v>
      </c>
      <c r="C28" s="142" t="s">
        <v>24</v>
      </c>
      <c r="D28" s="149" t="s">
        <v>153</v>
      </c>
      <c r="E28" s="143">
        <v>4731.7</v>
      </c>
      <c r="F28" s="144">
        <f>SUM(E28*12)</f>
        <v>56780.399999999994</v>
      </c>
      <c r="G28" s="144">
        <v>4.72</v>
      </c>
      <c r="H28" s="145">
        <f>SUM(F28*G28/1000)</f>
        <v>268.00348799999995</v>
      </c>
      <c r="I28" s="16">
        <f>F28/12*G28</f>
        <v>22333.623999999996</v>
      </c>
      <c r="J28" s="30"/>
    </row>
    <row r="29" spans="1:13" ht="15" customHeight="1">
      <c r="A29" s="173" t="s">
        <v>93</v>
      </c>
      <c r="B29" s="173"/>
      <c r="C29" s="173"/>
      <c r="D29" s="173"/>
      <c r="E29" s="173"/>
      <c r="F29" s="173"/>
      <c r="G29" s="173"/>
      <c r="H29" s="173"/>
      <c r="I29" s="173"/>
      <c r="J29" s="29"/>
      <c r="K29" s="8"/>
      <c r="L29" s="8"/>
      <c r="M29" s="8"/>
    </row>
    <row r="30" spans="1:13" ht="15.75" hidden="1" customHeight="1">
      <c r="A30" s="36"/>
      <c r="B30" s="189" t="s">
        <v>28</v>
      </c>
      <c r="C30" s="142"/>
      <c r="D30" s="141"/>
      <c r="E30" s="143"/>
      <c r="F30" s="144"/>
      <c r="G30" s="144"/>
      <c r="H30" s="145"/>
      <c r="I30" s="16"/>
      <c r="J30" s="29"/>
      <c r="K30" s="8"/>
      <c r="L30" s="8"/>
      <c r="M30" s="8"/>
    </row>
    <row r="31" spans="1:13" ht="31.5" hidden="1" customHeight="1">
      <c r="A31" s="36">
        <v>8</v>
      </c>
      <c r="B31" s="141" t="s">
        <v>119</v>
      </c>
      <c r="C31" s="142" t="s">
        <v>102</v>
      </c>
      <c r="D31" s="141" t="s">
        <v>116</v>
      </c>
      <c r="E31" s="144">
        <v>512.5</v>
      </c>
      <c r="F31" s="144">
        <f>SUM(E31*52/1000)</f>
        <v>26.65</v>
      </c>
      <c r="G31" s="144">
        <v>166.65</v>
      </c>
      <c r="H31" s="145">
        <f t="shared" ref="H31:H37" si="1">SUM(F31*G31/1000)</f>
        <v>4.4412225000000003</v>
      </c>
      <c r="I31" s="16">
        <f>F31/6*G31</f>
        <v>740.20375000000001</v>
      </c>
      <c r="J31" s="29"/>
      <c r="K31" s="8"/>
      <c r="L31" s="8"/>
      <c r="M31" s="8"/>
    </row>
    <row r="32" spans="1:13" ht="31.5" hidden="1" customHeight="1">
      <c r="A32" s="36">
        <v>9</v>
      </c>
      <c r="B32" s="141" t="s">
        <v>137</v>
      </c>
      <c r="C32" s="142" t="s">
        <v>102</v>
      </c>
      <c r="D32" s="141" t="s">
        <v>117</v>
      </c>
      <c r="E32" s="144">
        <v>316.27</v>
      </c>
      <c r="F32" s="144">
        <f>SUM(E32*78/1000)</f>
        <v>24.669059999999998</v>
      </c>
      <c r="G32" s="144">
        <v>276.48</v>
      </c>
      <c r="H32" s="145">
        <f t="shared" si="1"/>
        <v>6.8205017087999993</v>
      </c>
      <c r="I32" s="16">
        <f t="shared" ref="I32:I35" si="2">F32/6*G32</f>
        <v>1136.7502848000001</v>
      </c>
      <c r="J32" s="29"/>
      <c r="K32" s="8"/>
      <c r="L32" s="8"/>
      <c r="M32" s="8"/>
    </row>
    <row r="33" spans="1:14" ht="15.75" hidden="1" customHeight="1">
      <c r="A33" s="36"/>
      <c r="B33" s="141" t="s">
        <v>27</v>
      </c>
      <c r="C33" s="142" t="s">
        <v>102</v>
      </c>
      <c r="D33" s="141" t="s">
        <v>54</v>
      </c>
      <c r="E33" s="144">
        <v>512.5</v>
      </c>
      <c r="F33" s="144">
        <f>SUM(E33/1000)</f>
        <v>0.51249999999999996</v>
      </c>
      <c r="G33" s="144">
        <v>3228.73</v>
      </c>
      <c r="H33" s="145">
        <f t="shared" si="1"/>
        <v>1.654724125</v>
      </c>
      <c r="I33" s="16">
        <f>F33*G33</f>
        <v>1654.724125</v>
      </c>
      <c r="J33" s="29"/>
      <c r="K33" s="8"/>
      <c r="L33" s="8"/>
      <c r="M33" s="8"/>
    </row>
    <row r="34" spans="1:14" ht="15.75" hidden="1" customHeight="1">
      <c r="A34" s="36">
        <v>10</v>
      </c>
      <c r="B34" s="141" t="s">
        <v>154</v>
      </c>
      <c r="C34" s="142" t="s">
        <v>39</v>
      </c>
      <c r="D34" s="141" t="s">
        <v>65</v>
      </c>
      <c r="E34" s="144">
        <v>4</v>
      </c>
      <c r="F34" s="144">
        <f>E34*155/100</f>
        <v>6.2</v>
      </c>
      <c r="G34" s="144">
        <v>1391.86</v>
      </c>
      <c r="H34" s="145">
        <f>G34*F34/1000</f>
        <v>8.6295319999999993</v>
      </c>
      <c r="I34" s="16">
        <f t="shared" si="2"/>
        <v>1438.2553333333333</v>
      </c>
      <c r="J34" s="29"/>
      <c r="K34" s="8"/>
    </row>
    <row r="35" spans="1:14" ht="15.75" hidden="1" customHeight="1">
      <c r="A35" s="36">
        <v>11</v>
      </c>
      <c r="B35" s="141" t="s">
        <v>118</v>
      </c>
      <c r="C35" s="142" t="s">
        <v>31</v>
      </c>
      <c r="D35" s="141" t="s">
        <v>65</v>
      </c>
      <c r="E35" s="148">
        <v>0.33333333333333331</v>
      </c>
      <c r="F35" s="144">
        <f>155/3</f>
        <v>51.666666666666664</v>
      </c>
      <c r="G35" s="144">
        <v>60.6</v>
      </c>
      <c r="H35" s="145">
        <f>SUM(G35*155/3/1000)</f>
        <v>3.1309999999999998</v>
      </c>
      <c r="I35" s="16">
        <f t="shared" si="2"/>
        <v>521.83333333333337</v>
      </c>
      <c r="J35" s="30"/>
    </row>
    <row r="36" spans="1:14" ht="15.75" hidden="1" customHeight="1">
      <c r="A36" s="36"/>
      <c r="B36" s="141" t="s">
        <v>67</v>
      </c>
      <c r="C36" s="142" t="s">
        <v>33</v>
      </c>
      <c r="D36" s="141" t="s">
        <v>69</v>
      </c>
      <c r="E36" s="143"/>
      <c r="F36" s="144">
        <v>3</v>
      </c>
      <c r="G36" s="144">
        <v>204.52</v>
      </c>
      <c r="H36" s="145">
        <f t="shared" si="1"/>
        <v>0.61356000000000011</v>
      </c>
      <c r="I36" s="16">
        <v>0</v>
      </c>
      <c r="J36" s="30"/>
    </row>
    <row r="37" spans="1:14" ht="15.75" hidden="1" customHeight="1">
      <c r="A37" s="36"/>
      <c r="B37" s="141" t="s">
        <v>68</v>
      </c>
      <c r="C37" s="142" t="s">
        <v>32</v>
      </c>
      <c r="D37" s="141" t="s">
        <v>69</v>
      </c>
      <c r="E37" s="143"/>
      <c r="F37" s="144">
        <v>2</v>
      </c>
      <c r="G37" s="144">
        <v>1214.73</v>
      </c>
      <c r="H37" s="145">
        <f t="shared" si="1"/>
        <v>2.4294600000000002</v>
      </c>
      <c r="I37" s="16">
        <v>0</v>
      </c>
      <c r="J37" s="30"/>
    </row>
    <row r="38" spans="1:14" ht="15.75" customHeight="1">
      <c r="A38" s="36"/>
      <c r="B38" s="189" t="s">
        <v>5</v>
      </c>
      <c r="C38" s="142"/>
      <c r="D38" s="141"/>
      <c r="E38" s="143"/>
      <c r="F38" s="144"/>
      <c r="G38" s="144"/>
      <c r="H38" s="145" t="s">
        <v>153</v>
      </c>
      <c r="I38" s="16"/>
      <c r="J38" s="30"/>
    </row>
    <row r="39" spans="1:14" ht="15.75" customHeight="1">
      <c r="A39" s="36">
        <v>8</v>
      </c>
      <c r="B39" s="141" t="s">
        <v>26</v>
      </c>
      <c r="C39" s="142" t="s">
        <v>32</v>
      </c>
      <c r="D39" s="141"/>
      <c r="E39" s="143"/>
      <c r="F39" s="144">
        <v>5</v>
      </c>
      <c r="G39" s="144">
        <v>1632.6</v>
      </c>
      <c r="H39" s="145">
        <f t="shared" ref="H39:H45" si="3">SUM(F39*G39/1000)</f>
        <v>8.1630000000000003</v>
      </c>
      <c r="I39" s="16">
        <f>F39/6*G39</f>
        <v>1360.5</v>
      </c>
      <c r="J39" s="30"/>
      <c r="L39" s="25"/>
      <c r="M39" s="26"/>
      <c r="N39" s="27"/>
    </row>
    <row r="40" spans="1:14" ht="15.75" customHeight="1">
      <c r="A40" s="36">
        <v>9</v>
      </c>
      <c r="B40" s="141" t="s">
        <v>120</v>
      </c>
      <c r="C40" s="142" t="s">
        <v>29</v>
      </c>
      <c r="D40" s="141" t="s">
        <v>146</v>
      </c>
      <c r="E40" s="143">
        <v>228.38</v>
      </c>
      <c r="F40" s="144">
        <f>E40*30/1000</f>
        <v>6.8513999999999999</v>
      </c>
      <c r="G40" s="144">
        <v>2247.8000000000002</v>
      </c>
      <c r="H40" s="145">
        <f>G40*F40/1000</f>
        <v>15.400576920000001</v>
      </c>
      <c r="I40" s="16">
        <f>F40/6*G40</f>
        <v>2566.7628199999999</v>
      </c>
      <c r="J40" s="30"/>
      <c r="L40" s="25"/>
      <c r="M40" s="26"/>
      <c r="N40" s="27"/>
    </row>
    <row r="41" spans="1:14" ht="15.75" customHeight="1">
      <c r="A41" s="36">
        <v>10</v>
      </c>
      <c r="B41" s="141" t="s">
        <v>144</v>
      </c>
      <c r="C41" s="142" t="s">
        <v>145</v>
      </c>
      <c r="D41" s="141" t="s">
        <v>69</v>
      </c>
      <c r="E41" s="143"/>
      <c r="F41" s="144">
        <v>120</v>
      </c>
      <c r="G41" s="144">
        <v>213.2</v>
      </c>
      <c r="H41" s="145">
        <f>G41*F41/1000</f>
        <v>25.584</v>
      </c>
      <c r="I41" s="16">
        <f>G41*12</f>
        <v>2558.3999999999996</v>
      </c>
      <c r="J41" s="30"/>
      <c r="L41" s="25"/>
      <c r="M41" s="26"/>
      <c r="N41" s="27"/>
    </row>
    <row r="42" spans="1:14" ht="15.75" customHeight="1">
      <c r="A42" s="36">
        <v>11</v>
      </c>
      <c r="B42" s="141" t="s">
        <v>70</v>
      </c>
      <c r="C42" s="142" t="s">
        <v>29</v>
      </c>
      <c r="D42" s="141" t="s">
        <v>101</v>
      </c>
      <c r="E42" s="144">
        <v>233.71</v>
      </c>
      <c r="F42" s="144">
        <f>SUM(E42*155/1000)</f>
        <v>36.225050000000003</v>
      </c>
      <c r="G42" s="144">
        <v>374.95</v>
      </c>
      <c r="H42" s="145">
        <f t="shared" si="3"/>
        <v>13.582582497500001</v>
      </c>
      <c r="I42" s="16">
        <f>F42/6*G42</f>
        <v>2263.7637495833337</v>
      </c>
      <c r="J42" s="30"/>
      <c r="L42" s="25"/>
      <c r="M42" s="26"/>
      <c r="N42" s="27"/>
    </row>
    <row r="43" spans="1:14" ht="47.25" customHeight="1">
      <c r="A43" s="36">
        <v>12</v>
      </c>
      <c r="B43" s="141" t="s">
        <v>88</v>
      </c>
      <c r="C43" s="142" t="s">
        <v>102</v>
      </c>
      <c r="D43" s="141" t="s">
        <v>147</v>
      </c>
      <c r="E43" s="144">
        <v>54.4</v>
      </c>
      <c r="F43" s="144">
        <f>SUM(E43*35/1000)</f>
        <v>1.9039999999999999</v>
      </c>
      <c r="G43" s="144">
        <v>6203.7</v>
      </c>
      <c r="H43" s="145">
        <f t="shared" si="3"/>
        <v>11.811844799999999</v>
      </c>
      <c r="I43" s="16">
        <f>F43/6*G43</f>
        <v>1968.6407999999997</v>
      </c>
      <c r="J43" s="30"/>
      <c r="L43" s="25"/>
      <c r="M43" s="26"/>
      <c r="N43" s="27"/>
    </row>
    <row r="44" spans="1:14" ht="15.75" customHeight="1">
      <c r="A44" s="36">
        <v>13</v>
      </c>
      <c r="B44" s="141" t="s">
        <v>103</v>
      </c>
      <c r="C44" s="142" t="s">
        <v>102</v>
      </c>
      <c r="D44" s="141" t="s">
        <v>71</v>
      </c>
      <c r="E44" s="144">
        <v>228.38</v>
      </c>
      <c r="F44" s="144">
        <f>SUM(E44*45/1000)</f>
        <v>10.277100000000001</v>
      </c>
      <c r="G44" s="144">
        <v>458.28</v>
      </c>
      <c r="H44" s="145">
        <f t="shared" si="3"/>
        <v>4.7097893879999999</v>
      </c>
      <c r="I44" s="16">
        <f>F44/6*G44</f>
        <v>784.96489800000006</v>
      </c>
      <c r="J44" s="30"/>
      <c r="L44" s="25"/>
      <c r="M44" s="26"/>
      <c r="N44" s="27"/>
    </row>
    <row r="45" spans="1:14" ht="15.75" customHeight="1">
      <c r="A45" s="36">
        <v>14</v>
      </c>
      <c r="B45" s="141" t="s">
        <v>72</v>
      </c>
      <c r="C45" s="142" t="s">
        <v>33</v>
      </c>
      <c r="D45" s="141"/>
      <c r="E45" s="143"/>
      <c r="F45" s="144">
        <v>1.8</v>
      </c>
      <c r="G45" s="144">
        <v>853.06</v>
      </c>
      <c r="H45" s="145">
        <f t="shared" si="3"/>
        <v>1.5355080000000001</v>
      </c>
      <c r="I45" s="16">
        <f>F45/6*G45</f>
        <v>255.91799999999998</v>
      </c>
      <c r="J45" s="30"/>
      <c r="L45" s="25"/>
      <c r="M45" s="26"/>
      <c r="N45" s="27"/>
    </row>
    <row r="46" spans="1:14" ht="15" customHeight="1">
      <c r="A46" s="174" t="s">
        <v>177</v>
      </c>
      <c r="B46" s="175"/>
      <c r="C46" s="175"/>
      <c r="D46" s="175"/>
      <c r="E46" s="175"/>
      <c r="F46" s="175"/>
      <c r="G46" s="175"/>
      <c r="H46" s="175"/>
      <c r="I46" s="176"/>
      <c r="J46" s="30"/>
      <c r="L46" s="25"/>
      <c r="M46" s="26"/>
      <c r="N46" s="27"/>
    </row>
    <row r="47" spans="1:14" ht="15.75" hidden="1" customHeight="1">
      <c r="A47" s="36"/>
      <c r="B47" s="141" t="s">
        <v>148</v>
      </c>
      <c r="C47" s="142" t="s">
        <v>102</v>
      </c>
      <c r="D47" s="141" t="s">
        <v>41</v>
      </c>
      <c r="E47" s="143">
        <v>1320.9</v>
      </c>
      <c r="F47" s="144">
        <f>SUM(E47*2/1000)</f>
        <v>2.6418000000000004</v>
      </c>
      <c r="G47" s="16">
        <v>908.11</v>
      </c>
      <c r="H47" s="145">
        <f t="shared" ref="H47:H55" si="4">SUM(F47*G47/1000)</f>
        <v>2.3990449980000004</v>
      </c>
      <c r="I47" s="16">
        <v>0</v>
      </c>
      <c r="J47" s="30"/>
      <c r="L47" s="25"/>
      <c r="M47" s="26"/>
      <c r="N47" s="27"/>
    </row>
    <row r="48" spans="1:14" ht="15.75" hidden="1" customHeight="1">
      <c r="A48" s="36"/>
      <c r="B48" s="141" t="s">
        <v>34</v>
      </c>
      <c r="C48" s="142" t="s">
        <v>102</v>
      </c>
      <c r="D48" s="141" t="s">
        <v>41</v>
      </c>
      <c r="E48" s="143">
        <v>52</v>
      </c>
      <c r="F48" s="144">
        <f>E48*2/1000</f>
        <v>0.104</v>
      </c>
      <c r="G48" s="16">
        <v>619.46</v>
      </c>
      <c r="H48" s="145">
        <f t="shared" si="4"/>
        <v>6.4423839999999996E-2</v>
      </c>
      <c r="I48" s="16">
        <v>0</v>
      </c>
      <c r="J48" s="30"/>
      <c r="L48" s="25"/>
      <c r="M48" s="26"/>
      <c r="N48" s="27"/>
    </row>
    <row r="49" spans="1:22" ht="15.75" hidden="1" customHeight="1">
      <c r="A49" s="36"/>
      <c r="B49" s="141" t="s">
        <v>35</v>
      </c>
      <c r="C49" s="142" t="s">
        <v>102</v>
      </c>
      <c r="D49" s="141" t="s">
        <v>41</v>
      </c>
      <c r="E49" s="143">
        <v>1520.8</v>
      </c>
      <c r="F49" s="144">
        <f>SUM(E49*2/1000)</f>
        <v>3.0415999999999999</v>
      </c>
      <c r="G49" s="16">
        <v>619.46</v>
      </c>
      <c r="H49" s="145">
        <f t="shared" si="4"/>
        <v>1.8841495360000002</v>
      </c>
      <c r="I49" s="16">
        <v>0</v>
      </c>
      <c r="J49" s="30"/>
      <c r="L49" s="25"/>
      <c r="M49" s="26"/>
      <c r="N49" s="27"/>
    </row>
    <row r="50" spans="1:22" ht="15.75" hidden="1" customHeight="1">
      <c r="A50" s="36"/>
      <c r="B50" s="141" t="s">
        <v>36</v>
      </c>
      <c r="C50" s="142" t="s">
        <v>102</v>
      </c>
      <c r="D50" s="141" t="s">
        <v>41</v>
      </c>
      <c r="E50" s="143">
        <v>3433.81</v>
      </c>
      <c r="F50" s="144">
        <f>SUM(E50*2/1000)</f>
        <v>6.8676199999999996</v>
      </c>
      <c r="G50" s="16">
        <v>648.64</v>
      </c>
      <c r="H50" s="145">
        <f t="shared" si="4"/>
        <v>4.4546130367999996</v>
      </c>
      <c r="I50" s="16">
        <v>0</v>
      </c>
      <c r="J50" s="30"/>
      <c r="L50" s="25"/>
      <c r="M50" s="26"/>
      <c r="N50" s="27"/>
    </row>
    <row r="51" spans="1:22" ht="15.75" customHeight="1">
      <c r="A51" s="36">
        <v>15</v>
      </c>
      <c r="B51" s="141" t="s">
        <v>57</v>
      </c>
      <c r="C51" s="142" t="s">
        <v>102</v>
      </c>
      <c r="D51" s="141" t="s">
        <v>225</v>
      </c>
      <c r="E51" s="143">
        <v>2641.8</v>
      </c>
      <c r="F51" s="144">
        <f>SUM(E51*5/1000)</f>
        <v>13.209</v>
      </c>
      <c r="G51" s="16">
        <v>1297.28</v>
      </c>
      <c r="H51" s="145">
        <f t="shared" si="4"/>
        <v>17.135771519999999</v>
      </c>
      <c r="I51" s="16">
        <f>F51/5*G51</f>
        <v>3427.1543039999997</v>
      </c>
      <c r="J51" s="30"/>
      <c r="L51" s="25"/>
      <c r="M51" s="26"/>
      <c r="N51" s="27"/>
    </row>
    <row r="52" spans="1:22" ht="31.5" hidden="1" customHeight="1">
      <c r="A52" s="36"/>
      <c r="B52" s="141" t="s">
        <v>104</v>
      </c>
      <c r="C52" s="142" t="s">
        <v>102</v>
      </c>
      <c r="D52" s="141" t="s">
        <v>41</v>
      </c>
      <c r="E52" s="143">
        <v>2641.8</v>
      </c>
      <c r="F52" s="144">
        <f>SUM(E52*2/1000)</f>
        <v>5.2836000000000007</v>
      </c>
      <c r="G52" s="16">
        <v>1297.28</v>
      </c>
      <c r="H52" s="145">
        <f t="shared" si="4"/>
        <v>6.8543086080000011</v>
      </c>
      <c r="I52" s="16">
        <v>0</v>
      </c>
      <c r="J52" s="30"/>
      <c r="L52" s="25"/>
      <c r="M52" s="26"/>
      <c r="N52" s="27"/>
    </row>
    <row r="53" spans="1:22" ht="31.5" hidden="1" customHeight="1">
      <c r="A53" s="36"/>
      <c r="B53" s="141" t="s">
        <v>105</v>
      </c>
      <c r="C53" s="142" t="s">
        <v>37</v>
      </c>
      <c r="D53" s="141" t="s">
        <v>41</v>
      </c>
      <c r="E53" s="143">
        <v>20</v>
      </c>
      <c r="F53" s="144">
        <f>SUM(E53*2/100)</f>
        <v>0.4</v>
      </c>
      <c r="G53" s="16">
        <v>2918.89</v>
      </c>
      <c r="H53" s="145">
        <f>SUM(F53*G53/1000)</f>
        <v>1.167556</v>
      </c>
      <c r="I53" s="16">
        <v>0</v>
      </c>
      <c r="J53" s="30"/>
      <c r="L53" s="25"/>
      <c r="M53" s="26"/>
      <c r="N53" s="27"/>
    </row>
    <row r="54" spans="1:22" ht="15.75" hidden="1" customHeight="1">
      <c r="A54" s="36"/>
      <c r="B54" s="141" t="s">
        <v>38</v>
      </c>
      <c r="C54" s="142" t="s">
        <v>39</v>
      </c>
      <c r="D54" s="141" t="s">
        <v>41</v>
      </c>
      <c r="E54" s="143">
        <v>1</v>
      </c>
      <c r="F54" s="144">
        <v>0.02</v>
      </c>
      <c r="G54" s="16">
        <v>6042.12</v>
      </c>
      <c r="H54" s="145">
        <f t="shared" si="4"/>
        <v>0.1208424</v>
      </c>
      <c r="I54" s="16">
        <v>0</v>
      </c>
      <c r="J54" s="30"/>
      <c r="L54" s="25"/>
      <c r="M54" s="26"/>
      <c r="N54" s="27"/>
    </row>
    <row r="55" spans="1:22" ht="15.75" customHeight="1">
      <c r="A55" s="36">
        <v>16</v>
      </c>
      <c r="B55" s="141" t="s">
        <v>40</v>
      </c>
      <c r="C55" s="142" t="s">
        <v>122</v>
      </c>
      <c r="D55" s="141" t="s">
        <v>73</v>
      </c>
      <c r="E55" s="143">
        <v>160</v>
      </c>
      <c r="F55" s="144">
        <f>SUM(E55)*3</f>
        <v>480</v>
      </c>
      <c r="G55" s="16">
        <v>70.209999999999994</v>
      </c>
      <c r="H55" s="145">
        <f t="shared" si="4"/>
        <v>33.700799999999994</v>
      </c>
      <c r="I55" s="16">
        <f>E55*G55</f>
        <v>11233.599999999999</v>
      </c>
      <c r="J55" s="30"/>
      <c r="L55" s="25"/>
      <c r="M55" s="26"/>
      <c r="N55" s="27"/>
    </row>
    <row r="56" spans="1:22" ht="15.75" customHeight="1">
      <c r="A56" s="174" t="s">
        <v>178</v>
      </c>
      <c r="B56" s="175"/>
      <c r="C56" s="175"/>
      <c r="D56" s="175"/>
      <c r="E56" s="175"/>
      <c r="F56" s="175"/>
      <c r="G56" s="175"/>
      <c r="H56" s="175"/>
      <c r="I56" s="176"/>
      <c r="J56" s="30"/>
      <c r="L56" s="25"/>
      <c r="M56" s="26"/>
      <c r="N56" s="27"/>
    </row>
    <row r="57" spans="1:22" ht="15.75" customHeight="1">
      <c r="A57" s="36"/>
      <c r="B57" s="189" t="s">
        <v>42</v>
      </c>
      <c r="C57" s="142"/>
      <c r="D57" s="141"/>
      <c r="E57" s="143"/>
      <c r="F57" s="144"/>
      <c r="G57" s="144"/>
      <c r="H57" s="145"/>
      <c r="I57" s="16"/>
      <c r="J57" s="30"/>
      <c r="L57" s="25"/>
      <c r="M57" s="26"/>
      <c r="N57" s="27"/>
    </row>
    <row r="58" spans="1:22" ht="31.5" customHeight="1">
      <c r="A58" s="36">
        <v>17</v>
      </c>
      <c r="B58" s="141" t="s">
        <v>149</v>
      </c>
      <c r="C58" s="142" t="s">
        <v>98</v>
      </c>
      <c r="D58" s="141" t="s">
        <v>123</v>
      </c>
      <c r="E58" s="143">
        <v>155.09</v>
      </c>
      <c r="F58" s="144">
        <f>SUM(E58*6/100)</f>
        <v>9.3053999999999988</v>
      </c>
      <c r="G58" s="16">
        <v>1654.04</v>
      </c>
      <c r="H58" s="145">
        <f>SUM(F58*G58/1000)</f>
        <v>15.391503815999998</v>
      </c>
      <c r="I58" s="16">
        <f>F58/6*G58</f>
        <v>2565.2506359999993</v>
      </c>
      <c r="J58" s="30"/>
      <c r="L58" s="25"/>
      <c r="M58" s="26"/>
      <c r="N58" s="27"/>
    </row>
    <row r="59" spans="1:22" ht="15.75" customHeight="1">
      <c r="A59" s="36">
        <v>18</v>
      </c>
      <c r="B59" s="141" t="s">
        <v>150</v>
      </c>
      <c r="C59" s="142" t="s">
        <v>98</v>
      </c>
      <c r="D59" s="141" t="s">
        <v>123</v>
      </c>
      <c r="E59" s="143">
        <v>3.8</v>
      </c>
      <c r="F59" s="144">
        <f>SUM(E59*6/100)</f>
        <v>0.22799999999999998</v>
      </c>
      <c r="G59" s="16">
        <v>1654.04</v>
      </c>
      <c r="H59" s="145">
        <f>SUM(F59*G59/1000)</f>
        <v>0.37712111999999998</v>
      </c>
      <c r="I59" s="16">
        <f>F59/6*G59</f>
        <v>62.853519999999996</v>
      </c>
      <c r="J59" s="30"/>
      <c r="L59" s="25"/>
    </row>
    <row r="60" spans="1:22" ht="15.75" customHeight="1">
      <c r="A60" s="36">
        <v>19</v>
      </c>
      <c r="B60" s="150" t="s">
        <v>151</v>
      </c>
      <c r="C60" s="151" t="s">
        <v>152</v>
      </c>
      <c r="D60" s="150" t="s">
        <v>41</v>
      </c>
      <c r="E60" s="152">
        <v>4</v>
      </c>
      <c r="F60" s="153">
        <v>0.8</v>
      </c>
      <c r="G60" s="16">
        <v>193.23</v>
      </c>
      <c r="H60" s="145">
        <f t="shared" ref="H60:H61" si="5">SUM(F60*G60/1000)</f>
        <v>0.154584</v>
      </c>
      <c r="I60" s="16">
        <f>F60/2*G60</f>
        <v>77.292000000000002</v>
      </c>
    </row>
    <row r="61" spans="1:22" ht="15.75" hidden="1" customHeight="1">
      <c r="A61" s="36"/>
      <c r="B61" s="150" t="s">
        <v>44</v>
      </c>
      <c r="C61" s="151" t="s">
        <v>53</v>
      </c>
      <c r="D61" s="150" t="s">
        <v>54</v>
      </c>
      <c r="E61" s="152">
        <v>1320.9</v>
      </c>
      <c r="F61" s="153">
        <f>E61/100</f>
        <v>13.209000000000001</v>
      </c>
      <c r="G61" s="16">
        <v>505.2</v>
      </c>
      <c r="H61" s="145">
        <f t="shared" si="5"/>
        <v>6.6731868000000008</v>
      </c>
      <c r="I61" s="16">
        <v>0</v>
      </c>
    </row>
    <row r="62" spans="1:22" ht="15.75" customHeight="1">
      <c r="A62" s="36"/>
      <c r="B62" s="190" t="s">
        <v>43</v>
      </c>
      <c r="C62" s="151"/>
      <c r="D62" s="150"/>
      <c r="E62" s="152"/>
      <c r="F62" s="153"/>
      <c r="G62" s="16"/>
      <c r="H62" s="154"/>
      <c r="I62" s="16"/>
    </row>
    <row r="63" spans="1:22" ht="15.75" hidden="1" customHeight="1">
      <c r="A63" s="36"/>
      <c r="B63" s="150" t="s">
        <v>44</v>
      </c>
      <c r="C63" s="151" t="s">
        <v>53</v>
      </c>
      <c r="D63" s="150" t="s">
        <v>54</v>
      </c>
      <c r="E63" s="152">
        <v>1238</v>
      </c>
      <c r="F63" s="153">
        <f>E63/100</f>
        <v>12.38</v>
      </c>
      <c r="G63" s="16">
        <v>848.37</v>
      </c>
      <c r="H63" s="154">
        <f>F63*G63/1000</f>
        <v>10.502820600000002</v>
      </c>
      <c r="I63" s="16">
        <v>0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.75" customHeight="1">
      <c r="A64" s="36">
        <v>20</v>
      </c>
      <c r="B64" s="150" t="s">
        <v>139</v>
      </c>
      <c r="C64" s="151" t="s">
        <v>25</v>
      </c>
      <c r="D64" s="150" t="s">
        <v>30</v>
      </c>
      <c r="E64" s="152">
        <v>238</v>
      </c>
      <c r="F64" s="155">
        <f>E64*12</f>
        <v>2856</v>
      </c>
      <c r="G64" s="135">
        <v>2.6</v>
      </c>
      <c r="H64" s="153">
        <f>F64*G64/1000</f>
        <v>7.4256000000000002</v>
      </c>
      <c r="I64" s="16">
        <f>F64/12*G64</f>
        <v>618.80000000000007</v>
      </c>
      <c r="J64" s="32"/>
      <c r="K64" s="32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hidden="1" customHeight="1">
      <c r="A65" s="36"/>
      <c r="B65" s="190" t="s">
        <v>45</v>
      </c>
      <c r="C65" s="151"/>
      <c r="D65" s="150"/>
      <c r="E65" s="152"/>
      <c r="F65" s="155"/>
      <c r="G65" s="155"/>
      <c r="H65" s="153" t="s">
        <v>153</v>
      </c>
      <c r="I65" s="16"/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hidden="1" customHeight="1">
      <c r="A66" s="36"/>
      <c r="B66" s="18" t="s">
        <v>46</v>
      </c>
      <c r="C66" s="20" t="s">
        <v>122</v>
      </c>
      <c r="D66" s="18" t="s">
        <v>69</v>
      </c>
      <c r="E66" s="23">
        <v>8</v>
      </c>
      <c r="F66" s="144">
        <v>8</v>
      </c>
      <c r="G66" s="16">
        <v>237.74</v>
      </c>
      <c r="H66" s="156">
        <f t="shared" ref="H66:H79" si="6">SUM(F66*G66/1000)</f>
        <v>1.9019200000000001</v>
      </c>
      <c r="I66" s="16">
        <v>0</v>
      </c>
      <c r="J66" s="5"/>
      <c r="K66" s="5"/>
      <c r="L66" s="5"/>
      <c r="M66" s="5"/>
      <c r="N66" s="5"/>
      <c r="O66" s="5"/>
      <c r="P66" s="5"/>
      <c r="Q66" s="5"/>
      <c r="R66" s="167"/>
      <c r="S66" s="167"/>
      <c r="T66" s="167"/>
      <c r="U66" s="167"/>
    </row>
    <row r="67" spans="1:21" ht="15.75" hidden="1" customHeight="1">
      <c r="A67" s="36"/>
      <c r="B67" s="18" t="s">
        <v>47</v>
      </c>
      <c r="C67" s="20" t="s">
        <v>122</v>
      </c>
      <c r="D67" s="18" t="s">
        <v>69</v>
      </c>
      <c r="E67" s="23">
        <v>3</v>
      </c>
      <c r="F67" s="144">
        <v>3</v>
      </c>
      <c r="G67" s="16">
        <v>81.510000000000005</v>
      </c>
      <c r="H67" s="156">
        <f t="shared" si="6"/>
        <v>0.24453000000000003</v>
      </c>
      <c r="I67" s="16">
        <v>0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ht="15.75" hidden="1" customHeight="1">
      <c r="A68" s="36"/>
      <c r="B68" s="18" t="s">
        <v>48</v>
      </c>
      <c r="C68" s="20" t="s">
        <v>124</v>
      </c>
      <c r="D68" s="18" t="s">
        <v>54</v>
      </c>
      <c r="E68" s="143">
        <v>19836</v>
      </c>
      <c r="F68" s="16">
        <f>SUM(E68/100)</f>
        <v>198.36</v>
      </c>
      <c r="G68" s="16">
        <v>226.79</v>
      </c>
      <c r="H68" s="156">
        <f t="shared" si="6"/>
        <v>44.986064400000004</v>
      </c>
      <c r="I68" s="16">
        <f>F68*G68</f>
        <v>44986.064400000003</v>
      </c>
    </row>
    <row r="69" spans="1:21" ht="15.75" hidden="1" customHeight="1">
      <c r="A69" s="36"/>
      <c r="B69" s="18" t="s">
        <v>49</v>
      </c>
      <c r="C69" s="20" t="s">
        <v>125</v>
      </c>
      <c r="D69" s="18"/>
      <c r="E69" s="143">
        <v>19836</v>
      </c>
      <c r="F69" s="16">
        <f>SUM(E69/1000)</f>
        <v>19.835999999999999</v>
      </c>
      <c r="G69" s="16">
        <v>176.61</v>
      </c>
      <c r="H69" s="156">
        <f t="shared" si="6"/>
        <v>3.50323596</v>
      </c>
      <c r="I69" s="16">
        <f t="shared" ref="I69:I73" si="7">F69*G69</f>
        <v>3503.23596</v>
      </c>
    </row>
    <row r="70" spans="1:21" ht="15.75" hidden="1" customHeight="1">
      <c r="A70" s="36"/>
      <c r="B70" s="18" t="s">
        <v>50</v>
      </c>
      <c r="C70" s="20" t="s">
        <v>79</v>
      </c>
      <c r="D70" s="18" t="s">
        <v>54</v>
      </c>
      <c r="E70" s="143">
        <v>3155</v>
      </c>
      <c r="F70" s="16">
        <f>SUM(E70/100)</f>
        <v>31.55</v>
      </c>
      <c r="G70" s="16">
        <v>2217.7800000000002</v>
      </c>
      <c r="H70" s="156">
        <f t="shared" si="6"/>
        <v>69.970959000000008</v>
      </c>
      <c r="I70" s="16">
        <f t="shared" si="7"/>
        <v>69970.959000000003</v>
      </c>
    </row>
    <row r="71" spans="1:21" ht="15.75" hidden="1" customHeight="1">
      <c r="A71" s="36"/>
      <c r="B71" s="157" t="s">
        <v>126</v>
      </c>
      <c r="C71" s="20" t="s">
        <v>33</v>
      </c>
      <c r="D71" s="18"/>
      <c r="E71" s="143">
        <v>17.600000000000001</v>
      </c>
      <c r="F71" s="16">
        <f>SUM(E71)</f>
        <v>17.600000000000001</v>
      </c>
      <c r="G71" s="16">
        <v>42.67</v>
      </c>
      <c r="H71" s="156">
        <f t="shared" si="6"/>
        <v>0.7509920000000001</v>
      </c>
      <c r="I71" s="16">
        <f t="shared" si="7"/>
        <v>750.99200000000008</v>
      </c>
    </row>
    <row r="72" spans="1:21" ht="15.75" hidden="1" customHeight="1">
      <c r="A72" s="36"/>
      <c r="B72" s="157" t="s">
        <v>127</v>
      </c>
      <c r="C72" s="20" t="s">
        <v>33</v>
      </c>
      <c r="D72" s="18"/>
      <c r="E72" s="143">
        <v>17.600000000000001</v>
      </c>
      <c r="F72" s="16">
        <f>SUM(E72)</f>
        <v>17.600000000000001</v>
      </c>
      <c r="G72" s="16">
        <v>39.81</v>
      </c>
      <c r="H72" s="156">
        <f t="shared" si="6"/>
        <v>0.70065600000000006</v>
      </c>
      <c r="I72" s="16">
        <f t="shared" si="7"/>
        <v>700.65600000000006</v>
      </c>
    </row>
    <row r="73" spans="1:21" ht="15.75" hidden="1" customHeight="1">
      <c r="A73" s="36"/>
      <c r="B73" s="18" t="s">
        <v>58</v>
      </c>
      <c r="C73" s="20" t="s">
        <v>59</v>
      </c>
      <c r="D73" s="18" t="s">
        <v>54</v>
      </c>
      <c r="E73" s="23">
        <v>7</v>
      </c>
      <c r="F73" s="144">
        <v>7</v>
      </c>
      <c r="G73" s="16">
        <v>53.32</v>
      </c>
      <c r="H73" s="156">
        <f t="shared" si="6"/>
        <v>0.37324000000000002</v>
      </c>
      <c r="I73" s="16">
        <f t="shared" si="7"/>
        <v>373.24</v>
      </c>
    </row>
    <row r="74" spans="1:21" ht="15.75" hidden="1" customHeight="1">
      <c r="A74" s="36"/>
      <c r="B74" s="125" t="s">
        <v>74</v>
      </c>
      <c r="C74" s="20"/>
      <c r="D74" s="18"/>
      <c r="E74" s="23"/>
      <c r="F74" s="16"/>
      <c r="G74" s="16"/>
      <c r="H74" s="156" t="s">
        <v>153</v>
      </c>
      <c r="I74" s="16"/>
    </row>
    <row r="75" spans="1:21" ht="15.75" hidden="1" customHeight="1">
      <c r="A75" s="36"/>
      <c r="B75" s="18" t="s">
        <v>75</v>
      </c>
      <c r="C75" s="20" t="s">
        <v>77</v>
      </c>
      <c r="D75" s="18"/>
      <c r="E75" s="23">
        <v>2</v>
      </c>
      <c r="F75" s="16">
        <v>0.2</v>
      </c>
      <c r="G75" s="16">
        <v>536.23</v>
      </c>
      <c r="H75" s="156">
        <f t="shared" si="6"/>
        <v>0.10724600000000001</v>
      </c>
      <c r="I75" s="16">
        <v>0</v>
      </c>
    </row>
    <row r="76" spans="1:21" ht="15.75" hidden="1" customHeight="1">
      <c r="A76" s="36"/>
      <c r="B76" s="18" t="s">
        <v>76</v>
      </c>
      <c r="C76" s="20" t="s">
        <v>31</v>
      </c>
      <c r="D76" s="18"/>
      <c r="E76" s="23">
        <v>1</v>
      </c>
      <c r="F76" s="135">
        <v>1</v>
      </c>
      <c r="G76" s="16">
        <v>911.85</v>
      </c>
      <c r="H76" s="156">
        <f>F76*G76/1000</f>
        <v>0.91185000000000005</v>
      </c>
      <c r="I76" s="16">
        <v>0</v>
      </c>
    </row>
    <row r="77" spans="1:21" ht="15.75" hidden="1" customHeight="1">
      <c r="A77" s="36"/>
      <c r="B77" s="18" t="s">
        <v>129</v>
      </c>
      <c r="C77" s="20" t="s">
        <v>31</v>
      </c>
      <c r="D77" s="18"/>
      <c r="E77" s="23">
        <v>1</v>
      </c>
      <c r="F77" s="16">
        <v>1</v>
      </c>
      <c r="G77" s="16">
        <v>383.25</v>
      </c>
      <c r="H77" s="156">
        <f>G77*F77/1000</f>
        <v>0.38324999999999998</v>
      </c>
      <c r="I77" s="16">
        <v>0</v>
      </c>
    </row>
    <row r="78" spans="1:21" ht="15.75" hidden="1" customHeight="1">
      <c r="A78" s="36"/>
      <c r="B78" s="159" t="s">
        <v>78</v>
      </c>
      <c r="C78" s="20"/>
      <c r="D78" s="18"/>
      <c r="E78" s="23"/>
      <c r="F78" s="16"/>
      <c r="G78" s="16" t="s">
        <v>153</v>
      </c>
      <c r="H78" s="156" t="s">
        <v>153</v>
      </c>
      <c r="I78" s="16"/>
    </row>
    <row r="79" spans="1:21" ht="15.75" hidden="1" customHeight="1">
      <c r="A79" s="36"/>
      <c r="B79" s="67" t="s">
        <v>141</v>
      </c>
      <c r="C79" s="20" t="s">
        <v>79</v>
      </c>
      <c r="D79" s="18"/>
      <c r="E79" s="23"/>
      <c r="F79" s="16">
        <v>0.3</v>
      </c>
      <c r="G79" s="16">
        <v>2949.85</v>
      </c>
      <c r="H79" s="156">
        <f t="shared" si="6"/>
        <v>0.88495499999999994</v>
      </c>
      <c r="I79" s="16">
        <v>0</v>
      </c>
    </row>
    <row r="80" spans="1:21" ht="15.75" hidden="1" customHeight="1">
      <c r="A80" s="36"/>
      <c r="B80" s="125" t="s">
        <v>106</v>
      </c>
      <c r="C80" s="159"/>
      <c r="D80" s="38"/>
      <c r="E80" s="39"/>
      <c r="F80" s="147"/>
      <c r="G80" s="147"/>
      <c r="H80" s="160">
        <f>SUM(H58:H79)</f>
        <v>165.24371469600001</v>
      </c>
      <c r="I80" s="147"/>
    </row>
    <row r="81" spans="1:9" ht="15.75" hidden="1" customHeight="1">
      <c r="A81" s="36"/>
      <c r="B81" s="141" t="s">
        <v>128</v>
      </c>
      <c r="C81" s="20"/>
      <c r="D81" s="18"/>
      <c r="E81" s="136"/>
      <c r="F81" s="16">
        <v>1</v>
      </c>
      <c r="G81" s="16">
        <v>17869</v>
      </c>
      <c r="H81" s="156">
        <f>G81*F81/1000</f>
        <v>17.869</v>
      </c>
      <c r="I81" s="16">
        <v>0</v>
      </c>
    </row>
    <row r="82" spans="1:9" ht="15.75" customHeight="1">
      <c r="A82" s="177" t="s">
        <v>179</v>
      </c>
      <c r="B82" s="178"/>
      <c r="C82" s="178"/>
      <c r="D82" s="178"/>
      <c r="E82" s="178"/>
      <c r="F82" s="178"/>
      <c r="G82" s="178"/>
      <c r="H82" s="178"/>
      <c r="I82" s="179"/>
    </row>
    <row r="83" spans="1:9" ht="15.75" customHeight="1">
      <c r="A83" s="36">
        <v>21</v>
      </c>
      <c r="B83" s="141" t="s">
        <v>130</v>
      </c>
      <c r="C83" s="20" t="s">
        <v>55</v>
      </c>
      <c r="D83" s="84" t="s">
        <v>56</v>
      </c>
      <c r="E83" s="16">
        <v>4731.7</v>
      </c>
      <c r="F83" s="16">
        <f>SUM(E83*12)</f>
        <v>56780.399999999994</v>
      </c>
      <c r="G83" s="16">
        <v>2.54</v>
      </c>
      <c r="H83" s="156">
        <f>SUM(F83*G83/1000)</f>
        <v>144.22221599999997</v>
      </c>
      <c r="I83" s="16">
        <f>F83/12*G83</f>
        <v>12018.518</v>
      </c>
    </row>
    <row r="84" spans="1:9" ht="31.5" customHeight="1">
      <c r="A84" s="36">
        <v>22</v>
      </c>
      <c r="B84" s="18" t="s">
        <v>80</v>
      </c>
      <c r="C84" s="20"/>
      <c r="D84" s="84" t="s">
        <v>56</v>
      </c>
      <c r="E84" s="143">
        <f>E83</f>
        <v>4731.7</v>
      </c>
      <c r="F84" s="16">
        <f>E84*12</f>
        <v>56780.399999999994</v>
      </c>
      <c r="G84" s="16">
        <v>3.05</v>
      </c>
      <c r="H84" s="156">
        <f>F84*G84/1000</f>
        <v>173.18021999999996</v>
      </c>
      <c r="I84" s="16">
        <f>F84/12*G84</f>
        <v>14431.684999999999</v>
      </c>
    </row>
    <row r="85" spans="1:9" ht="15.75" customHeight="1">
      <c r="A85" s="36"/>
      <c r="B85" s="54" t="s">
        <v>84</v>
      </c>
      <c r="C85" s="159"/>
      <c r="D85" s="158"/>
      <c r="E85" s="147"/>
      <c r="F85" s="147"/>
      <c r="G85" s="147"/>
      <c r="H85" s="160">
        <f>H84</f>
        <v>173.18021999999996</v>
      </c>
      <c r="I85" s="147">
        <f>I16+I17+I18+I20+I21+I27+I28+I39+I40+I41+I42+I43+I44+I45+I51+I55+I58+I59+I60+I64+I83+I84</f>
        <v>99655.637952916644</v>
      </c>
    </row>
    <row r="86" spans="1:9" ht="15.75" customHeight="1">
      <c r="A86" s="36"/>
      <c r="B86" s="80" t="s">
        <v>61</v>
      </c>
      <c r="C86" s="20"/>
      <c r="D86" s="67"/>
      <c r="E86" s="16"/>
      <c r="F86" s="16"/>
      <c r="G86" s="16"/>
      <c r="H86" s="16"/>
      <c r="I86" s="16"/>
    </row>
    <row r="87" spans="1:9" ht="31.5" customHeight="1">
      <c r="A87" s="36">
        <v>23</v>
      </c>
      <c r="B87" s="140" t="s">
        <v>185</v>
      </c>
      <c r="C87" s="36" t="s">
        <v>186</v>
      </c>
      <c r="D87" s="18"/>
      <c r="E87" s="23"/>
      <c r="F87" s="16">
        <v>2</v>
      </c>
      <c r="G87" s="16">
        <v>1835.8</v>
      </c>
      <c r="H87" s="156">
        <f t="shared" ref="H87:H127" si="8">G87*F87/1000</f>
        <v>3.6715999999999998</v>
      </c>
      <c r="I87" s="16">
        <f>G87</f>
        <v>1835.8</v>
      </c>
    </row>
    <row r="88" spans="1:9" ht="15.75" customHeight="1">
      <c r="A88" s="36">
        <v>24</v>
      </c>
      <c r="B88" s="81" t="s">
        <v>86</v>
      </c>
      <c r="C88" s="107" t="s">
        <v>122</v>
      </c>
      <c r="D88" s="18"/>
      <c r="E88" s="23"/>
      <c r="F88" s="16">
        <v>16</v>
      </c>
      <c r="G88" s="16">
        <v>180.15</v>
      </c>
      <c r="H88" s="156">
        <f t="shared" si="8"/>
        <v>2.8824000000000001</v>
      </c>
      <c r="I88" s="16">
        <f>G88*3</f>
        <v>540.45000000000005</v>
      </c>
    </row>
    <row r="89" spans="1:9" ht="15.75" customHeight="1">
      <c r="A89" s="36">
        <v>25</v>
      </c>
      <c r="B89" s="81" t="s">
        <v>160</v>
      </c>
      <c r="C89" s="107" t="s">
        <v>89</v>
      </c>
      <c r="D89" s="18"/>
      <c r="E89" s="23"/>
      <c r="F89" s="16">
        <v>4</v>
      </c>
      <c r="G89" s="16">
        <v>185.81</v>
      </c>
      <c r="H89" s="156">
        <f>G89*F89/1000</f>
        <v>0.74324000000000001</v>
      </c>
      <c r="I89" s="16">
        <f>G89*1</f>
        <v>185.81</v>
      </c>
    </row>
    <row r="90" spans="1:9" ht="31.5" customHeight="1">
      <c r="A90" s="36">
        <v>26</v>
      </c>
      <c r="B90" s="81" t="s">
        <v>187</v>
      </c>
      <c r="C90" s="107" t="s">
        <v>188</v>
      </c>
      <c r="D90" s="18"/>
      <c r="E90" s="23"/>
      <c r="F90" s="16">
        <v>2</v>
      </c>
      <c r="G90" s="16">
        <v>51.39</v>
      </c>
      <c r="H90" s="156">
        <f>G90*F90/1000</f>
        <v>0.10278</v>
      </c>
      <c r="I90" s="16">
        <f>G90</f>
        <v>51.39</v>
      </c>
    </row>
    <row r="91" spans="1:9" ht="15.75" customHeight="1">
      <c r="A91" s="36">
        <v>27</v>
      </c>
      <c r="B91" s="140" t="s">
        <v>189</v>
      </c>
      <c r="C91" s="36" t="s">
        <v>190</v>
      </c>
      <c r="D91" s="18"/>
      <c r="E91" s="23"/>
      <c r="F91" s="16">
        <v>2</v>
      </c>
      <c r="G91" s="16">
        <v>1501</v>
      </c>
      <c r="H91" s="156">
        <f t="shared" si="8"/>
        <v>3.0019999999999998</v>
      </c>
      <c r="I91" s="16">
        <f>G91*2</f>
        <v>3002</v>
      </c>
    </row>
    <row r="92" spans="1:9" ht="15.75" customHeight="1">
      <c r="A92" s="36">
        <v>28</v>
      </c>
      <c r="B92" s="111" t="s">
        <v>191</v>
      </c>
      <c r="C92" s="108" t="s">
        <v>77</v>
      </c>
      <c r="D92" s="18"/>
      <c r="E92" s="23"/>
      <c r="F92" s="16">
        <f>1/10</f>
        <v>0.1</v>
      </c>
      <c r="G92" s="16">
        <v>3800</v>
      </c>
      <c r="H92" s="156">
        <f t="shared" si="8"/>
        <v>0.38</v>
      </c>
      <c r="I92" s="16">
        <f>G92*0.1</f>
        <v>380</v>
      </c>
    </row>
    <row r="93" spans="1:9" ht="31.5" hidden="1" customHeight="1">
      <c r="A93" s="36"/>
      <c r="B93" s="81" t="s">
        <v>192</v>
      </c>
      <c r="C93" s="107" t="s">
        <v>122</v>
      </c>
      <c r="D93" s="18"/>
      <c r="E93" s="23"/>
      <c r="F93" s="16">
        <v>1</v>
      </c>
      <c r="G93" s="16">
        <v>2179.33</v>
      </c>
      <c r="H93" s="156">
        <f>G93*F93/1000</f>
        <v>2.1793299999999998</v>
      </c>
      <c r="I93" s="16">
        <v>0</v>
      </c>
    </row>
    <row r="94" spans="1:9" ht="15.75" hidden="1" customHeight="1">
      <c r="A94" s="36"/>
      <c r="B94" s="81" t="s">
        <v>193</v>
      </c>
      <c r="C94" s="107" t="s">
        <v>122</v>
      </c>
      <c r="D94" s="18"/>
      <c r="E94" s="23"/>
      <c r="F94" s="16">
        <v>1</v>
      </c>
      <c r="G94" s="16">
        <v>1142.72</v>
      </c>
      <c r="H94" s="156">
        <f>G94*F94/1000</f>
        <v>1.14272</v>
      </c>
      <c r="I94" s="16">
        <v>0</v>
      </c>
    </row>
    <row r="95" spans="1:9" ht="31.5" hidden="1" customHeight="1">
      <c r="A95" s="36"/>
      <c r="B95" s="81" t="s">
        <v>83</v>
      </c>
      <c r="C95" s="107" t="s">
        <v>122</v>
      </c>
      <c r="D95" s="18"/>
      <c r="E95" s="23"/>
      <c r="F95" s="16">
        <v>3</v>
      </c>
      <c r="G95" s="16">
        <v>79.09</v>
      </c>
      <c r="H95" s="156">
        <f t="shared" si="8"/>
        <v>0.23727000000000001</v>
      </c>
      <c r="I95" s="16">
        <v>0</v>
      </c>
    </row>
    <row r="96" spans="1:9" ht="31.5" hidden="1" customHeight="1">
      <c r="A96" s="36"/>
      <c r="B96" s="81" t="s">
        <v>194</v>
      </c>
      <c r="C96" s="107" t="s">
        <v>195</v>
      </c>
      <c r="D96" s="18"/>
      <c r="E96" s="23"/>
      <c r="F96" s="16">
        <f>1/10</f>
        <v>0.1</v>
      </c>
      <c r="G96" s="16">
        <v>195.27</v>
      </c>
      <c r="H96" s="156">
        <f t="shared" si="8"/>
        <v>1.9527000000000003E-2</v>
      </c>
      <c r="I96" s="16">
        <v>0</v>
      </c>
    </row>
    <row r="97" spans="1:9" ht="15.75" hidden="1" customHeight="1">
      <c r="A97" s="36"/>
      <c r="B97" s="81" t="s">
        <v>196</v>
      </c>
      <c r="C97" s="107" t="s">
        <v>197</v>
      </c>
      <c r="D97" s="18"/>
      <c r="E97" s="23"/>
      <c r="F97" s="16">
        <v>1</v>
      </c>
      <c r="G97" s="16">
        <v>28692</v>
      </c>
      <c r="H97" s="156">
        <f t="shared" si="8"/>
        <v>28.692</v>
      </c>
      <c r="I97" s="16">
        <v>0</v>
      </c>
    </row>
    <row r="98" spans="1:9" ht="31.5" hidden="1" customHeight="1">
      <c r="A98" s="36"/>
      <c r="B98" s="81" t="s">
        <v>198</v>
      </c>
      <c r="C98" s="107" t="s">
        <v>85</v>
      </c>
      <c r="D98" s="18"/>
      <c r="E98" s="23"/>
      <c r="F98" s="16">
        <v>2</v>
      </c>
      <c r="G98" s="16">
        <v>960.74</v>
      </c>
      <c r="H98" s="156">
        <f t="shared" si="8"/>
        <v>1.9214800000000001</v>
      </c>
      <c r="I98" s="16">
        <v>0</v>
      </c>
    </row>
    <row r="99" spans="1:9" ht="15.75" hidden="1" customHeight="1">
      <c r="A99" s="36"/>
      <c r="B99" s="81" t="s">
        <v>199</v>
      </c>
      <c r="C99" s="107" t="s">
        <v>122</v>
      </c>
      <c r="D99" s="67"/>
      <c r="E99" s="16"/>
      <c r="F99" s="16">
        <v>1</v>
      </c>
      <c r="G99" s="16">
        <v>27.36</v>
      </c>
      <c r="H99" s="156">
        <f t="shared" si="8"/>
        <v>2.7359999999999999E-2</v>
      </c>
      <c r="I99" s="16">
        <v>0</v>
      </c>
    </row>
    <row r="100" spans="1:9" ht="15.75" hidden="1" customHeight="1">
      <c r="A100" s="36"/>
      <c r="B100" s="81" t="s">
        <v>200</v>
      </c>
      <c r="C100" s="107" t="s">
        <v>122</v>
      </c>
      <c r="D100" s="67"/>
      <c r="E100" s="16"/>
      <c r="F100" s="16">
        <v>1</v>
      </c>
      <c r="G100" s="16">
        <v>109.73</v>
      </c>
      <c r="H100" s="156">
        <f t="shared" si="8"/>
        <v>0.10973000000000001</v>
      </c>
      <c r="I100" s="16">
        <v>0</v>
      </c>
    </row>
    <row r="101" spans="1:9" ht="15.75" hidden="1" customHeight="1">
      <c r="A101" s="36"/>
      <c r="B101" s="81" t="s">
        <v>201</v>
      </c>
      <c r="C101" s="108" t="s">
        <v>202</v>
      </c>
      <c r="D101" s="67"/>
      <c r="E101" s="16"/>
      <c r="F101" s="16">
        <v>1.5</v>
      </c>
      <c r="G101" s="16">
        <v>286.55</v>
      </c>
      <c r="H101" s="156">
        <f>G101*F101/1000</f>
        <v>0.42982500000000007</v>
      </c>
      <c r="I101" s="16">
        <v>0</v>
      </c>
    </row>
    <row r="102" spans="1:9" ht="31.5" hidden="1" customHeight="1">
      <c r="A102" s="36"/>
      <c r="B102" s="81" t="s">
        <v>87</v>
      </c>
      <c r="C102" s="107" t="s">
        <v>37</v>
      </c>
      <c r="D102" s="18"/>
      <c r="E102" s="23"/>
      <c r="F102" s="16">
        <v>0.05</v>
      </c>
      <c r="G102" s="16">
        <v>3397.65</v>
      </c>
      <c r="H102" s="156">
        <f t="shared" si="8"/>
        <v>0.16988250000000002</v>
      </c>
      <c r="I102" s="16">
        <v>0</v>
      </c>
    </row>
    <row r="103" spans="1:9" ht="15.75" hidden="1" customHeight="1">
      <c r="A103" s="36"/>
      <c r="B103" s="81" t="s">
        <v>158</v>
      </c>
      <c r="C103" s="107" t="s">
        <v>122</v>
      </c>
      <c r="D103" s="18"/>
      <c r="E103" s="23"/>
      <c r="F103" s="16">
        <v>729</v>
      </c>
      <c r="G103" s="16">
        <v>50.68</v>
      </c>
      <c r="H103" s="156">
        <f t="shared" si="8"/>
        <v>36.945720000000001</v>
      </c>
      <c r="I103" s="16">
        <v>0</v>
      </c>
    </row>
    <row r="104" spans="1:9" ht="15.75" hidden="1" customHeight="1">
      <c r="A104" s="36"/>
      <c r="B104" s="81" t="s">
        <v>203</v>
      </c>
      <c r="C104" s="107" t="s">
        <v>197</v>
      </c>
      <c r="D104" s="18"/>
      <c r="E104" s="23"/>
      <c r="F104" s="16">
        <v>1</v>
      </c>
      <c r="G104" s="16">
        <v>38699</v>
      </c>
      <c r="H104" s="156">
        <f t="shared" si="8"/>
        <v>38.698999999999998</v>
      </c>
      <c r="I104" s="16">
        <v>0</v>
      </c>
    </row>
    <row r="105" spans="1:9" ht="15.75" hidden="1" customHeight="1">
      <c r="A105" s="36"/>
      <c r="B105" s="81" t="s">
        <v>204</v>
      </c>
      <c r="C105" s="107" t="s">
        <v>205</v>
      </c>
      <c r="D105" s="18"/>
      <c r="E105" s="23"/>
      <c r="F105" s="16">
        <v>1</v>
      </c>
      <c r="G105" s="16">
        <v>1005.07</v>
      </c>
      <c r="H105" s="156">
        <f t="shared" si="8"/>
        <v>1.0050700000000001</v>
      </c>
      <c r="I105" s="16">
        <v>0</v>
      </c>
    </row>
    <row r="106" spans="1:9" ht="15.75" hidden="1" customHeight="1">
      <c r="A106" s="36"/>
      <c r="B106" s="81" t="s">
        <v>206</v>
      </c>
      <c r="C106" s="107" t="s">
        <v>207</v>
      </c>
      <c r="D106" s="18"/>
      <c r="E106" s="23"/>
      <c r="F106" s="16">
        <f>1/100</f>
        <v>0.01</v>
      </c>
      <c r="G106" s="16">
        <v>7033.13</v>
      </c>
      <c r="H106" s="156">
        <f t="shared" si="8"/>
        <v>7.0331299999999999E-2</v>
      </c>
      <c r="I106" s="16">
        <v>0</v>
      </c>
    </row>
    <row r="107" spans="1:9" ht="15.75" hidden="1" customHeight="1">
      <c r="A107" s="36"/>
      <c r="B107" s="81" t="s">
        <v>159</v>
      </c>
      <c r="C107" s="107" t="s">
        <v>122</v>
      </c>
      <c r="D107" s="67"/>
      <c r="E107" s="16"/>
      <c r="F107" s="16">
        <v>2</v>
      </c>
      <c r="G107" s="16">
        <v>1405.67</v>
      </c>
      <c r="H107" s="156">
        <f t="shared" si="8"/>
        <v>2.81134</v>
      </c>
      <c r="I107" s="16">
        <v>0</v>
      </c>
    </row>
    <row r="108" spans="1:9" ht="15.75" hidden="1" customHeight="1">
      <c r="A108" s="36"/>
      <c r="B108" s="81" t="s">
        <v>208</v>
      </c>
      <c r="C108" s="107" t="s">
        <v>197</v>
      </c>
      <c r="D108" s="67"/>
      <c r="E108" s="16"/>
      <c r="F108" s="16">
        <v>1</v>
      </c>
      <c r="G108" s="16">
        <v>594</v>
      </c>
      <c r="H108" s="156">
        <f t="shared" si="8"/>
        <v>0.59399999999999997</v>
      </c>
      <c r="I108" s="16">
        <v>0</v>
      </c>
    </row>
    <row r="109" spans="1:9" ht="15.75" hidden="1" customHeight="1">
      <c r="A109" s="36"/>
      <c r="B109" s="81" t="s">
        <v>168</v>
      </c>
      <c r="C109" s="107" t="s">
        <v>164</v>
      </c>
      <c r="D109" s="67"/>
      <c r="E109" s="16"/>
      <c r="F109" s="16">
        <v>3</v>
      </c>
      <c r="G109" s="16">
        <v>1148</v>
      </c>
      <c r="H109" s="156">
        <f t="shared" si="8"/>
        <v>3.444</v>
      </c>
      <c r="I109" s="16">
        <v>0</v>
      </c>
    </row>
    <row r="110" spans="1:9" ht="15.75" hidden="1" customHeight="1">
      <c r="A110" s="36"/>
      <c r="B110" s="123" t="s">
        <v>171</v>
      </c>
      <c r="C110" s="161" t="s">
        <v>172</v>
      </c>
      <c r="D110" s="18"/>
      <c r="E110" s="23"/>
      <c r="F110" s="16">
        <f>9/3</f>
        <v>3</v>
      </c>
      <c r="G110" s="16">
        <v>1063.47</v>
      </c>
      <c r="H110" s="156">
        <f t="shared" si="8"/>
        <v>3.19041</v>
      </c>
      <c r="I110" s="16">
        <v>0</v>
      </c>
    </row>
    <row r="111" spans="1:9" ht="31.5" hidden="1" customHeight="1">
      <c r="A111" s="36"/>
      <c r="B111" s="81" t="s">
        <v>209</v>
      </c>
      <c r="C111" s="107" t="s">
        <v>166</v>
      </c>
      <c r="D111" s="18"/>
      <c r="E111" s="23"/>
      <c r="F111" s="16">
        <v>2</v>
      </c>
      <c r="G111" s="16">
        <v>294.79000000000002</v>
      </c>
      <c r="H111" s="156">
        <f t="shared" si="8"/>
        <v>0.58957999999999999</v>
      </c>
      <c r="I111" s="16">
        <v>0</v>
      </c>
    </row>
    <row r="112" spans="1:9" ht="15.75" hidden="1" customHeight="1">
      <c r="A112" s="36"/>
      <c r="B112" s="111" t="s">
        <v>92</v>
      </c>
      <c r="C112" s="107" t="s">
        <v>122</v>
      </c>
      <c r="D112" s="18"/>
      <c r="E112" s="23"/>
      <c r="F112" s="16">
        <v>2</v>
      </c>
      <c r="G112" s="16">
        <v>179.96</v>
      </c>
      <c r="H112" s="156">
        <f t="shared" si="8"/>
        <v>0.35992000000000002</v>
      </c>
      <c r="I112" s="16">
        <v>0</v>
      </c>
    </row>
    <row r="113" spans="1:9" ht="15.75" hidden="1" customHeight="1">
      <c r="A113" s="36"/>
      <c r="B113" s="81" t="s">
        <v>90</v>
      </c>
      <c r="C113" s="107" t="s">
        <v>210</v>
      </c>
      <c r="D113" s="18"/>
      <c r="E113" s="23"/>
      <c r="F113" s="16">
        <v>2</v>
      </c>
      <c r="G113" s="16">
        <v>290.67</v>
      </c>
      <c r="H113" s="156">
        <f t="shared" si="8"/>
        <v>0.58134000000000008</v>
      </c>
      <c r="I113" s="16">
        <v>0</v>
      </c>
    </row>
    <row r="114" spans="1:9" ht="31.5" hidden="1" customHeight="1">
      <c r="A114" s="36"/>
      <c r="B114" s="81" t="s">
        <v>167</v>
      </c>
      <c r="C114" s="107" t="s">
        <v>166</v>
      </c>
      <c r="D114" s="18"/>
      <c r="E114" s="23"/>
      <c r="F114" s="16">
        <v>4</v>
      </c>
      <c r="G114" s="16">
        <v>762.37</v>
      </c>
      <c r="H114" s="156">
        <f t="shared" si="8"/>
        <v>3.04948</v>
      </c>
      <c r="I114" s="16">
        <v>0</v>
      </c>
    </row>
    <row r="115" spans="1:9" ht="15.75" hidden="1" customHeight="1">
      <c r="A115" s="36"/>
      <c r="B115" s="140" t="s">
        <v>211</v>
      </c>
      <c r="C115" s="36" t="s">
        <v>212</v>
      </c>
      <c r="D115" s="18"/>
      <c r="E115" s="23"/>
      <c r="F115" s="16">
        <f>0.5/10</f>
        <v>0.05</v>
      </c>
      <c r="G115" s="16">
        <v>3699.27</v>
      </c>
      <c r="H115" s="156">
        <f t="shared" si="8"/>
        <v>0.1849635</v>
      </c>
      <c r="I115" s="16">
        <v>0</v>
      </c>
    </row>
    <row r="116" spans="1:9" ht="31.5" hidden="1" customHeight="1">
      <c r="A116" s="36"/>
      <c r="B116" s="81" t="s">
        <v>213</v>
      </c>
      <c r="C116" s="107" t="s">
        <v>85</v>
      </c>
      <c r="D116" s="18"/>
      <c r="E116" s="23"/>
      <c r="F116" s="16">
        <v>6</v>
      </c>
      <c r="G116" s="16">
        <v>771.29</v>
      </c>
      <c r="H116" s="156">
        <f t="shared" si="8"/>
        <v>4.6277400000000002</v>
      </c>
      <c r="I116" s="16">
        <v>0</v>
      </c>
    </row>
    <row r="117" spans="1:9" ht="15.75" hidden="1" customHeight="1">
      <c r="A117" s="36"/>
      <c r="B117" s="81" t="s">
        <v>223</v>
      </c>
      <c r="C117" s="107" t="s">
        <v>122</v>
      </c>
      <c r="D117" s="18"/>
      <c r="E117" s="23"/>
      <c r="F117" s="16">
        <v>1</v>
      </c>
      <c r="G117" s="16">
        <v>49.97</v>
      </c>
      <c r="H117" s="156">
        <f t="shared" si="8"/>
        <v>4.9970000000000001E-2</v>
      </c>
      <c r="I117" s="16">
        <v>0</v>
      </c>
    </row>
    <row r="118" spans="1:9" ht="15.75" hidden="1" customHeight="1">
      <c r="A118" s="36"/>
      <c r="B118" s="81" t="s">
        <v>214</v>
      </c>
      <c r="C118" s="107" t="s">
        <v>122</v>
      </c>
      <c r="D118" s="18"/>
      <c r="E118" s="23"/>
      <c r="F118" s="16">
        <v>1</v>
      </c>
      <c r="G118" s="16">
        <v>86.15</v>
      </c>
      <c r="H118" s="156">
        <f t="shared" si="8"/>
        <v>8.6150000000000004E-2</v>
      </c>
      <c r="I118" s="16">
        <v>0</v>
      </c>
    </row>
    <row r="119" spans="1:9" ht="15.75" hidden="1" customHeight="1">
      <c r="A119" s="36"/>
      <c r="B119" s="81" t="s">
        <v>215</v>
      </c>
      <c r="C119" s="107" t="s">
        <v>122</v>
      </c>
      <c r="D119" s="18"/>
      <c r="E119" s="23"/>
      <c r="F119" s="16">
        <v>2</v>
      </c>
      <c r="G119" s="16">
        <v>78.89</v>
      </c>
      <c r="H119" s="156">
        <f t="shared" si="8"/>
        <v>0.15778</v>
      </c>
      <c r="I119" s="16">
        <v>0</v>
      </c>
    </row>
    <row r="120" spans="1:9" ht="31.5" hidden="1" customHeight="1">
      <c r="A120" s="36"/>
      <c r="B120" s="81" t="s">
        <v>216</v>
      </c>
      <c r="C120" s="107" t="s">
        <v>197</v>
      </c>
      <c r="D120" s="18"/>
      <c r="E120" s="23"/>
      <c r="F120" s="16">
        <v>1</v>
      </c>
      <c r="G120" s="16">
        <v>48548</v>
      </c>
      <c r="H120" s="156">
        <f t="shared" si="8"/>
        <v>48.548000000000002</v>
      </c>
      <c r="I120" s="16">
        <v>0</v>
      </c>
    </row>
    <row r="121" spans="1:9" ht="15.75" hidden="1" customHeight="1">
      <c r="A121" s="36"/>
      <c r="B121" s="81" t="s">
        <v>217</v>
      </c>
      <c r="C121" s="108" t="s">
        <v>218</v>
      </c>
      <c r="D121" s="18"/>
      <c r="E121" s="23"/>
      <c r="F121" s="16">
        <v>1</v>
      </c>
      <c r="G121" s="16">
        <v>193.17</v>
      </c>
      <c r="H121" s="156">
        <f t="shared" si="8"/>
        <v>0.19316999999999998</v>
      </c>
      <c r="I121" s="16">
        <v>0</v>
      </c>
    </row>
    <row r="122" spans="1:9" ht="31.5" hidden="1" customHeight="1">
      <c r="A122" s="36"/>
      <c r="B122" s="81" t="s">
        <v>219</v>
      </c>
      <c r="C122" s="107" t="s">
        <v>166</v>
      </c>
      <c r="D122" s="18"/>
      <c r="E122" s="23"/>
      <c r="F122" s="16">
        <v>2</v>
      </c>
      <c r="G122" s="16">
        <v>476.76</v>
      </c>
      <c r="H122" s="156">
        <f t="shared" si="8"/>
        <v>0.95352000000000003</v>
      </c>
      <c r="I122" s="16">
        <v>0</v>
      </c>
    </row>
    <row r="123" spans="1:9" ht="31.5" hidden="1" customHeight="1">
      <c r="A123" s="36"/>
      <c r="B123" s="81" t="s">
        <v>165</v>
      </c>
      <c r="C123" s="107" t="s">
        <v>166</v>
      </c>
      <c r="D123" s="18"/>
      <c r="E123" s="23"/>
      <c r="F123" s="16">
        <v>4</v>
      </c>
      <c r="G123" s="16">
        <v>559.62</v>
      </c>
      <c r="H123" s="156">
        <f t="shared" si="8"/>
        <v>2.23848</v>
      </c>
      <c r="I123" s="16">
        <v>0</v>
      </c>
    </row>
    <row r="124" spans="1:9" ht="15.75" hidden="1" customHeight="1">
      <c r="A124" s="36"/>
      <c r="B124" s="81" t="s">
        <v>224</v>
      </c>
      <c r="C124" s="107" t="s">
        <v>186</v>
      </c>
      <c r="D124" s="18"/>
      <c r="E124" s="23"/>
      <c r="F124" s="16">
        <v>1</v>
      </c>
      <c r="G124" s="16">
        <v>176.43</v>
      </c>
      <c r="H124" s="156">
        <f t="shared" si="8"/>
        <v>0.17643</v>
      </c>
      <c r="I124" s="16">
        <v>0</v>
      </c>
    </row>
    <row r="125" spans="1:9" ht="15.75" hidden="1" customHeight="1">
      <c r="A125" s="36"/>
      <c r="B125" s="81" t="s">
        <v>220</v>
      </c>
      <c r="C125" s="107" t="s">
        <v>197</v>
      </c>
      <c r="D125" s="18"/>
      <c r="E125" s="23"/>
      <c r="F125" s="16">
        <v>1</v>
      </c>
      <c r="G125" s="16">
        <v>10691</v>
      </c>
      <c r="H125" s="156">
        <f t="shared" si="8"/>
        <v>10.691000000000001</v>
      </c>
      <c r="I125" s="16">
        <v>0</v>
      </c>
    </row>
    <row r="126" spans="1:9" ht="15.75" hidden="1" customHeight="1">
      <c r="A126" s="36"/>
      <c r="B126" s="81" t="s">
        <v>91</v>
      </c>
      <c r="C126" s="107" t="s">
        <v>221</v>
      </c>
      <c r="D126" s="18"/>
      <c r="E126" s="23"/>
      <c r="F126" s="16">
        <v>1</v>
      </c>
      <c r="G126" s="16">
        <v>290.91000000000003</v>
      </c>
      <c r="H126" s="156">
        <f t="shared" si="8"/>
        <v>0.29091</v>
      </c>
      <c r="I126" s="16">
        <v>0</v>
      </c>
    </row>
    <row r="127" spans="1:9" ht="15.75" hidden="1" customHeight="1">
      <c r="A127" s="36"/>
      <c r="B127" s="81" t="s">
        <v>222</v>
      </c>
      <c r="C127" s="107" t="s">
        <v>197</v>
      </c>
      <c r="D127" s="18"/>
      <c r="E127" s="23"/>
      <c r="F127" s="16">
        <v>1</v>
      </c>
      <c r="G127" s="16">
        <v>69748</v>
      </c>
      <c r="H127" s="156">
        <f t="shared" si="8"/>
        <v>69.748000000000005</v>
      </c>
      <c r="I127" s="16">
        <v>0</v>
      </c>
    </row>
    <row r="128" spans="1:9">
      <c r="A128" s="36"/>
      <c r="B128" s="61" t="s">
        <v>51</v>
      </c>
      <c r="C128" s="57"/>
      <c r="D128" s="71"/>
      <c r="E128" s="57">
        <v>1</v>
      </c>
      <c r="F128" s="57"/>
      <c r="G128" s="57"/>
      <c r="H128" s="57"/>
      <c r="I128" s="39">
        <f>SUM(I87:I127)</f>
        <v>5995.45</v>
      </c>
    </row>
    <row r="129" spans="1:9" ht="15.75" customHeight="1">
      <c r="A129" s="36"/>
      <c r="B129" s="67" t="s">
        <v>81</v>
      </c>
      <c r="C129" s="19"/>
      <c r="D129" s="19"/>
      <c r="E129" s="58"/>
      <c r="F129" s="58"/>
      <c r="G129" s="59"/>
      <c r="H129" s="59"/>
      <c r="I129" s="22">
        <v>0</v>
      </c>
    </row>
    <row r="130" spans="1:9" ht="15.75" customHeight="1">
      <c r="A130" s="72"/>
      <c r="B130" s="62" t="s">
        <v>52</v>
      </c>
      <c r="C130" s="45"/>
      <c r="D130" s="45"/>
      <c r="E130" s="45"/>
      <c r="F130" s="45"/>
      <c r="G130" s="45"/>
      <c r="H130" s="45"/>
      <c r="I130" s="60">
        <f>I85+I128</f>
        <v>105651.08795291664</v>
      </c>
    </row>
    <row r="131" spans="1:9" ht="15.75" customHeight="1">
      <c r="A131" s="169" t="s">
        <v>226</v>
      </c>
      <c r="B131" s="169"/>
      <c r="C131" s="169"/>
      <c r="D131" s="169"/>
      <c r="E131" s="169"/>
      <c r="F131" s="169"/>
      <c r="G131" s="169"/>
      <c r="H131" s="169"/>
      <c r="I131" s="169"/>
    </row>
    <row r="132" spans="1:9" ht="15.75" customHeight="1">
      <c r="A132" s="121"/>
      <c r="B132" s="170" t="s">
        <v>227</v>
      </c>
      <c r="C132" s="170"/>
      <c r="D132" s="170"/>
      <c r="E132" s="170"/>
      <c r="F132" s="170"/>
      <c r="G132" s="170"/>
      <c r="H132" s="139"/>
      <c r="I132" s="3"/>
    </row>
    <row r="133" spans="1:9" ht="15.75" customHeight="1">
      <c r="A133" s="117"/>
      <c r="B133" s="165" t="s">
        <v>6</v>
      </c>
      <c r="C133" s="165"/>
      <c r="D133" s="165"/>
      <c r="E133" s="165"/>
      <c r="F133" s="165"/>
      <c r="G133" s="165"/>
      <c r="H133" s="31"/>
      <c r="I133" s="5"/>
    </row>
    <row r="134" spans="1:9" ht="15.75" customHeight="1">
      <c r="A134" s="10"/>
      <c r="B134" s="10"/>
      <c r="C134" s="10"/>
      <c r="D134" s="10"/>
      <c r="E134" s="10"/>
      <c r="F134" s="10"/>
      <c r="G134" s="10"/>
      <c r="H134" s="10"/>
      <c r="I134" s="10"/>
    </row>
    <row r="135" spans="1:9" ht="15.75" customHeight="1">
      <c r="A135" s="171" t="s">
        <v>7</v>
      </c>
      <c r="B135" s="171"/>
      <c r="C135" s="171"/>
      <c r="D135" s="171"/>
      <c r="E135" s="171"/>
      <c r="F135" s="171"/>
      <c r="G135" s="171"/>
      <c r="H135" s="171"/>
      <c r="I135" s="171"/>
    </row>
    <row r="136" spans="1:9" ht="15.75" customHeight="1">
      <c r="A136" s="171" t="s">
        <v>8</v>
      </c>
      <c r="B136" s="171"/>
      <c r="C136" s="171"/>
      <c r="D136" s="171"/>
      <c r="E136" s="171"/>
      <c r="F136" s="171"/>
      <c r="G136" s="171"/>
      <c r="H136" s="171"/>
      <c r="I136" s="171"/>
    </row>
    <row r="137" spans="1:9" ht="15.75" customHeight="1">
      <c r="A137" s="172" t="s">
        <v>62</v>
      </c>
      <c r="B137" s="172"/>
      <c r="C137" s="172"/>
      <c r="D137" s="172"/>
      <c r="E137" s="172"/>
      <c r="F137" s="172"/>
      <c r="G137" s="172"/>
      <c r="H137" s="172"/>
      <c r="I137" s="172"/>
    </row>
    <row r="138" spans="1:9" ht="23.25" customHeight="1">
      <c r="A138" s="11"/>
    </row>
    <row r="139" spans="1:9" ht="15.75">
      <c r="A139" s="163" t="s">
        <v>9</v>
      </c>
      <c r="B139" s="163"/>
      <c r="C139" s="163"/>
      <c r="D139" s="163"/>
      <c r="E139" s="163"/>
      <c r="F139" s="163"/>
      <c r="G139" s="163"/>
      <c r="H139" s="163"/>
      <c r="I139" s="163"/>
    </row>
    <row r="140" spans="1:9" ht="15.75">
      <c r="A140" s="4"/>
    </row>
    <row r="141" spans="1:9" ht="15.75" customHeight="1">
      <c r="B141" s="118" t="s">
        <v>10</v>
      </c>
      <c r="C141" s="164" t="s">
        <v>180</v>
      </c>
      <c r="D141" s="164"/>
      <c r="E141" s="164"/>
      <c r="F141" s="137"/>
      <c r="I141" s="116"/>
    </row>
    <row r="142" spans="1:9" ht="15.75" customHeight="1">
      <c r="A142" s="117"/>
      <c r="C142" s="165" t="s">
        <v>11</v>
      </c>
      <c r="D142" s="165"/>
      <c r="E142" s="165"/>
      <c r="F142" s="31"/>
      <c r="I142" s="115" t="s">
        <v>12</v>
      </c>
    </row>
    <row r="143" spans="1:9" ht="15.75" customHeight="1">
      <c r="A143" s="32"/>
      <c r="C143" s="12"/>
      <c r="D143" s="12"/>
      <c r="G143" s="12"/>
      <c r="H143" s="12"/>
    </row>
    <row r="144" spans="1:9" ht="15.75" customHeight="1">
      <c r="B144" s="118" t="s">
        <v>13</v>
      </c>
      <c r="C144" s="166"/>
      <c r="D144" s="166"/>
      <c r="E144" s="166"/>
      <c r="F144" s="138"/>
      <c r="I144" s="116"/>
    </row>
    <row r="145" spans="1:9" ht="15.75" customHeight="1">
      <c r="A145" s="117"/>
      <c r="C145" s="167" t="s">
        <v>11</v>
      </c>
      <c r="D145" s="167"/>
      <c r="E145" s="167"/>
      <c r="F145" s="117"/>
      <c r="I145" s="115" t="s">
        <v>12</v>
      </c>
    </row>
    <row r="146" spans="1:9" ht="15.75">
      <c r="A146" s="4" t="s">
        <v>14</v>
      </c>
    </row>
    <row r="147" spans="1:9">
      <c r="A147" s="168" t="s">
        <v>15</v>
      </c>
      <c r="B147" s="168"/>
      <c r="C147" s="168"/>
      <c r="D147" s="168"/>
      <c r="E147" s="168"/>
      <c r="F147" s="168"/>
      <c r="G147" s="168"/>
      <c r="H147" s="168"/>
      <c r="I147" s="168"/>
    </row>
    <row r="148" spans="1:9" ht="45" customHeight="1">
      <c r="A148" s="162" t="s">
        <v>16</v>
      </c>
      <c r="B148" s="162"/>
      <c r="C148" s="162"/>
      <c r="D148" s="162"/>
      <c r="E148" s="162"/>
      <c r="F148" s="162"/>
      <c r="G148" s="162"/>
      <c r="H148" s="162"/>
      <c r="I148" s="162"/>
    </row>
    <row r="149" spans="1:9" ht="30" customHeight="1">
      <c r="A149" s="162" t="s">
        <v>17</v>
      </c>
      <c r="B149" s="162"/>
      <c r="C149" s="162"/>
      <c r="D149" s="162"/>
      <c r="E149" s="162"/>
      <c r="F149" s="162"/>
      <c r="G149" s="162"/>
      <c r="H149" s="162"/>
      <c r="I149" s="162"/>
    </row>
    <row r="150" spans="1:9" ht="30" customHeight="1">
      <c r="A150" s="162" t="s">
        <v>21</v>
      </c>
      <c r="B150" s="162"/>
      <c r="C150" s="162"/>
      <c r="D150" s="162"/>
      <c r="E150" s="162"/>
      <c r="F150" s="162"/>
      <c r="G150" s="162"/>
      <c r="H150" s="162"/>
      <c r="I150" s="162"/>
    </row>
    <row r="151" spans="1:9" ht="15" customHeight="1">
      <c r="A151" s="162" t="s">
        <v>20</v>
      </c>
      <c r="B151" s="162"/>
      <c r="C151" s="162"/>
      <c r="D151" s="162"/>
      <c r="E151" s="162"/>
      <c r="F151" s="162"/>
      <c r="G151" s="162"/>
      <c r="H151" s="162"/>
      <c r="I151" s="162"/>
    </row>
  </sheetData>
  <autoFilter ref="I12:I61"/>
  <mergeCells count="28">
    <mergeCell ref="R66:U66"/>
    <mergeCell ref="A82:I82"/>
    <mergeCell ref="A3:I3"/>
    <mergeCell ref="A4:I4"/>
    <mergeCell ref="A5:I5"/>
    <mergeCell ref="A8:I8"/>
    <mergeCell ref="A10:I10"/>
    <mergeCell ref="A14:I14"/>
    <mergeCell ref="A137:I137"/>
    <mergeCell ref="A15:I15"/>
    <mergeCell ref="A29:I29"/>
    <mergeCell ref="A46:I46"/>
    <mergeCell ref="A56:I56"/>
    <mergeCell ref="A131:I131"/>
    <mergeCell ref="B132:G132"/>
    <mergeCell ref="B133:G133"/>
    <mergeCell ref="A135:I135"/>
    <mergeCell ref="A136:I136"/>
    <mergeCell ref="A148:I148"/>
    <mergeCell ref="A149:I149"/>
    <mergeCell ref="A150:I150"/>
    <mergeCell ref="A151:I151"/>
    <mergeCell ref="A139:I139"/>
    <mergeCell ref="C141:E141"/>
    <mergeCell ref="C142:E142"/>
    <mergeCell ref="C144:E144"/>
    <mergeCell ref="C145:E145"/>
    <mergeCell ref="A147:I147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19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4" t="s">
        <v>94</v>
      </c>
      <c r="I1" s="33"/>
      <c r="J1" s="1"/>
      <c r="K1" s="1"/>
      <c r="L1" s="1"/>
      <c r="M1" s="1"/>
    </row>
    <row r="2" spans="1:13" ht="15.75">
      <c r="A2" s="35" t="s">
        <v>64</v>
      </c>
      <c r="J2" s="2"/>
      <c r="K2" s="2"/>
      <c r="L2" s="2"/>
      <c r="M2" s="2"/>
    </row>
    <row r="3" spans="1:13" ht="15.75" customHeight="1">
      <c r="A3" s="180" t="s">
        <v>260</v>
      </c>
      <c r="B3" s="180"/>
      <c r="C3" s="180"/>
      <c r="D3" s="180"/>
      <c r="E3" s="180"/>
      <c r="F3" s="180"/>
      <c r="G3" s="180"/>
      <c r="H3" s="180"/>
      <c r="I3" s="180"/>
      <c r="J3" s="3"/>
      <c r="K3" s="3"/>
      <c r="L3" s="3"/>
    </row>
    <row r="4" spans="1:13" ht="31.5" customHeight="1">
      <c r="A4" s="181" t="s">
        <v>162</v>
      </c>
      <c r="B4" s="181"/>
      <c r="C4" s="181"/>
      <c r="D4" s="181"/>
      <c r="E4" s="181"/>
      <c r="F4" s="181"/>
      <c r="G4" s="181"/>
      <c r="H4" s="181"/>
      <c r="I4" s="181"/>
    </row>
    <row r="5" spans="1:13" ht="15.75">
      <c r="A5" s="180" t="s">
        <v>261</v>
      </c>
      <c r="B5" s="182"/>
      <c r="C5" s="182"/>
      <c r="D5" s="182"/>
      <c r="E5" s="182"/>
      <c r="F5" s="182"/>
      <c r="G5" s="182"/>
      <c r="H5" s="182"/>
      <c r="I5" s="182"/>
      <c r="J5" s="2"/>
      <c r="K5" s="2"/>
      <c r="L5" s="2"/>
      <c r="M5" s="2"/>
    </row>
    <row r="6" spans="1:13" ht="15.75">
      <c r="A6" s="2"/>
      <c r="B6" s="126"/>
      <c r="C6" s="126"/>
      <c r="D6" s="126"/>
      <c r="E6" s="126"/>
      <c r="F6" s="126"/>
      <c r="G6" s="126"/>
      <c r="H6" s="126"/>
      <c r="I6" s="37">
        <v>42674</v>
      </c>
      <c r="J6" s="2"/>
      <c r="K6" s="2"/>
      <c r="L6" s="2"/>
      <c r="M6" s="2"/>
    </row>
    <row r="7" spans="1:13" ht="15.75">
      <c r="B7" s="127"/>
      <c r="C7" s="127"/>
      <c r="D7" s="127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83" t="s">
        <v>175</v>
      </c>
      <c r="B8" s="183"/>
      <c r="C8" s="183"/>
      <c r="D8" s="183"/>
      <c r="E8" s="183"/>
      <c r="F8" s="183"/>
      <c r="G8" s="183"/>
      <c r="H8" s="183"/>
      <c r="I8" s="183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84" t="s">
        <v>176</v>
      </c>
      <c r="B10" s="184"/>
      <c r="C10" s="184"/>
      <c r="D10" s="184"/>
      <c r="E10" s="184"/>
      <c r="F10" s="184"/>
      <c r="G10" s="184"/>
      <c r="H10" s="184"/>
      <c r="I10" s="184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85" t="s">
        <v>60</v>
      </c>
      <c r="B14" s="185"/>
      <c r="C14" s="185"/>
      <c r="D14" s="185"/>
      <c r="E14" s="185"/>
      <c r="F14" s="185"/>
      <c r="G14" s="185"/>
      <c r="H14" s="185"/>
      <c r="I14" s="185"/>
      <c r="J14" s="8"/>
      <c r="K14" s="8"/>
      <c r="L14" s="8"/>
      <c r="M14" s="8"/>
    </row>
    <row r="15" spans="1:13" ht="15" customHeight="1">
      <c r="A15" s="173" t="s">
        <v>4</v>
      </c>
      <c r="B15" s="173"/>
      <c r="C15" s="173"/>
      <c r="D15" s="173"/>
      <c r="E15" s="173"/>
      <c r="F15" s="173"/>
      <c r="G15" s="173"/>
      <c r="H15" s="173"/>
      <c r="I15" s="173"/>
      <c r="J15" s="8"/>
      <c r="K15" s="8"/>
      <c r="L15" s="8"/>
      <c r="M15" s="8"/>
    </row>
    <row r="16" spans="1:13" ht="31.5" customHeight="1">
      <c r="A16" s="36">
        <v>1</v>
      </c>
      <c r="B16" s="141" t="s">
        <v>97</v>
      </c>
      <c r="C16" s="142" t="s">
        <v>98</v>
      </c>
      <c r="D16" s="141" t="s">
        <v>99</v>
      </c>
      <c r="E16" s="143">
        <v>143.78</v>
      </c>
      <c r="F16" s="144">
        <f>SUM(E16*156/100)</f>
        <v>224.29679999999999</v>
      </c>
      <c r="G16" s="144">
        <v>187.48</v>
      </c>
      <c r="H16" s="145">
        <f t="shared" ref="H16:H25" si="0">SUM(F16*G16/1000)</f>
        <v>42.051164063999998</v>
      </c>
      <c r="I16" s="16">
        <f>F16/12*G16</f>
        <v>3504.2636719999996</v>
      </c>
      <c r="J16" s="28"/>
      <c r="K16" s="8"/>
      <c r="L16" s="8"/>
      <c r="M16" s="8"/>
    </row>
    <row r="17" spans="1:13" ht="31.5" customHeight="1">
      <c r="A17" s="36">
        <v>2</v>
      </c>
      <c r="B17" s="141" t="s">
        <v>133</v>
      </c>
      <c r="C17" s="142" t="s">
        <v>98</v>
      </c>
      <c r="D17" s="141" t="s">
        <v>100</v>
      </c>
      <c r="E17" s="143">
        <v>575.125</v>
      </c>
      <c r="F17" s="144">
        <f>SUM(E17*104/100)</f>
        <v>598.13</v>
      </c>
      <c r="G17" s="144">
        <v>187.48</v>
      </c>
      <c r="H17" s="145">
        <f t="shared" si="0"/>
        <v>112.13741239999999</v>
      </c>
      <c r="I17" s="16">
        <f>F17/12*G17</f>
        <v>9344.7843666666668</v>
      </c>
      <c r="J17" s="29"/>
      <c r="K17" s="8"/>
      <c r="L17" s="8"/>
      <c r="M17" s="8"/>
    </row>
    <row r="18" spans="1:13" ht="31.5" customHeight="1">
      <c r="A18" s="36">
        <v>3</v>
      </c>
      <c r="B18" s="141" t="s">
        <v>134</v>
      </c>
      <c r="C18" s="142" t="s">
        <v>98</v>
      </c>
      <c r="D18" s="141" t="s">
        <v>142</v>
      </c>
      <c r="E18" s="143">
        <v>718.9</v>
      </c>
      <c r="F18" s="144">
        <f>SUM(E18*24/100)</f>
        <v>172.53599999999997</v>
      </c>
      <c r="G18" s="144">
        <v>539.51</v>
      </c>
      <c r="H18" s="145">
        <f t="shared" si="0"/>
        <v>93.084897359999985</v>
      </c>
      <c r="I18" s="16">
        <f>F18/12*G18</f>
        <v>7757.074779999999</v>
      </c>
      <c r="J18" s="29"/>
      <c r="K18" s="8"/>
      <c r="L18" s="8"/>
      <c r="M18" s="8"/>
    </row>
    <row r="19" spans="1:13" ht="15.75" hidden="1" customHeight="1">
      <c r="A19" s="36"/>
      <c r="B19" s="141" t="s">
        <v>107</v>
      </c>
      <c r="C19" s="142" t="s">
        <v>108</v>
      </c>
      <c r="D19" s="141" t="s">
        <v>109</v>
      </c>
      <c r="E19" s="143">
        <v>42.2</v>
      </c>
      <c r="F19" s="144">
        <f>SUM(E19/10)</f>
        <v>4.2200000000000006</v>
      </c>
      <c r="G19" s="144">
        <v>181.91</v>
      </c>
      <c r="H19" s="145">
        <f t="shared" si="0"/>
        <v>0.76766020000000013</v>
      </c>
      <c r="I19" s="16">
        <v>0</v>
      </c>
      <c r="J19" s="29"/>
      <c r="K19" s="8"/>
      <c r="L19" s="8"/>
      <c r="M19" s="8"/>
    </row>
    <row r="20" spans="1:13" ht="15.75" customHeight="1">
      <c r="A20" s="36">
        <v>4</v>
      </c>
      <c r="B20" s="141" t="s">
        <v>110</v>
      </c>
      <c r="C20" s="142" t="s">
        <v>98</v>
      </c>
      <c r="D20" s="141" t="s">
        <v>135</v>
      </c>
      <c r="E20" s="143">
        <v>14</v>
      </c>
      <c r="F20" s="144">
        <f>SUM(E20*12/100)</f>
        <v>1.68</v>
      </c>
      <c r="G20" s="144">
        <v>232.92</v>
      </c>
      <c r="H20" s="145">
        <f t="shared" si="0"/>
        <v>0.39130559999999998</v>
      </c>
      <c r="I20" s="16">
        <f>F20/12*G20</f>
        <v>32.608799999999995</v>
      </c>
      <c r="J20" s="29"/>
      <c r="K20" s="8"/>
      <c r="L20" s="8"/>
      <c r="M20" s="8"/>
    </row>
    <row r="21" spans="1:13" ht="15.75" hidden="1" customHeight="1">
      <c r="A21" s="36">
        <v>5</v>
      </c>
      <c r="B21" s="141" t="s">
        <v>111</v>
      </c>
      <c r="C21" s="142" t="s">
        <v>98</v>
      </c>
      <c r="D21" s="141" t="s">
        <v>184</v>
      </c>
      <c r="E21" s="143">
        <v>4.8</v>
      </c>
      <c r="F21" s="144">
        <f>SUM(E21*6/100)</f>
        <v>0.28799999999999998</v>
      </c>
      <c r="G21" s="144">
        <v>231.03</v>
      </c>
      <c r="H21" s="145">
        <f>SUM(F21*G21/1000)</f>
        <v>6.6536639999999994E-2</v>
      </c>
      <c r="I21" s="16">
        <f>F21/6*G21</f>
        <v>11.089439999999998</v>
      </c>
      <c r="J21" s="29"/>
      <c r="K21" s="8"/>
      <c r="L21" s="8"/>
      <c r="M21" s="8"/>
    </row>
    <row r="22" spans="1:13" ht="15.75" hidden="1" customHeight="1">
      <c r="A22" s="36"/>
      <c r="B22" s="141" t="s">
        <v>112</v>
      </c>
      <c r="C22" s="142" t="s">
        <v>53</v>
      </c>
      <c r="D22" s="141" t="s">
        <v>109</v>
      </c>
      <c r="E22" s="143">
        <v>640</v>
      </c>
      <c r="F22" s="144">
        <f>SUM(E22/100)</f>
        <v>6.4</v>
      </c>
      <c r="G22" s="144">
        <v>287.83999999999997</v>
      </c>
      <c r="H22" s="145">
        <f t="shared" si="0"/>
        <v>1.842176</v>
      </c>
      <c r="I22" s="16">
        <v>0</v>
      </c>
      <c r="J22" s="29"/>
      <c r="K22" s="8"/>
      <c r="L22" s="8"/>
      <c r="M22" s="8"/>
    </row>
    <row r="23" spans="1:13" ht="15.75" hidden="1" customHeight="1">
      <c r="A23" s="36"/>
      <c r="B23" s="141" t="s">
        <v>113</v>
      </c>
      <c r="C23" s="142" t="s">
        <v>53</v>
      </c>
      <c r="D23" s="141" t="s">
        <v>109</v>
      </c>
      <c r="E23" s="146">
        <v>48.3</v>
      </c>
      <c r="F23" s="144">
        <f>SUM(E23/100)</f>
        <v>0.48299999999999998</v>
      </c>
      <c r="G23" s="144">
        <v>47.34</v>
      </c>
      <c r="H23" s="145">
        <f t="shared" si="0"/>
        <v>2.2865220000000002E-2</v>
      </c>
      <c r="I23" s="16">
        <v>0</v>
      </c>
      <c r="J23" s="29"/>
      <c r="K23" s="8"/>
      <c r="L23" s="8"/>
      <c r="M23" s="8"/>
    </row>
    <row r="24" spans="1:13" ht="15.75" hidden="1" customHeight="1">
      <c r="A24" s="36"/>
      <c r="B24" s="141" t="s">
        <v>114</v>
      </c>
      <c r="C24" s="142" t="s">
        <v>53</v>
      </c>
      <c r="D24" s="141" t="s">
        <v>54</v>
      </c>
      <c r="E24" s="143">
        <v>20</v>
      </c>
      <c r="F24" s="144">
        <f>E24/100</f>
        <v>0.2</v>
      </c>
      <c r="G24" s="144">
        <v>416.62</v>
      </c>
      <c r="H24" s="145">
        <f t="shared" si="0"/>
        <v>8.3324000000000009E-2</v>
      </c>
      <c r="I24" s="16">
        <v>0</v>
      </c>
      <c r="J24" s="29"/>
      <c r="K24" s="8"/>
      <c r="L24" s="8"/>
      <c r="M24" s="8"/>
    </row>
    <row r="25" spans="1:13" ht="15.75" hidden="1" customHeight="1">
      <c r="A25" s="36"/>
      <c r="B25" s="141" t="s">
        <v>115</v>
      </c>
      <c r="C25" s="142" t="s">
        <v>53</v>
      </c>
      <c r="D25" s="141" t="s">
        <v>54</v>
      </c>
      <c r="E25" s="143">
        <v>8.5</v>
      </c>
      <c r="F25" s="144">
        <f>SUM(E25/100)</f>
        <v>8.5000000000000006E-2</v>
      </c>
      <c r="G25" s="144">
        <v>556.74</v>
      </c>
      <c r="H25" s="145">
        <f t="shared" si="0"/>
        <v>4.7322900000000001E-2</v>
      </c>
      <c r="I25" s="16">
        <v>0</v>
      </c>
      <c r="J25" s="29"/>
      <c r="K25" s="8"/>
      <c r="L25" s="8"/>
      <c r="M25" s="8"/>
    </row>
    <row r="26" spans="1:13" ht="15.75" hidden="1" customHeight="1">
      <c r="A26" s="36"/>
      <c r="B26" s="141" t="s">
        <v>140</v>
      </c>
      <c r="C26" s="142" t="s">
        <v>53</v>
      </c>
      <c r="D26" s="141" t="s">
        <v>54</v>
      </c>
      <c r="E26" s="143">
        <v>19</v>
      </c>
      <c r="F26" s="144">
        <f>E26/100</f>
        <v>0.19</v>
      </c>
      <c r="G26" s="144">
        <v>231.03</v>
      </c>
      <c r="H26" s="145">
        <f>G26*F26/1000</f>
        <v>4.3895699999999996E-2</v>
      </c>
      <c r="I26" s="16">
        <v>0</v>
      </c>
      <c r="J26" s="29"/>
      <c r="K26" s="8"/>
      <c r="L26" s="8"/>
      <c r="M26" s="8"/>
    </row>
    <row r="27" spans="1:13" ht="15.75" customHeight="1">
      <c r="A27" s="36">
        <v>5</v>
      </c>
      <c r="B27" s="141" t="s">
        <v>66</v>
      </c>
      <c r="C27" s="142" t="s">
        <v>33</v>
      </c>
      <c r="D27" s="141" t="s">
        <v>136</v>
      </c>
      <c r="E27" s="143">
        <v>0.1</v>
      </c>
      <c r="F27" s="144">
        <f>SUM(E27*365)</f>
        <v>36.5</v>
      </c>
      <c r="G27" s="144">
        <v>157.18</v>
      </c>
      <c r="H27" s="145">
        <f>SUM(F27*G27/1000)</f>
        <v>5.737070000000001</v>
      </c>
      <c r="I27" s="16">
        <f>F27/12*G27</f>
        <v>478.08916666666664</v>
      </c>
      <c r="J27" s="30"/>
    </row>
    <row r="28" spans="1:13" ht="15.75" customHeight="1">
      <c r="A28" s="36">
        <v>6</v>
      </c>
      <c r="B28" s="149" t="s">
        <v>23</v>
      </c>
      <c r="C28" s="142" t="s">
        <v>24</v>
      </c>
      <c r="D28" s="149" t="s">
        <v>153</v>
      </c>
      <c r="E28" s="143">
        <v>4731.7</v>
      </c>
      <c r="F28" s="144">
        <f>SUM(E28*12)</f>
        <v>56780.399999999994</v>
      </c>
      <c r="G28" s="144">
        <v>4.72</v>
      </c>
      <c r="H28" s="145">
        <f>SUM(F28*G28/1000)</f>
        <v>268.00348799999995</v>
      </c>
      <c r="I28" s="16">
        <f>F28/12*G28</f>
        <v>22333.623999999996</v>
      </c>
      <c r="J28" s="30"/>
    </row>
    <row r="29" spans="1:13" ht="15" customHeight="1">
      <c r="A29" s="173" t="s">
        <v>93</v>
      </c>
      <c r="B29" s="173"/>
      <c r="C29" s="173"/>
      <c r="D29" s="173"/>
      <c r="E29" s="173"/>
      <c r="F29" s="173"/>
      <c r="G29" s="173"/>
      <c r="H29" s="173"/>
      <c r="I29" s="173"/>
      <c r="J29" s="29"/>
      <c r="K29" s="8"/>
      <c r="L29" s="8"/>
      <c r="M29" s="8"/>
    </row>
    <row r="30" spans="1:13" ht="15.75" customHeight="1">
      <c r="A30" s="36"/>
      <c r="B30" s="189" t="s">
        <v>28</v>
      </c>
      <c r="C30" s="142"/>
      <c r="D30" s="141"/>
      <c r="E30" s="143"/>
      <c r="F30" s="144"/>
      <c r="G30" s="144"/>
      <c r="H30" s="145"/>
      <c r="I30" s="16"/>
      <c r="J30" s="29"/>
      <c r="K30" s="8"/>
      <c r="L30" s="8"/>
      <c r="M30" s="8"/>
    </row>
    <row r="31" spans="1:13" ht="31.5" customHeight="1">
      <c r="A31" s="36">
        <v>7</v>
      </c>
      <c r="B31" s="141" t="s">
        <v>119</v>
      </c>
      <c r="C31" s="142" t="s">
        <v>102</v>
      </c>
      <c r="D31" s="141" t="s">
        <v>116</v>
      </c>
      <c r="E31" s="144">
        <v>512.5</v>
      </c>
      <c r="F31" s="144">
        <f>SUM(E31*52/1000)</f>
        <v>26.65</v>
      </c>
      <c r="G31" s="144">
        <v>166.65</v>
      </c>
      <c r="H31" s="145">
        <f t="shared" ref="H31:H37" si="1">SUM(F31*G31/1000)</f>
        <v>4.4412225000000003</v>
      </c>
      <c r="I31" s="16">
        <f>F31/6*G31</f>
        <v>740.20375000000001</v>
      </c>
      <c r="J31" s="29"/>
      <c r="K31" s="8"/>
      <c r="L31" s="8"/>
      <c r="M31" s="8"/>
    </row>
    <row r="32" spans="1:13" ht="31.5" customHeight="1">
      <c r="A32" s="36">
        <v>8</v>
      </c>
      <c r="B32" s="141" t="s">
        <v>137</v>
      </c>
      <c r="C32" s="142" t="s">
        <v>102</v>
      </c>
      <c r="D32" s="141" t="s">
        <v>117</v>
      </c>
      <c r="E32" s="144">
        <v>316.27</v>
      </c>
      <c r="F32" s="144">
        <f>SUM(E32*78/1000)</f>
        <v>24.669059999999998</v>
      </c>
      <c r="G32" s="144">
        <v>276.48</v>
      </c>
      <c r="H32" s="145">
        <f t="shared" si="1"/>
        <v>6.8205017087999993</v>
      </c>
      <c r="I32" s="16">
        <f t="shared" ref="I32:I35" si="2">F32/6*G32</f>
        <v>1136.7502848000001</v>
      </c>
      <c r="J32" s="29"/>
      <c r="K32" s="8"/>
      <c r="L32" s="8"/>
      <c r="M32" s="8"/>
    </row>
    <row r="33" spans="1:14" ht="15.75" hidden="1" customHeight="1">
      <c r="A33" s="36"/>
      <c r="B33" s="141" t="s">
        <v>27</v>
      </c>
      <c r="C33" s="142" t="s">
        <v>102</v>
      </c>
      <c r="D33" s="141" t="s">
        <v>54</v>
      </c>
      <c r="E33" s="144">
        <v>512.5</v>
      </c>
      <c r="F33" s="144">
        <f>SUM(E33/1000)</f>
        <v>0.51249999999999996</v>
      </c>
      <c r="G33" s="144">
        <v>3228.73</v>
      </c>
      <c r="H33" s="145">
        <f t="shared" si="1"/>
        <v>1.654724125</v>
      </c>
      <c r="I33" s="16">
        <f>F33*G33</f>
        <v>1654.724125</v>
      </c>
      <c r="J33" s="29"/>
      <c r="K33" s="8"/>
      <c r="L33" s="8"/>
      <c r="M33" s="8"/>
    </row>
    <row r="34" spans="1:14" ht="15.75" customHeight="1">
      <c r="A34" s="36">
        <v>9</v>
      </c>
      <c r="B34" s="141" t="s">
        <v>154</v>
      </c>
      <c r="C34" s="142" t="s">
        <v>39</v>
      </c>
      <c r="D34" s="141" t="s">
        <v>65</v>
      </c>
      <c r="E34" s="144">
        <v>4</v>
      </c>
      <c r="F34" s="144">
        <f>E34*155/100</f>
        <v>6.2</v>
      </c>
      <c r="G34" s="144">
        <v>1391.86</v>
      </c>
      <c r="H34" s="145">
        <f>G34*F34/1000</f>
        <v>8.6295319999999993</v>
      </c>
      <c r="I34" s="16">
        <f t="shared" si="2"/>
        <v>1438.2553333333333</v>
      </c>
      <c r="J34" s="29"/>
      <c r="K34" s="8"/>
    </row>
    <row r="35" spans="1:14" ht="15.75" customHeight="1">
      <c r="A35" s="36">
        <v>10</v>
      </c>
      <c r="B35" s="141" t="s">
        <v>118</v>
      </c>
      <c r="C35" s="142" t="s">
        <v>31</v>
      </c>
      <c r="D35" s="141" t="s">
        <v>65</v>
      </c>
      <c r="E35" s="148">
        <v>0.33333333333333331</v>
      </c>
      <c r="F35" s="144">
        <f>155/3</f>
        <v>51.666666666666664</v>
      </c>
      <c r="G35" s="144">
        <v>60.6</v>
      </c>
      <c r="H35" s="145">
        <f>SUM(G35*155/3/1000)</f>
        <v>3.1309999999999998</v>
      </c>
      <c r="I35" s="16">
        <f t="shared" si="2"/>
        <v>521.83333333333337</v>
      </c>
      <c r="J35" s="30"/>
    </row>
    <row r="36" spans="1:14" ht="15.75" hidden="1" customHeight="1">
      <c r="A36" s="36"/>
      <c r="B36" s="141" t="s">
        <v>67</v>
      </c>
      <c r="C36" s="142" t="s">
        <v>33</v>
      </c>
      <c r="D36" s="141" t="s">
        <v>69</v>
      </c>
      <c r="E36" s="143"/>
      <c r="F36" s="144">
        <v>3</v>
      </c>
      <c r="G36" s="144">
        <v>204.52</v>
      </c>
      <c r="H36" s="145">
        <f t="shared" si="1"/>
        <v>0.61356000000000011</v>
      </c>
      <c r="I36" s="16">
        <v>0</v>
      </c>
      <c r="J36" s="30"/>
    </row>
    <row r="37" spans="1:14" ht="15.75" hidden="1" customHeight="1">
      <c r="A37" s="36"/>
      <c r="B37" s="141" t="s">
        <v>68</v>
      </c>
      <c r="C37" s="142" t="s">
        <v>32</v>
      </c>
      <c r="D37" s="141" t="s">
        <v>69</v>
      </c>
      <c r="E37" s="143"/>
      <c r="F37" s="144">
        <v>2</v>
      </c>
      <c r="G37" s="144">
        <v>1214.73</v>
      </c>
      <c r="H37" s="145">
        <f t="shared" si="1"/>
        <v>2.4294600000000002</v>
      </c>
      <c r="I37" s="16">
        <v>0</v>
      </c>
      <c r="J37" s="30"/>
    </row>
    <row r="38" spans="1:14" ht="15.75" hidden="1" customHeight="1">
      <c r="A38" s="36"/>
      <c r="B38" s="189" t="s">
        <v>5</v>
      </c>
      <c r="C38" s="142"/>
      <c r="D38" s="141"/>
      <c r="E38" s="143"/>
      <c r="F38" s="144"/>
      <c r="G38" s="144"/>
      <c r="H38" s="145" t="s">
        <v>153</v>
      </c>
      <c r="I38" s="16"/>
      <c r="J38" s="30"/>
    </row>
    <row r="39" spans="1:14" ht="15.75" hidden="1" customHeight="1">
      <c r="A39" s="36">
        <v>8</v>
      </c>
      <c r="B39" s="141" t="s">
        <v>26</v>
      </c>
      <c r="C39" s="142" t="s">
        <v>32</v>
      </c>
      <c r="D39" s="141"/>
      <c r="E39" s="143"/>
      <c r="F39" s="144">
        <v>5</v>
      </c>
      <c r="G39" s="144">
        <v>1632.6</v>
      </c>
      <c r="H39" s="145">
        <f t="shared" ref="H39:H45" si="3">SUM(F39*G39/1000)</f>
        <v>8.1630000000000003</v>
      </c>
      <c r="I39" s="16">
        <f>F39/6*G39</f>
        <v>1360.5</v>
      </c>
      <c r="J39" s="30"/>
      <c r="L39" s="25"/>
      <c r="M39" s="26"/>
      <c r="N39" s="27"/>
    </row>
    <row r="40" spans="1:14" ht="15.75" hidden="1" customHeight="1">
      <c r="A40" s="36">
        <v>9</v>
      </c>
      <c r="B40" s="141" t="s">
        <v>120</v>
      </c>
      <c r="C40" s="142" t="s">
        <v>29</v>
      </c>
      <c r="D40" s="141" t="s">
        <v>146</v>
      </c>
      <c r="E40" s="143">
        <v>228.38</v>
      </c>
      <c r="F40" s="144">
        <f>E40*30/1000</f>
        <v>6.8513999999999999</v>
      </c>
      <c r="G40" s="144">
        <v>2247.8000000000002</v>
      </c>
      <c r="H40" s="145">
        <f>G40*F40/1000</f>
        <v>15.400576920000001</v>
      </c>
      <c r="I40" s="16">
        <f>F40/6*G40</f>
        <v>2566.7628199999999</v>
      </c>
      <c r="J40" s="30"/>
      <c r="L40" s="25"/>
      <c r="M40" s="26"/>
      <c r="N40" s="27"/>
    </row>
    <row r="41" spans="1:14" ht="15.75" hidden="1" customHeight="1">
      <c r="A41" s="36">
        <v>10</v>
      </c>
      <c r="B41" s="141" t="s">
        <v>144</v>
      </c>
      <c r="C41" s="142" t="s">
        <v>145</v>
      </c>
      <c r="D41" s="141" t="s">
        <v>69</v>
      </c>
      <c r="E41" s="143"/>
      <c r="F41" s="144">
        <v>120</v>
      </c>
      <c r="G41" s="144">
        <v>213.2</v>
      </c>
      <c r="H41" s="145">
        <f>G41*F41/1000</f>
        <v>25.584</v>
      </c>
      <c r="I41" s="16">
        <f>G41*12</f>
        <v>2558.3999999999996</v>
      </c>
      <c r="J41" s="30"/>
      <c r="L41" s="25"/>
      <c r="M41" s="26"/>
      <c r="N41" s="27"/>
    </row>
    <row r="42" spans="1:14" ht="15.75" hidden="1" customHeight="1">
      <c r="A42" s="36">
        <v>11</v>
      </c>
      <c r="B42" s="141" t="s">
        <v>70</v>
      </c>
      <c r="C42" s="142" t="s">
        <v>29</v>
      </c>
      <c r="D42" s="141" t="s">
        <v>101</v>
      </c>
      <c r="E42" s="144">
        <v>233.71</v>
      </c>
      <c r="F42" s="144">
        <f>SUM(E42*155/1000)</f>
        <v>36.225050000000003</v>
      </c>
      <c r="G42" s="144">
        <v>374.95</v>
      </c>
      <c r="H42" s="145">
        <f t="shared" si="3"/>
        <v>13.582582497500001</v>
      </c>
      <c r="I42" s="16">
        <f>F42/6*G42</f>
        <v>2263.7637495833337</v>
      </c>
      <c r="J42" s="30"/>
      <c r="L42" s="25"/>
      <c r="M42" s="26"/>
      <c r="N42" s="27"/>
    </row>
    <row r="43" spans="1:14" ht="47.25" hidden="1" customHeight="1">
      <c r="A43" s="36">
        <v>12</v>
      </c>
      <c r="B43" s="141" t="s">
        <v>88</v>
      </c>
      <c r="C43" s="142" t="s">
        <v>102</v>
      </c>
      <c r="D43" s="141" t="s">
        <v>147</v>
      </c>
      <c r="E43" s="144">
        <v>54.4</v>
      </c>
      <c r="F43" s="144">
        <f>SUM(E43*35/1000)</f>
        <v>1.9039999999999999</v>
      </c>
      <c r="G43" s="144">
        <v>6203.7</v>
      </c>
      <c r="H43" s="145">
        <f t="shared" si="3"/>
        <v>11.811844799999999</v>
      </c>
      <c r="I43" s="16">
        <f>F43/6*G43</f>
        <v>1968.6407999999997</v>
      </c>
      <c r="J43" s="30"/>
      <c r="L43" s="25"/>
      <c r="M43" s="26"/>
      <c r="N43" s="27"/>
    </row>
    <row r="44" spans="1:14" ht="15.75" hidden="1" customHeight="1">
      <c r="A44" s="36">
        <v>13</v>
      </c>
      <c r="B44" s="141" t="s">
        <v>103</v>
      </c>
      <c r="C44" s="142" t="s">
        <v>102</v>
      </c>
      <c r="D44" s="141" t="s">
        <v>71</v>
      </c>
      <c r="E44" s="144">
        <v>228.38</v>
      </c>
      <c r="F44" s="144">
        <f>SUM(E44*45/1000)</f>
        <v>10.277100000000001</v>
      </c>
      <c r="G44" s="144">
        <v>458.28</v>
      </c>
      <c r="H44" s="145">
        <f t="shared" si="3"/>
        <v>4.7097893879999999</v>
      </c>
      <c r="I44" s="16">
        <f>F44/6*G44</f>
        <v>784.96489800000006</v>
      </c>
      <c r="J44" s="30"/>
      <c r="L44" s="25"/>
      <c r="M44" s="26"/>
      <c r="N44" s="27"/>
    </row>
    <row r="45" spans="1:14" ht="15.75" hidden="1" customHeight="1">
      <c r="A45" s="36">
        <v>14</v>
      </c>
      <c r="B45" s="141" t="s">
        <v>72</v>
      </c>
      <c r="C45" s="142" t="s">
        <v>33</v>
      </c>
      <c r="D45" s="141"/>
      <c r="E45" s="143"/>
      <c r="F45" s="144">
        <v>1.8</v>
      </c>
      <c r="G45" s="144">
        <v>853.06</v>
      </c>
      <c r="H45" s="145">
        <f t="shared" si="3"/>
        <v>1.5355080000000001</v>
      </c>
      <c r="I45" s="16">
        <f>F45/6*G45</f>
        <v>255.91799999999998</v>
      </c>
      <c r="J45" s="30"/>
      <c r="L45" s="25"/>
      <c r="M45" s="26"/>
      <c r="N45" s="27"/>
    </row>
    <row r="46" spans="1:14" ht="15" hidden="1" customHeight="1">
      <c r="A46" s="174" t="s">
        <v>177</v>
      </c>
      <c r="B46" s="175"/>
      <c r="C46" s="175"/>
      <c r="D46" s="175"/>
      <c r="E46" s="175"/>
      <c r="F46" s="175"/>
      <c r="G46" s="175"/>
      <c r="H46" s="175"/>
      <c r="I46" s="176"/>
      <c r="J46" s="30"/>
      <c r="L46" s="25"/>
      <c r="M46" s="26"/>
      <c r="N46" s="27"/>
    </row>
    <row r="47" spans="1:14" ht="15.75" hidden="1" customHeight="1">
      <c r="A47" s="36"/>
      <c r="B47" s="141" t="s">
        <v>148</v>
      </c>
      <c r="C47" s="142" t="s">
        <v>102</v>
      </c>
      <c r="D47" s="141" t="s">
        <v>41</v>
      </c>
      <c r="E47" s="143">
        <v>1320.9</v>
      </c>
      <c r="F47" s="144">
        <f>SUM(E47*2/1000)</f>
        <v>2.6418000000000004</v>
      </c>
      <c r="G47" s="16">
        <v>908.11</v>
      </c>
      <c r="H47" s="145">
        <f t="shared" ref="H47:H55" si="4">SUM(F47*G47/1000)</f>
        <v>2.3990449980000004</v>
      </c>
      <c r="I47" s="16">
        <v>0</v>
      </c>
      <c r="J47" s="30"/>
      <c r="L47" s="25"/>
      <c r="M47" s="26"/>
      <c r="N47" s="27"/>
    </row>
    <row r="48" spans="1:14" ht="15.75" hidden="1" customHeight="1">
      <c r="A48" s="36"/>
      <c r="B48" s="141" t="s">
        <v>34</v>
      </c>
      <c r="C48" s="142" t="s">
        <v>102</v>
      </c>
      <c r="D48" s="141" t="s">
        <v>41</v>
      </c>
      <c r="E48" s="143">
        <v>52</v>
      </c>
      <c r="F48" s="144">
        <f>E48*2/1000</f>
        <v>0.104</v>
      </c>
      <c r="G48" s="16">
        <v>619.46</v>
      </c>
      <c r="H48" s="145">
        <f t="shared" si="4"/>
        <v>6.4423839999999996E-2</v>
      </c>
      <c r="I48" s="16">
        <v>0</v>
      </c>
      <c r="J48" s="30"/>
      <c r="L48" s="25"/>
      <c r="M48" s="26"/>
      <c r="N48" s="27"/>
    </row>
    <row r="49" spans="1:22" ht="15.75" hidden="1" customHeight="1">
      <c r="A49" s="36"/>
      <c r="B49" s="141" t="s">
        <v>35</v>
      </c>
      <c r="C49" s="142" t="s">
        <v>102</v>
      </c>
      <c r="D49" s="141" t="s">
        <v>41</v>
      </c>
      <c r="E49" s="143">
        <v>1520.8</v>
      </c>
      <c r="F49" s="144">
        <f>SUM(E49*2/1000)</f>
        <v>3.0415999999999999</v>
      </c>
      <c r="G49" s="16">
        <v>619.46</v>
      </c>
      <c r="H49" s="145">
        <f t="shared" si="4"/>
        <v>1.8841495360000002</v>
      </c>
      <c r="I49" s="16">
        <v>0</v>
      </c>
      <c r="J49" s="30"/>
      <c r="L49" s="25"/>
      <c r="M49" s="26"/>
      <c r="N49" s="27"/>
    </row>
    <row r="50" spans="1:22" ht="15.75" hidden="1" customHeight="1">
      <c r="A50" s="36"/>
      <c r="B50" s="141" t="s">
        <v>36</v>
      </c>
      <c r="C50" s="142" t="s">
        <v>102</v>
      </c>
      <c r="D50" s="141" t="s">
        <v>41</v>
      </c>
      <c r="E50" s="143">
        <v>3433.81</v>
      </c>
      <c r="F50" s="144">
        <f>SUM(E50*2/1000)</f>
        <v>6.8676199999999996</v>
      </c>
      <c r="G50" s="16">
        <v>648.64</v>
      </c>
      <c r="H50" s="145">
        <f t="shared" si="4"/>
        <v>4.4546130367999996</v>
      </c>
      <c r="I50" s="16">
        <v>0</v>
      </c>
      <c r="J50" s="30"/>
      <c r="L50" s="25"/>
      <c r="M50" s="26"/>
      <c r="N50" s="27"/>
    </row>
    <row r="51" spans="1:22" ht="15.75" hidden="1" customHeight="1">
      <c r="A51" s="36">
        <v>15</v>
      </c>
      <c r="B51" s="141" t="s">
        <v>57</v>
      </c>
      <c r="C51" s="142" t="s">
        <v>102</v>
      </c>
      <c r="D51" s="141" t="s">
        <v>225</v>
      </c>
      <c r="E51" s="143">
        <v>2641.8</v>
      </c>
      <c r="F51" s="144">
        <f>SUM(E51*5/1000)</f>
        <v>13.209</v>
      </c>
      <c r="G51" s="16">
        <v>1297.28</v>
      </c>
      <c r="H51" s="145">
        <f t="shared" si="4"/>
        <v>17.135771519999999</v>
      </c>
      <c r="I51" s="16">
        <f>F51/5*G51</f>
        <v>3427.1543039999997</v>
      </c>
      <c r="J51" s="30"/>
      <c r="L51" s="25"/>
      <c r="M51" s="26"/>
      <c r="N51" s="27"/>
    </row>
    <row r="52" spans="1:22" ht="31.5" hidden="1" customHeight="1">
      <c r="A52" s="36"/>
      <c r="B52" s="141" t="s">
        <v>104</v>
      </c>
      <c r="C52" s="142" t="s">
        <v>102</v>
      </c>
      <c r="D52" s="141" t="s">
        <v>41</v>
      </c>
      <c r="E52" s="143">
        <v>2641.8</v>
      </c>
      <c r="F52" s="144">
        <f>SUM(E52*2/1000)</f>
        <v>5.2836000000000007</v>
      </c>
      <c r="G52" s="16">
        <v>1297.28</v>
      </c>
      <c r="H52" s="145">
        <f t="shared" si="4"/>
        <v>6.8543086080000011</v>
      </c>
      <c r="I52" s="16">
        <v>0</v>
      </c>
      <c r="J52" s="30"/>
      <c r="L52" s="25"/>
      <c r="M52" s="26"/>
      <c r="N52" s="27"/>
    </row>
    <row r="53" spans="1:22" ht="31.5" hidden="1" customHeight="1">
      <c r="A53" s="36"/>
      <c r="B53" s="141" t="s">
        <v>105</v>
      </c>
      <c r="C53" s="142" t="s">
        <v>37</v>
      </c>
      <c r="D53" s="141" t="s">
        <v>41</v>
      </c>
      <c r="E53" s="143">
        <v>20</v>
      </c>
      <c r="F53" s="144">
        <f>SUM(E53*2/100)</f>
        <v>0.4</v>
      </c>
      <c r="G53" s="16">
        <v>2918.89</v>
      </c>
      <c r="H53" s="145">
        <f>SUM(F53*G53/1000)</f>
        <v>1.167556</v>
      </c>
      <c r="I53" s="16">
        <v>0</v>
      </c>
      <c r="J53" s="30"/>
      <c r="L53" s="25"/>
      <c r="M53" s="26"/>
      <c r="N53" s="27"/>
    </row>
    <row r="54" spans="1:22" ht="15.75" hidden="1" customHeight="1">
      <c r="A54" s="36"/>
      <c r="B54" s="141" t="s">
        <v>38</v>
      </c>
      <c r="C54" s="142" t="s">
        <v>39</v>
      </c>
      <c r="D54" s="141" t="s">
        <v>41</v>
      </c>
      <c r="E54" s="143">
        <v>1</v>
      </c>
      <c r="F54" s="144">
        <v>0.02</v>
      </c>
      <c r="G54" s="16">
        <v>6042.12</v>
      </c>
      <c r="H54" s="145">
        <f t="shared" si="4"/>
        <v>0.1208424</v>
      </c>
      <c r="I54" s="16">
        <v>0</v>
      </c>
      <c r="J54" s="30"/>
      <c r="L54" s="25"/>
      <c r="M54" s="26"/>
      <c r="N54" s="27"/>
    </row>
    <row r="55" spans="1:22" ht="15.75" hidden="1" customHeight="1">
      <c r="A55" s="36">
        <v>16</v>
      </c>
      <c r="B55" s="141" t="s">
        <v>40</v>
      </c>
      <c r="C55" s="142" t="s">
        <v>122</v>
      </c>
      <c r="D55" s="141" t="s">
        <v>73</v>
      </c>
      <c r="E55" s="143">
        <v>160</v>
      </c>
      <c r="F55" s="144">
        <f>SUM(E55)*3</f>
        <v>480</v>
      </c>
      <c r="G55" s="16">
        <v>70.209999999999994</v>
      </c>
      <c r="H55" s="145">
        <f t="shared" si="4"/>
        <v>33.700799999999994</v>
      </c>
      <c r="I55" s="16">
        <f>E55*G55</f>
        <v>11233.599999999999</v>
      </c>
      <c r="J55" s="30"/>
      <c r="L55" s="25"/>
      <c r="M55" s="26"/>
      <c r="N55" s="27"/>
    </row>
    <row r="56" spans="1:22" ht="15.75" customHeight="1">
      <c r="A56" s="174" t="s">
        <v>181</v>
      </c>
      <c r="B56" s="175"/>
      <c r="C56" s="175"/>
      <c r="D56" s="175"/>
      <c r="E56" s="175"/>
      <c r="F56" s="175"/>
      <c r="G56" s="175"/>
      <c r="H56" s="175"/>
      <c r="I56" s="176"/>
      <c r="J56" s="30"/>
      <c r="L56" s="25"/>
      <c r="M56" s="26"/>
      <c r="N56" s="27"/>
    </row>
    <row r="57" spans="1:22" ht="15.75" hidden="1" customHeight="1">
      <c r="A57" s="36"/>
      <c r="B57" s="189" t="s">
        <v>42</v>
      </c>
      <c r="C57" s="142"/>
      <c r="D57" s="141"/>
      <c r="E57" s="143"/>
      <c r="F57" s="144"/>
      <c r="G57" s="144"/>
      <c r="H57" s="145"/>
      <c r="I57" s="16"/>
      <c r="J57" s="30"/>
      <c r="L57" s="25"/>
      <c r="M57" s="26"/>
      <c r="N57" s="27"/>
    </row>
    <row r="58" spans="1:22" ht="31.5" hidden="1" customHeight="1">
      <c r="A58" s="36">
        <v>17</v>
      </c>
      <c r="B58" s="141" t="s">
        <v>149</v>
      </c>
      <c r="C58" s="142" t="s">
        <v>98</v>
      </c>
      <c r="D58" s="141" t="s">
        <v>123</v>
      </c>
      <c r="E58" s="143">
        <v>155.09</v>
      </c>
      <c r="F58" s="144">
        <f>SUM(E58*6/100)</f>
        <v>9.3053999999999988</v>
      </c>
      <c r="G58" s="16">
        <v>1654.04</v>
      </c>
      <c r="H58" s="145">
        <f>SUM(F58*G58/1000)</f>
        <v>15.391503815999998</v>
      </c>
      <c r="I58" s="16">
        <f>F58/6*G58</f>
        <v>2565.2506359999993</v>
      </c>
      <c r="J58" s="30"/>
      <c r="L58" s="25"/>
      <c r="M58" s="26"/>
      <c r="N58" s="27"/>
    </row>
    <row r="59" spans="1:22" ht="15.75" hidden="1" customHeight="1">
      <c r="A59" s="36">
        <v>18</v>
      </c>
      <c r="B59" s="141" t="s">
        <v>150</v>
      </c>
      <c r="C59" s="142" t="s">
        <v>98</v>
      </c>
      <c r="D59" s="141" t="s">
        <v>123</v>
      </c>
      <c r="E59" s="143">
        <v>3.8</v>
      </c>
      <c r="F59" s="144">
        <f>SUM(E59*6/100)</f>
        <v>0.22799999999999998</v>
      </c>
      <c r="G59" s="16">
        <v>1654.04</v>
      </c>
      <c r="H59" s="145">
        <f>SUM(F59*G59/1000)</f>
        <v>0.37712111999999998</v>
      </c>
      <c r="I59" s="16">
        <f>F59/6*G59</f>
        <v>62.853519999999996</v>
      </c>
      <c r="J59" s="30"/>
      <c r="L59" s="25"/>
    </row>
    <row r="60" spans="1:22" ht="15.75" hidden="1" customHeight="1">
      <c r="A60" s="36">
        <v>19</v>
      </c>
      <c r="B60" s="150" t="s">
        <v>151</v>
      </c>
      <c r="C60" s="151" t="s">
        <v>152</v>
      </c>
      <c r="D60" s="150" t="s">
        <v>41</v>
      </c>
      <c r="E60" s="152">
        <v>4</v>
      </c>
      <c r="F60" s="153">
        <v>0.8</v>
      </c>
      <c r="G60" s="16">
        <v>193.23</v>
      </c>
      <c r="H60" s="145">
        <f t="shared" ref="H60:H61" si="5">SUM(F60*G60/1000)</f>
        <v>0.154584</v>
      </c>
      <c r="I60" s="16">
        <f>F60/2*G60</f>
        <v>77.292000000000002</v>
      </c>
    </row>
    <row r="61" spans="1:22" ht="15.75" hidden="1" customHeight="1">
      <c r="A61" s="36"/>
      <c r="B61" s="150" t="s">
        <v>44</v>
      </c>
      <c r="C61" s="151" t="s">
        <v>53</v>
      </c>
      <c r="D61" s="150" t="s">
        <v>54</v>
      </c>
      <c r="E61" s="152">
        <v>1320.9</v>
      </c>
      <c r="F61" s="153">
        <f>E61/100</f>
        <v>13.209000000000001</v>
      </c>
      <c r="G61" s="16">
        <v>505.2</v>
      </c>
      <c r="H61" s="145">
        <f t="shared" si="5"/>
        <v>6.6731868000000008</v>
      </c>
      <c r="I61" s="16">
        <v>0</v>
      </c>
    </row>
    <row r="62" spans="1:22" ht="15.75" customHeight="1">
      <c r="A62" s="36"/>
      <c r="B62" s="190" t="s">
        <v>43</v>
      </c>
      <c r="C62" s="151"/>
      <c r="D62" s="150"/>
      <c r="E62" s="152"/>
      <c r="F62" s="153"/>
      <c r="G62" s="16"/>
      <c r="H62" s="154"/>
      <c r="I62" s="16"/>
    </row>
    <row r="63" spans="1:22" ht="15.75" hidden="1" customHeight="1">
      <c r="A63" s="36"/>
      <c r="B63" s="150" t="s">
        <v>44</v>
      </c>
      <c r="C63" s="151" t="s">
        <v>53</v>
      </c>
      <c r="D63" s="150" t="s">
        <v>54</v>
      </c>
      <c r="E63" s="152">
        <v>1238</v>
      </c>
      <c r="F63" s="153">
        <f>E63/100</f>
        <v>12.38</v>
      </c>
      <c r="G63" s="16">
        <v>848.37</v>
      </c>
      <c r="H63" s="154">
        <f>F63*G63/1000</f>
        <v>10.502820600000002</v>
      </c>
      <c r="I63" s="16">
        <v>0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.75" customHeight="1">
      <c r="A64" s="36">
        <v>11</v>
      </c>
      <c r="B64" s="150" t="s">
        <v>139</v>
      </c>
      <c r="C64" s="151" t="s">
        <v>25</v>
      </c>
      <c r="D64" s="150" t="s">
        <v>30</v>
      </c>
      <c r="E64" s="152">
        <v>238</v>
      </c>
      <c r="F64" s="155">
        <f>E64*12</f>
        <v>2856</v>
      </c>
      <c r="G64" s="135">
        <v>2.6</v>
      </c>
      <c r="H64" s="153">
        <f>F64*G64/1000</f>
        <v>7.4256000000000002</v>
      </c>
      <c r="I64" s="16">
        <f>F64/12*G64</f>
        <v>618.80000000000007</v>
      </c>
      <c r="J64" s="32"/>
      <c r="K64" s="32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customHeight="1">
      <c r="A65" s="36"/>
      <c r="B65" s="190" t="s">
        <v>45</v>
      </c>
      <c r="C65" s="151"/>
      <c r="D65" s="150"/>
      <c r="E65" s="152"/>
      <c r="F65" s="155"/>
      <c r="G65" s="155"/>
      <c r="H65" s="153" t="s">
        <v>153</v>
      </c>
      <c r="I65" s="16"/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customHeight="1">
      <c r="A66" s="36">
        <v>12</v>
      </c>
      <c r="B66" s="18" t="s">
        <v>46</v>
      </c>
      <c r="C66" s="20" t="s">
        <v>122</v>
      </c>
      <c r="D66" s="18" t="s">
        <v>69</v>
      </c>
      <c r="E66" s="23">
        <v>8</v>
      </c>
      <c r="F66" s="144">
        <v>8</v>
      </c>
      <c r="G66" s="16">
        <v>237.74</v>
      </c>
      <c r="H66" s="156">
        <f t="shared" ref="H66:H79" si="6">SUM(F66*G66/1000)</f>
        <v>1.9019200000000001</v>
      </c>
      <c r="I66" s="16">
        <f>G66*13</f>
        <v>3090.62</v>
      </c>
      <c r="J66" s="5"/>
      <c r="K66" s="5"/>
      <c r="L66" s="5"/>
      <c r="M66" s="5"/>
      <c r="N66" s="5"/>
      <c r="O66" s="5"/>
      <c r="P66" s="5"/>
      <c r="Q66" s="5"/>
      <c r="R66" s="167"/>
      <c r="S66" s="167"/>
      <c r="T66" s="167"/>
      <c r="U66" s="167"/>
    </row>
    <row r="67" spans="1:21" ht="15.75" hidden="1" customHeight="1">
      <c r="A67" s="36"/>
      <c r="B67" s="18" t="s">
        <v>47</v>
      </c>
      <c r="C67" s="20" t="s">
        <v>122</v>
      </c>
      <c r="D67" s="18" t="s">
        <v>69</v>
      </c>
      <c r="E67" s="23">
        <v>3</v>
      </c>
      <c r="F67" s="144">
        <v>3</v>
      </c>
      <c r="G67" s="16">
        <v>81.510000000000005</v>
      </c>
      <c r="H67" s="156">
        <f t="shared" si="6"/>
        <v>0.24453000000000003</v>
      </c>
      <c r="I67" s="16">
        <v>0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ht="15.75" hidden="1" customHeight="1">
      <c r="A68" s="36"/>
      <c r="B68" s="18" t="s">
        <v>48</v>
      </c>
      <c r="C68" s="20" t="s">
        <v>124</v>
      </c>
      <c r="D68" s="18" t="s">
        <v>54</v>
      </c>
      <c r="E68" s="143">
        <v>19836</v>
      </c>
      <c r="F68" s="16">
        <f>SUM(E68/100)</f>
        <v>198.36</v>
      </c>
      <c r="G68" s="16">
        <v>226.79</v>
      </c>
      <c r="H68" s="156">
        <f t="shared" si="6"/>
        <v>44.986064400000004</v>
      </c>
      <c r="I68" s="16">
        <f>F68*G68</f>
        <v>44986.064400000003</v>
      </c>
    </row>
    <row r="69" spans="1:21" ht="15.75" hidden="1" customHeight="1">
      <c r="A69" s="36"/>
      <c r="B69" s="18" t="s">
        <v>49</v>
      </c>
      <c r="C69" s="20" t="s">
        <v>125</v>
      </c>
      <c r="D69" s="18"/>
      <c r="E69" s="143">
        <v>19836</v>
      </c>
      <c r="F69" s="16">
        <f>SUM(E69/1000)</f>
        <v>19.835999999999999</v>
      </c>
      <c r="G69" s="16">
        <v>176.61</v>
      </c>
      <c r="H69" s="156">
        <f t="shared" si="6"/>
        <v>3.50323596</v>
      </c>
      <c r="I69" s="16">
        <f t="shared" ref="I69:I73" si="7">F69*G69</f>
        <v>3503.23596</v>
      </c>
    </row>
    <row r="70" spans="1:21" ht="15.75" hidden="1" customHeight="1">
      <c r="A70" s="36"/>
      <c r="B70" s="18" t="s">
        <v>50</v>
      </c>
      <c r="C70" s="20" t="s">
        <v>79</v>
      </c>
      <c r="D70" s="18" t="s">
        <v>54</v>
      </c>
      <c r="E70" s="143">
        <v>3155</v>
      </c>
      <c r="F70" s="16">
        <f>SUM(E70/100)</f>
        <v>31.55</v>
      </c>
      <c r="G70" s="16">
        <v>2217.7800000000002</v>
      </c>
      <c r="H70" s="156">
        <f t="shared" si="6"/>
        <v>69.970959000000008</v>
      </c>
      <c r="I70" s="16">
        <f t="shared" si="7"/>
        <v>69970.959000000003</v>
      </c>
    </row>
    <row r="71" spans="1:21" ht="15.75" hidden="1" customHeight="1">
      <c r="A71" s="36"/>
      <c r="B71" s="157" t="s">
        <v>126</v>
      </c>
      <c r="C71" s="20" t="s">
        <v>33</v>
      </c>
      <c r="D71" s="18"/>
      <c r="E71" s="143">
        <v>17.600000000000001</v>
      </c>
      <c r="F71" s="16">
        <f>SUM(E71)</f>
        <v>17.600000000000001</v>
      </c>
      <c r="G71" s="16">
        <v>42.67</v>
      </c>
      <c r="H71" s="156">
        <f t="shared" si="6"/>
        <v>0.7509920000000001</v>
      </c>
      <c r="I71" s="16">
        <f t="shared" si="7"/>
        <v>750.99200000000008</v>
      </c>
    </row>
    <row r="72" spans="1:21" ht="15.75" hidden="1" customHeight="1">
      <c r="A72" s="36"/>
      <c r="B72" s="157" t="s">
        <v>127</v>
      </c>
      <c r="C72" s="20" t="s">
        <v>33</v>
      </c>
      <c r="D72" s="18"/>
      <c r="E72" s="143">
        <v>17.600000000000001</v>
      </c>
      <c r="F72" s="16">
        <f>SUM(E72)</f>
        <v>17.600000000000001</v>
      </c>
      <c r="G72" s="16">
        <v>39.81</v>
      </c>
      <c r="H72" s="156">
        <f t="shared" si="6"/>
        <v>0.70065600000000006</v>
      </c>
      <c r="I72" s="16">
        <f t="shared" si="7"/>
        <v>700.65600000000006</v>
      </c>
    </row>
    <row r="73" spans="1:21" ht="15.75" hidden="1" customHeight="1">
      <c r="A73" s="36"/>
      <c r="B73" s="18" t="s">
        <v>58</v>
      </c>
      <c r="C73" s="20" t="s">
        <v>59</v>
      </c>
      <c r="D73" s="18" t="s">
        <v>54</v>
      </c>
      <c r="E73" s="23">
        <v>7</v>
      </c>
      <c r="F73" s="144">
        <v>7</v>
      </c>
      <c r="G73" s="16">
        <v>53.32</v>
      </c>
      <c r="H73" s="156">
        <f t="shared" si="6"/>
        <v>0.37324000000000002</v>
      </c>
      <c r="I73" s="16">
        <f t="shared" si="7"/>
        <v>373.24</v>
      </c>
    </row>
    <row r="74" spans="1:21" ht="15.75" hidden="1" customHeight="1">
      <c r="A74" s="36"/>
      <c r="B74" s="125" t="s">
        <v>74</v>
      </c>
      <c r="C74" s="20"/>
      <c r="D74" s="18"/>
      <c r="E74" s="23"/>
      <c r="F74" s="16"/>
      <c r="G74" s="16"/>
      <c r="H74" s="156" t="s">
        <v>153</v>
      </c>
      <c r="I74" s="16"/>
    </row>
    <row r="75" spans="1:21" ht="15.75" hidden="1" customHeight="1">
      <c r="A75" s="36"/>
      <c r="B75" s="18" t="s">
        <v>75</v>
      </c>
      <c r="C75" s="20" t="s">
        <v>77</v>
      </c>
      <c r="D75" s="18"/>
      <c r="E75" s="23">
        <v>2</v>
      </c>
      <c r="F75" s="16">
        <v>0.2</v>
      </c>
      <c r="G75" s="16">
        <v>536.23</v>
      </c>
      <c r="H75" s="156">
        <f t="shared" si="6"/>
        <v>0.10724600000000001</v>
      </c>
      <c r="I75" s="16">
        <v>0</v>
      </c>
    </row>
    <row r="76" spans="1:21" ht="15.75" hidden="1" customHeight="1">
      <c r="A76" s="36"/>
      <c r="B76" s="18" t="s">
        <v>76</v>
      </c>
      <c r="C76" s="20" t="s">
        <v>31</v>
      </c>
      <c r="D76" s="18"/>
      <c r="E76" s="23">
        <v>1</v>
      </c>
      <c r="F76" s="135">
        <v>1</v>
      </c>
      <c r="G76" s="16">
        <v>911.85</v>
      </c>
      <c r="H76" s="156">
        <f>F76*G76/1000</f>
        <v>0.91185000000000005</v>
      </c>
      <c r="I76" s="16">
        <v>0</v>
      </c>
    </row>
    <row r="77" spans="1:21" ht="15.75" hidden="1" customHeight="1">
      <c r="A77" s="36"/>
      <c r="B77" s="18" t="s">
        <v>129</v>
      </c>
      <c r="C77" s="20" t="s">
        <v>31</v>
      </c>
      <c r="D77" s="18"/>
      <c r="E77" s="23">
        <v>1</v>
      </c>
      <c r="F77" s="16">
        <v>1</v>
      </c>
      <c r="G77" s="16">
        <v>383.25</v>
      </c>
      <c r="H77" s="156">
        <f>G77*F77/1000</f>
        <v>0.38324999999999998</v>
      </c>
      <c r="I77" s="16">
        <v>0</v>
      </c>
    </row>
    <row r="78" spans="1:21" ht="15.75" hidden="1" customHeight="1">
      <c r="A78" s="36"/>
      <c r="B78" s="159" t="s">
        <v>78</v>
      </c>
      <c r="C78" s="20"/>
      <c r="D78" s="18"/>
      <c r="E78" s="23"/>
      <c r="F78" s="16"/>
      <c r="G78" s="16" t="s">
        <v>153</v>
      </c>
      <c r="H78" s="156" t="s">
        <v>153</v>
      </c>
      <c r="I78" s="16"/>
    </row>
    <row r="79" spans="1:21" ht="15.75" hidden="1" customHeight="1">
      <c r="A79" s="36"/>
      <c r="B79" s="67" t="s">
        <v>141</v>
      </c>
      <c r="C79" s="20" t="s">
        <v>79</v>
      </c>
      <c r="D79" s="18"/>
      <c r="E79" s="23"/>
      <c r="F79" s="16">
        <v>0.3</v>
      </c>
      <c r="G79" s="16">
        <v>2949.85</v>
      </c>
      <c r="H79" s="156">
        <f t="shared" si="6"/>
        <v>0.88495499999999994</v>
      </c>
      <c r="I79" s="16">
        <v>0</v>
      </c>
    </row>
    <row r="80" spans="1:21" ht="15.75" hidden="1" customHeight="1">
      <c r="A80" s="36"/>
      <c r="B80" s="125" t="s">
        <v>106</v>
      </c>
      <c r="C80" s="159"/>
      <c r="D80" s="38"/>
      <c r="E80" s="39"/>
      <c r="F80" s="147"/>
      <c r="G80" s="147"/>
      <c r="H80" s="160">
        <f>SUM(H58:H79)</f>
        <v>165.24371469600001</v>
      </c>
      <c r="I80" s="147"/>
    </row>
    <row r="81" spans="1:9" ht="15.75" hidden="1" customHeight="1">
      <c r="A81" s="36"/>
      <c r="B81" s="141" t="s">
        <v>128</v>
      </c>
      <c r="C81" s="20"/>
      <c r="D81" s="18"/>
      <c r="E81" s="136"/>
      <c r="F81" s="16">
        <v>1</v>
      </c>
      <c r="G81" s="16">
        <v>17869</v>
      </c>
      <c r="H81" s="156">
        <f>G81*F81/1000</f>
        <v>17.869</v>
      </c>
      <c r="I81" s="16">
        <v>0</v>
      </c>
    </row>
    <row r="82" spans="1:9" ht="15.75" customHeight="1">
      <c r="A82" s="177" t="s">
        <v>182</v>
      </c>
      <c r="B82" s="178"/>
      <c r="C82" s="178"/>
      <c r="D82" s="178"/>
      <c r="E82" s="178"/>
      <c r="F82" s="178"/>
      <c r="G82" s="178"/>
      <c r="H82" s="178"/>
      <c r="I82" s="179"/>
    </row>
    <row r="83" spans="1:9" ht="15.75" customHeight="1">
      <c r="A83" s="36">
        <v>13</v>
      </c>
      <c r="B83" s="141" t="s">
        <v>130</v>
      </c>
      <c r="C83" s="20" t="s">
        <v>55</v>
      </c>
      <c r="D83" s="84" t="s">
        <v>56</v>
      </c>
      <c r="E83" s="16">
        <v>4731.7</v>
      </c>
      <c r="F83" s="16">
        <f>SUM(E83*12)</f>
        <v>56780.399999999994</v>
      </c>
      <c r="G83" s="16">
        <v>2.54</v>
      </c>
      <c r="H83" s="156">
        <f>SUM(F83*G83/1000)</f>
        <v>144.22221599999997</v>
      </c>
      <c r="I83" s="16">
        <f>F83/12*G83</f>
        <v>12018.518</v>
      </c>
    </row>
    <row r="84" spans="1:9" ht="31.5" customHeight="1">
      <c r="A84" s="36">
        <v>14</v>
      </c>
      <c r="B84" s="18" t="s">
        <v>80</v>
      </c>
      <c r="C84" s="20"/>
      <c r="D84" s="84" t="s">
        <v>56</v>
      </c>
      <c r="E84" s="143">
        <f>E83</f>
        <v>4731.7</v>
      </c>
      <c r="F84" s="16">
        <f>E84*12</f>
        <v>56780.399999999994</v>
      </c>
      <c r="G84" s="16">
        <v>3.05</v>
      </c>
      <c r="H84" s="156">
        <f>F84*G84/1000</f>
        <v>173.18021999999996</v>
      </c>
      <c r="I84" s="16">
        <f>F84/12*G84</f>
        <v>14431.684999999999</v>
      </c>
    </row>
    <row r="85" spans="1:9" ht="15.75" customHeight="1">
      <c r="A85" s="36"/>
      <c r="B85" s="54" t="s">
        <v>84</v>
      </c>
      <c r="C85" s="159"/>
      <c r="D85" s="158"/>
      <c r="E85" s="147"/>
      <c r="F85" s="147"/>
      <c r="G85" s="147"/>
      <c r="H85" s="160">
        <f>H84</f>
        <v>173.18021999999996</v>
      </c>
      <c r="I85" s="147">
        <f>I16+I17+I18+I20+I27+I28+I31+I32+I34+I35+I64+I66+I83+I84</f>
        <v>77447.110486799997</v>
      </c>
    </row>
    <row r="86" spans="1:9" ht="15.75" customHeight="1">
      <c r="A86" s="36"/>
      <c r="B86" s="80" t="s">
        <v>61</v>
      </c>
      <c r="C86" s="20"/>
      <c r="D86" s="67"/>
      <c r="E86" s="16"/>
      <c r="F86" s="16"/>
      <c r="G86" s="16"/>
      <c r="H86" s="16"/>
      <c r="I86" s="16"/>
    </row>
    <row r="87" spans="1:9" ht="15.75" customHeight="1">
      <c r="A87" s="36">
        <v>15</v>
      </c>
      <c r="B87" s="81" t="s">
        <v>86</v>
      </c>
      <c r="C87" s="107" t="s">
        <v>122</v>
      </c>
      <c r="D87" s="18"/>
      <c r="E87" s="23"/>
      <c r="F87" s="16">
        <v>16</v>
      </c>
      <c r="G87" s="16">
        <v>180.15</v>
      </c>
      <c r="H87" s="156">
        <f t="shared" ref="H87:H95" si="8">G87*F87/1000</f>
        <v>2.8824000000000001</v>
      </c>
      <c r="I87" s="16">
        <f>G87*2</f>
        <v>360.3</v>
      </c>
    </row>
    <row r="88" spans="1:9" ht="15.75" customHeight="1">
      <c r="A88" s="36">
        <v>16</v>
      </c>
      <c r="B88" s="81" t="s">
        <v>158</v>
      </c>
      <c r="C88" s="107" t="s">
        <v>122</v>
      </c>
      <c r="D88" s="18"/>
      <c r="E88" s="23"/>
      <c r="F88" s="16">
        <v>729</v>
      </c>
      <c r="G88" s="16">
        <v>50.68</v>
      </c>
      <c r="H88" s="156">
        <f t="shared" si="8"/>
        <v>36.945720000000001</v>
      </c>
      <c r="I88" s="16">
        <f>G88*81</f>
        <v>4105.08</v>
      </c>
    </row>
    <row r="89" spans="1:9" ht="15.75" customHeight="1">
      <c r="A89" s="36">
        <v>17</v>
      </c>
      <c r="B89" s="123" t="s">
        <v>171</v>
      </c>
      <c r="C89" s="161" t="s">
        <v>172</v>
      </c>
      <c r="D89" s="18"/>
      <c r="E89" s="23"/>
      <c r="F89" s="16">
        <f>9/3</f>
        <v>3</v>
      </c>
      <c r="G89" s="16">
        <v>1063.47</v>
      </c>
      <c r="H89" s="156">
        <f t="shared" si="8"/>
        <v>3.19041</v>
      </c>
      <c r="I89" s="16">
        <f>G89</f>
        <v>1063.47</v>
      </c>
    </row>
    <row r="90" spans="1:9" ht="31.5" customHeight="1">
      <c r="A90" s="36">
        <v>18</v>
      </c>
      <c r="B90" s="81" t="s">
        <v>167</v>
      </c>
      <c r="C90" s="107" t="s">
        <v>166</v>
      </c>
      <c r="D90" s="18"/>
      <c r="E90" s="23"/>
      <c r="F90" s="16">
        <v>4</v>
      </c>
      <c r="G90" s="16">
        <v>762.37</v>
      </c>
      <c r="H90" s="156">
        <f t="shared" si="8"/>
        <v>3.04948</v>
      </c>
      <c r="I90" s="16">
        <f>G90</f>
        <v>762.37</v>
      </c>
    </row>
    <row r="91" spans="1:9" ht="31.5" customHeight="1">
      <c r="A91" s="36">
        <v>19</v>
      </c>
      <c r="B91" s="81" t="s">
        <v>165</v>
      </c>
      <c r="C91" s="107" t="s">
        <v>166</v>
      </c>
      <c r="D91" s="18"/>
      <c r="E91" s="23"/>
      <c r="F91" s="16">
        <v>4</v>
      </c>
      <c r="G91" s="16">
        <v>559.62</v>
      </c>
      <c r="H91" s="156">
        <f t="shared" si="8"/>
        <v>2.23848</v>
      </c>
      <c r="I91" s="16">
        <f>G91*2</f>
        <v>1119.24</v>
      </c>
    </row>
    <row r="92" spans="1:9" ht="15.75" customHeight="1">
      <c r="A92" s="36">
        <v>20</v>
      </c>
      <c r="B92" s="81" t="s">
        <v>224</v>
      </c>
      <c r="C92" s="107" t="s">
        <v>186</v>
      </c>
      <c r="D92" s="18"/>
      <c r="E92" s="23"/>
      <c r="F92" s="16">
        <v>1</v>
      </c>
      <c r="G92" s="16">
        <v>176.43</v>
      </c>
      <c r="H92" s="156">
        <f t="shared" si="8"/>
        <v>0.17643</v>
      </c>
      <c r="I92" s="16">
        <f>G92</f>
        <v>176.43</v>
      </c>
    </row>
    <row r="93" spans="1:9" ht="15.75" customHeight="1">
      <c r="A93" s="36">
        <v>21</v>
      </c>
      <c r="B93" s="81" t="s">
        <v>220</v>
      </c>
      <c r="C93" s="107" t="s">
        <v>197</v>
      </c>
      <c r="D93" s="18"/>
      <c r="E93" s="23"/>
      <c r="F93" s="16">
        <v>1</v>
      </c>
      <c r="G93" s="16">
        <v>10691</v>
      </c>
      <c r="H93" s="156">
        <f t="shared" si="8"/>
        <v>10.691000000000001</v>
      </c>
      <c r="I93" s="16">
        <f t="shared" ref="I93:I95" si="9">G93</f>
        <v>10691</v>
      </c>
    </row>
    <row r="94" spans="1:9" ht="15.75" customHeight="1">
      <c r="A94" s="36">
        <v>22</v>
      </c>
      <c r="B94" s="81" t="s">
        <v>91</v>
      </c>
      <c r="C94" s="107" t="s">
        <v>221</v>
      </c>
      <c r="D94" s="18"/>
      <c r="E94" s="23"/>
      <c r="F94" s="16">
        <v>1</v>
      </c>
      <c r="G94" s="16">
        <v>290.91000000000003</v>
      </c>
      <c r="H94" s="156">
        <f t="shared" si="8"/>
        <v>0.29091</v>
      </c>
      <c r="I94" s="16">
        <f t="shared" si="9"/>
        <v>290.91000000000003</v>
      </c>
    </row>
    <row r="95" spans="1:9" ht="15.75" customHeight="1">
      <c r="A95" s="36">
        <v>23</v>
      </c>
      <c r="B95" s="81" t="s">
        <v>222</v>
      </c>
      <c r="C95" s="107" t="s">
        <v>197</v>
      </c>
      <c r="D95" s="18"/>
      <c r="E95" s="23"/>
      <c r="F95" s="16">
        <v>1</v>
      </c>
      <c r="G95" s="16">
        <v>69748</v>
      </c>
      <c r="H95" s="156">
        <f t="shared" si="8"/>
        <v>69.748000000000005</v>
      </c>
      <c r="I95" s="16">
        <f t="shared" si="9"/>
        <v>69748</v>
      </c>
    </row>
    <row r="96" spans="1:9">
      <c r="A96" s="36"/>
      <c r="B96" s="61" t="s">
        <v>51</v>
      </c>
      <c r="C96" s="57"/>
      <c r="D96" s="71"/>
      <c r="E96" s="57">
        <v>1</v>
      </c>
      <c r="F96" s="57"/>
      <c r="G96" s="57"/>
      <c r="H96" s="57"/>
      <c r="I96" s="39">
        <f>SUM(I87:I95)</f>
        <v>88316.800000000003</v>
      </c>
    </row>
    <row r="97" spans="1:9" ht="15.75" customHeight="1">
      <c r="A97" s="36"/>
      <c r="B97" s="67" t="s">
        <v>81</v>
      </c>
      <c r="C97" s="19"/>
      <c r="D97" s="19"/>
      <c r="E97" s="58"/>
      <c r="F97" s="58"/>
      <c r="G97" s="59"/>
      <c r="H97" s="59"/>
      <c r="I97" s="22">
        <v>0</v>
      </c>
    </row>
    <row r="98" spans="1:9" ht="15.75" customHeight="1">
      <c r="A98" s="72"/>
      <c r="B98" s="62" t="s">
        <v>52</v>
      </c>
      <c r="C98" s="45"/>
      <c r="D98" s="45"/>
      <c r="E98" s="45"/>
      <c r="F98" s="45"/>
      <c r="G98" s="45"/>
      <c r="H98" s="45"/>
      <c r="I98" s="60">
        <f>I85+I96</f>
        <v>165763.91048680001</v>
      </c>
    </row>
    <row r="99" spans="1:9" ht="15.75" customHeight="1">
      <c r="A99" s="169" t="s">
        <v>262</v>
      </c>
      <c r="B99" s="169"/>
      <c r="C99" s="169"/>
      <c r="D99" s="169"/>
      <c r="E99" s="169"/>
      <c r="F99" s="169"/>
      <c r="G99" s="169"/>
      <c r="H99" s="169"/>
      <c r="I99" s="169"/>
    </row>
    <row r="100" spans="1:9" ht="15.75" customHeight="1">
      <c r="A100" s="121"/>
      <c r="B100" s="170" t="s">
        <v>263</v>
      </c>
      <c r="C100" s="170"/>
      <c r="D100" s="170"/>
      <c r="E100" s="170"/>
      <c r="F100" s="170"/>
      <c r="G100" s="170"/>
      <c r="H100" s="139"/>
      <c r="I100" s="3"/>
    </row>
    <row r="101" spans="1:9" ht="15.75" customHeight="1">
      <c r="A101" s="130"/>
      <c r="B101" s="165" t="s">
        <v>6</v>
      </c>
      <c r="C101" s="165"/>
      <c r="D101" s="165"/>
      <c r="E101" s="165"/>
      <c r="F101" s="165"/>
      <c r="G101" s="165"/>
      <c r="H101" s="31"/>
      <c r="I101" s="5"/>
    </row>
    <row r="102" spans="1:9" ht="15.75" customHeight="1">
      <c r="A102" s="10"/>
      <c r="B102" s="10"/>
      <c r="C102" s="10"/>
      <c r="D102" s="10"/>
      <c r="E102" s="10"/>
      <c r="F102" s="10"/>
      <c r="G102" s="10"/>
      <c r="H102" s="10"/>
      <c r="I102" s="10"/>
    </row>
    <row r="103" spans="1:9" ht="15.75" customHeight="1">
      <c r="A103" s="171" t="s">
        <v>7</v>
      </c>
      <c r="B103" s="171"/>
      <c r="C103" s="171"/>
      <c r="D103" s="171"/>
      <c r="E103" s="171"/>
      <c r="F103" s="171"/>
      <c r="G103" s="171"/>
      <c r="H103" s="171"/>
      <c r="I103" s="171"/>
    </row>
    <row r="104" spans="1:9" ht="15.75" customHeight="1">
      <c r="A104" s="171" t="s">
        <v>8</v>
      </c>
      <c r="B104" s="171"/>
      <c r="C104" s="171"/>
      <c r="D104" s="171"/>
      <c r="E104" s="171"/>
      <c r="F104" s="171"/>
      <c r="G104" s="171"/>
      <c r="H104" s="171"/>
      <c r="I104" s="171"/>
    </row>
    <row r="105" spans="1:9" ht="15.75" customHeight="1">
      <c r="A105" s="172" t="s">
        <v>62</v>
      </c>
      <c r="B105" s="172"/>
      <c r="C105" s="172"/>
      <c r="D105" s="172"/>
      <c r="E105" s="172"/>
      <c r="F105" s="172"/>
      <c r="G105" s="172"/>
      <c r="H105" s="172"/>
      <c r="I105" s="172"/>
    </row>
    <row r="106" spans="1:9" ht="15.75" customHeight="1">
      <c r="A106" s="11"/>
    </row>
    <row r="107" spans="1:9" ht="15.75">
      <c r="A107" s="163" t="s">
        <v>9</v>
      </c>
      <c r="B107" s="163"/>
      <c r="C107" s="163"/>
      <c r="D107" s="163"/>
      <c r="E107" s="163"/>
      <c r="F107" s="163"/>
      <c r="G107" s="163"/>
      <c r="H107" s="163"/>
      <c r="I107" s="163"/>
    </row>
    <row r="108" spans="1:9" ht="15.75">
      <c r="A108" s="4"/>
    </row>
    <row r="109" spans="1:9" ht="15.75" customHeight="1">
      <c r="B109" s="127" t="s">
        <v>10</v>
      </c>
      <c r="C109" s="164" t="s">
        <v>180</v>
      </c>
      <c r="D109" s="164"/>
      <c r="E109" s="164"/>
      <c r="F109" s="137"/>
      <c r="I109" s="129"/>
    </row>
    <row r="110" spans="1:9" ht="15.75" customHeight="1">
      <c r="A110" s="130"/>
      <c r="C110" s="165" t="s">
        <v>11</v>
      </c>
      <c r="D110" s="165"/>
      <c r="E110" s="165"/>
      <c r="F110" s="31"/>
      <c r="I110" s="128" t="s">
        <v>12</v>
      </c>
    </row>
    <row r="111" spans="1:9" ht="15.75" customHeight="1">
      <c r="A111" s="32"/>
      <c r="C111" s="12"/>
      <c r="D111" s="12"/>
      <c r="G111" s="12"/>
      <c r="H111" s="12"/>
    </row>
    <row r="112" spans="1:9" ht="15.75" customHeight="1">
      <c r="B112" s="127" t="s">
        <v>13</v>
      </c>
      <c r="C112" s="166"/>
      <c r="D112" s="166"/>
      <c r="E112" s="166"/>
      <c r="F112" s="138"/>
      <c r="I112" s="129"/>
    </row>
    <row r="113" spans="1:9" ht="15.75" customHeight="1">
      <c r="A113" s="130"/>
      <c r="C113" s="167" t="s">
        <v>11</v>
      </c>
      <c r="D113" s="167"/>
      <c r="E113" s="167"/>
      <c r="F113" s="130"/>
      <c r="I113" s="128" t="s">
        <v>12</v>
      </c>
    </row>
    <row r="114" spans="1:9" ht="15.75">
      <c r="A114" s="4" t="s">
        <v>14</v>
      </c>
    </row>
    <row r="115" spans="1:9">
      <c r="A115" s="168" t="s">
        <v>15</v>
      </c>
      <c r="B115" s="168"/>
      <c r="C115" s="168"/>
      <c r="D115" s="168"/>
      <c r="E115" s="168"/>
      <c r="F115" s="168"/>
      <c r="G115" s="168"/>
      <c r="H115" s="168"/>
      <c r="I115" s="168"/>
    </row>
    <row r="116" spans="1:9" ht="45" customHeight="1">
      <c r="A116" s="162" t="s">
        <v>16</v>
      </c>
      <c r="B116" s="162"/>
      <c r="C116" s="162"/>
      <c r="D116" s="162"/>
      <c r="E116" s="162"/>
      <c r="F116" s="162"/>
      <c r="G116" s="162"/>
      <c r="H116" s="162"/>
      <c r="I116" s="162"/>
    </row>
    <row r="117" spans="1:9" ht="30" customHeight="1">
      <c r="A117" s="162" t="s">
        <v>17</v>
      </c>
      <c r="B117" s="162"/>
      <c r="C117" s="162"/>
      <c r="D117" s="162"/>
      <c r="E117" s="162"/>
      <c r="F117" s="162"/>
      <c r="G117" s="162"/>
      <c r="H117" s="162"/>
      <c r="I117" s="162"/>
    </row>
    <row r="118" spans="1:9" ht="30" customHeight="1">
      <c r="A118" s="162" t="s">
        <v>21</v>
      </c>
      <c r="B118" s="162"/>
      <c r="C118" s="162"/>
      <c r="D118" s="162"/>
      <c r="E118" s="162"/>
      <c r="F118" s="162"/>
      <c r="G118" s="162"/>
      <c r="H118" s="162"/>
      <c r="I118" s="162"/>
    </row>
    <row r="119" spans="1:9" ht="15" customHeight="1">
      <c r="A119" s="162" t="s">
        <v>20</v>
      </c>
      <c r="B119" s="162"/>
      <c r="C119" s="162"/>
      <c r="D119" s="162"/>
      <c r="E119" s="162"/>
      <c r="F119" s="162"/>
      <c r="G119" s="162"/>
      <c r="H119" s="162"/>
      <c r="I119" s="162"/>
    </row>
  </sheetData>
  <autoFilter ref="I12:I61"/>
  <mergeCells count="28">
    <mergeCell ref="A116:I116"/>
    <mergeCell ref="A117:I117"/>
    <mergeCell ref="A118:I118"/>
    <mergeCell ref="A119:I119"/>
    <mergeCell ref="A107:I107"/>
    <mergeCell ref="C109:E109"/>
    <mergeCell ref="C110:E110"/>
    <mergeCell ref="C112:E112"/>
    <mergeCell ref="C113:E113"/>
    <mergeCell ref="A115:I115"/>
    <mergeCell ref="A99:I99"/>
    <mergeCell ref="B100:G100"/>
    <mergeCell ref="B101:G101"/>
    <mergeCell ref="A103:I103"/>
    <mergeCell ref="A104:I104"/>
    <mergeCell ref="A105:I105"/>
    <mergeCell ref="A15:I15"/>
    <mergeCell ref="A29:I29"/>
    <mergeCell ref="A46:I46"/>
    <mergeCell ref="A56:I56"/>
    <mergeCell ref="R66:U66"/>
    <mergeCell ref="A82:I82"/>
    <mergeCell ref="A3:I3"/>
    <mergeCell ref="A4:I4"/>
    <mergeCell ref="A5:I5"/>
    <mergeCell ref="A8:I8"/>
    <mergeCell ref="A10:I10"/>
    <mergeCell ref="A14:I14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G119"/>
  <sheetViews>
    <sheetView workbookViewId="0">
      <selection activeCell="A3" sqref="A3:G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0" hidden="1" customWidth="1"/>
    <col min="6" max="7" width="22.5703125" customWidth="1"/>
  </cols>
  <sheetData>
    <row r="1" spans="1:7" ht="15.75">
      <c r="A1" s="34" t="s">
        <v>94</v>
      </c>
      <c r="G1" s="33"/>
    </row>
    <row r="2" spans="1:7" ht="15.75">
      <c r="A2" s="35" t="s">
        <v>64</v>
      </c>
    </row>
    <row r="3" spans="1:7" ht="15.75">
      <c r="A3" s="180" t="s">
        <v>95</v>
      </c>
      <c r="B3" s="180"/>
      <c r="C3" s="180"/>
      <c r="D3" s="180"/>
      <c r="E3" s="180"/>
      <c r="F3" s="180"/>
      <c r="G3" s="180"/>
    </row>
    <row r="4" spans="1:7" ht="31.5" customHeight="1">
      <c r="A4" s="181" t="s">
        <v>162</v>
      </c>
      <c r="B4" s="181"/>
      <c r="C4" s="181"/>
      <c r="D4" s="181"/>
      <c r="E4" s="181"/>
      <c r="F4" s="181"/>
      <c r="G4" s="181"/>
    </row>
    <row r="5" spans="1:7" ht="15.75">
      <c r="A5" s="180" t="s">
        <v>96</v>
      </c>
      <c r="B5" s="182"/>
      <c r="C5" s="182"/>
      <c r="D5" s="182"/>
      <c r="E5" s="182"/>
      <c r="F5" s="182"/>
      <c r="G5" s="182"/>
    </row>
    <row r="6" spans="1:7" ht="15.75">
      <c r="A6" s="2"/>
      <c r="B6" s="77"/>
      <c r="C6" s="77"/>
      <c r="D6" s="77"/>
      <c r="E6" s="77"/>
      <c r="F6" s="77"/>
      <c r="G6" s="37">
        <v>42704</v>
      </c>
    </row>
    <row r="7" spans="1:7" ht="15.75">
      <c r="B7" s="73"/>
      <c r="C7" s="73"/>
      <c r="D7" s="73"/>
      <c r="E7" s="3"/>
      <c r="F7" s="3"/>
    </row>
    <row r="8" spans="1:7" ht="78.75" customHeight="1">
      <c r="A8" s="183" t="s">
        <v>175</v>
      </c>
      <c r="B8" s="183"/>
      <c r="C8" s="183"/>
      <c r="D8" s="183"/>
      <c r="E8" s="183"/>
      <c r="F8" s="183"/>
      <c r="G8" s="183"/>
    </row>
    <row r="9" spans="1:7" ht="15.75">
      <c r="A9" s="4"/>
    </row>
    <row r="10" spans="1:7" ht="47.25" customHeight="1">
      <c r="A10" s="184" t="s">
        <v>176</v>
      </c>
      <c r="B10" s="184"/>
      <c r="C10" s="184"/>
      <c r="D10" s="184"/>
      <c r="E10" s="184"/>
      <c r="F10" s="184"/>
      <c r="G10" s="184"/>
    </row>
    <row r="11" spans="1:7" ht="15.75">
      <c r="A11" s="4"/>
    </row>
    <row r="12" spans="1:7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 t="s">
        <v>22</v>
      </c>
      <c r="G12" s="6" t="s">
        <v>3</v>
      </c>
    </row>
    <row r="13" spans="1:7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5</v>
      </c>
      <c r="G13" s="7">
        <v>6</v>
      </c>
    </row>
    <row r="14" spans="1:7">
      <c r="A14" s="185" t="s">
        <v>60</v>
      </c>
      <c r="B14" s="185"/>
      <c r="C14" s="185"/>
      <c r="D14" s="185"/>
      <c r="E14" s="185"/>
      <c r="F14" s="185"/>
      <c r="G14" s="185"/>
    </row>
    <row r="15" spans="1:7">
      <c r="A15" s="173" t="s">
        <v>4</v>
      </c>
      <c r="B15" s="173"/>
      <c r="C15" s="173"/>
      <c r="D15" s="173"/>
      <c r="E15" s="173"/>
      <c r="F15" s="173"/>
      <c r="G15" s="173"/>
    </row>
    <row r="16" spans="1:7" ht="31.5" customHeight="1">
      <c r="A16" s="36">
        <v>1</v>
      </c>
      <c r="B16" s="41" t="s">
        <v>97</v>
      </c>
      <c r="C16" s="55" t="s">
        <v>98</v>
      </c>
      <c r="D16" s="41" t="s">
        <v>99</v>
      </c>
      <c r="E16" s="36"/>
      <c r="F16" s="40">
        <v>187.48</v>
      </c>
      <c r="G16" s="86">
        <v>3504.26</v>
      </c>
    </row>
    <row r="17" spans="1:7" ht="31.5" customHeight="1">
      <c r="A17" s="36">
        <v>2</v>
      </c>
      <c r="B17" s="41" t="s">
        <v>133</v>
      </c>
      <c r="C17" s="55" t="s">
        <v>98</v>
      </c>
      <c r="D17" s="41" t="s">
        <v>100</v>
      </c>
      <c r="E17" s="36"/>
      <c r="F17" s="40">
        <v>187.48</v>
      </c>
      <c r="G17" s="86">
        <v>9344.7800000000007</v>
      </c>
    </row>
    <row r="18" spans="1:7" ht="31.5" customHeight="1">
      <c r="A18" s="36">
        <v>3</v>
      </c>
      <c r="B18" s="41" t="s">
        <v>134</v>
      </c>
      <c r="C18" s="55" t="s">
        <v>98</v>
      </c>
      <c r="D18" s="41" t="s">
        <v>142</v>
      </c>
      <c r="E18" s="36"/>
      <c r="F18" s="40">
        <v>539.51</v>
      </c>
      <c r="G18" s="86">
        <v>7757.07</v>
      </c>
    </row>
    <row r="19" spans="1:7" ht="15.75" hidden="1" customHeight="1">
      <c r="A19" s="36"/>
      <c r="B19" s="41" t="s">
        <v>107</v>
      </c>
      <c r="C19" s="55" t="s">
        <v>108</v>
      </c>
      <c r="D19" s="41" t="s">
        <v>109</v>
      </c>
      <c r="E19" s="36"/>
      <c r="F19" s="40">
        <v>181.91</v>
      </c>
      <c r="G19" s="86">
        <v>0</v>
      </c>
    </row>
    <row r="20" spans="1:7" ht="15.75" customHeight="1">
      <c r="A20" s="36">
        <v>4</v>
      </c>
      <c r="B20" s="41" t="s">
        <v>110</v>
      </c>
      <c r="C20" s="55" t="s">
        <v>98</v>
      </c>
      <c r="D20" s="41" t="s">
        <v>135</v>
      </c>
      <c r="E20" s="36"/>
      <c r="F20" s="40">
        <v>232.92</v>
      </c>
      <c r="G20" s="86">
        <v>32.61</v>
      </c>
    </row>
    <row r="21" spans="1:7" ht="15.75" customHeight="1">
      <c r="A21" s="36">
        <v>5</v>
      </c>
      <c r="B21" s="41" t="s">
        <v>111</v>
      </c>
      <c r="C21" s="55" t="s">
        <v>98</v>
      </c>
      <c r="D21" s="41" t="s">
        <v>143</v>
      </c>
      <c r="E21" s="36"/>
      <c r="F21" s="40">
        <v>231.03</v>
      </c>
      <c r="G21" s="86">
        <v>11.09</v>
      </c>
    </row>
    <row r="22" spans="1:7" ht="15.75" hidden="1" customHeight="1">
      <c r="A22" s="36"/>
      <c r="B22" s="41" t="s">
        <v>112</v>
      </c>
      <c r="C22" s="55" t="s">
        <v>53</v>
      </c>
      <c r="D22" s="41" t="s">
        <v>109</v>
      </c>
      <c r="E22" s="36"/>
      <c r="F22" s="40">
        <v>287.83999999999997</v>
      </c>
      <c r="G22" s="86">
        <v>0</v>
      </c>
    </row>
    <row r="23" spans="1:7" ht="15.75" hidden="1" customHeight="1">
      <c r="A23" s="36"/>
      <c r="B23" s="41" t="s">
        <v>113</v>
      </c>
      <c r="C23" s="55" t="s">
        <v>53</v>
      </c>
      <c r="D23" s="41" t="s">
        <v>109</v>
      </c>
      <c r="E23" s="36"/>
      <c r="F23" s="40">
        <v>47.34</v>
      </c>
      <c r="G23" s="86">
        <v>0</v>
      </c>
    </row>
    <row r="24" spans="1:7" ht="15.75" hidden="1" customHeight="1">
      <c r="A24" s="36">
        <v>6</v>
      </c>
      <c r="B24" s="41" t="s">
        <v>114</v>
      </c>
      <c r="C24" s="55" t="s">
        <v>53</v>
      </c>
      <c r="D24" s="41" t="s">
        <v>54</v>
      </c>
      <c r="E24" s="36"/>
      <c r="F24" s="40">
        <v>416.62</v>
      </c>
      <c r="G24" s="86">
        <v>0</v>
      </c>
    </row>
    <row r="25" spans="1:7" ht="15.75" hidden="1" customHeight="1">
      <c r="A25" s="36"/>
      <c r="B25" s="41" t="s">
        <v>115</v>
      </c>
      <c r="C25" s="55" t="s">
        <v>53</v>
      </c>
      <c r="D25" s="41" t="s">
        <v>54</v>
      </c>
      <c r="E25" s="36"/>
      <c r="F25" s="40">
        <v>556.74</v>
      </c>
      <c r="G25" s="86">
        <v>0</v>
      </c>
    </row>
    <row r="26" spans="1:7" ht="15.75" hidden="1" customHeight="1">
      <c r="A26" s="36"/>
      <c r="B26" s="41" t="s">
        <v>140</v>
      </c>
      <c r="C26" s="55" t="s">
        <v>53</v>
      </c>
      <c r="D26" s="41" t="s">
        <v>54</v>
      </c>
      <c r="E26" s="36"/>
      <c r="F26" s="40">
        <v>231.03</v>
      </c>
      <c r="G26" s="86">
        <v>0</v>
      </c>
    </row>
    <row r="27" spans="1:7" ht="15.75" customHeight="1">
      <c r="A27" s="56">
        <v>6</v>
      </c>
      <c r="B27" s="41" t="s">
        <v>66</v>
      </c>
      <c r="C27" s="55" t="s">
        <v>33</v>
      </c>
      <c r="D27" s="41" t="s">
        <v>136</v>
      </c>
      <c r="E27" s="22">
        <v>506.1</v>
      </c>
      <c r="F27" s="40">
        <v>157.18</v>
      </c>
      <c r="G27" s="86">
        <v>478.09</v>
      </c>
    </row>
    <row r="28" spans="1:7" ht="15.75" customHeight="1">
      <c r="A28" s="56">
        <v>7</v>
      </c>
      <c r="B28" s="13" t="s">
        <v>23</v>
      </c>
      <c r="C28" s="14" t="s">
        <v>24</v>
      </c>
      <c r="D28" s="36"/>
      <c r="E28" s="22">
        <v>506.1</v>
      </c>
      <c r="F28" s="40">
        <v>4.72</v>
      </c>
      <c r="G28" s="86">
        <v>22333.62</v>
      </c>
    </row>
    <row r="29" spans="1:7" ht="15.75" customHeight="1">
      <c r="A29" s="173" t="s">
        <v>93</v>
      </c>
      <c r="B29" s="173"/>
      <c r="C29" s="173"/>
      <c r="D29" s="173"/>
      <c r="E29" s="173"/>
      <c r="F29" s="173"/>
      <c r="G29" s="173"/>
    </row>
    <row r="30" spans="1:7" ht="15.75" hidden="1" customHeight="1">
      <c r="A30" s="56"/>
      <c r="B30" s="66" t="s">
        <v>28</v>
      </c>
      <c r="C30" s="66"/>
      <c r="D30" s="66"/>
      <c r="E30" s="66"/>
      <c r="F30" s="66"/>
      <c r="G30" s="23"/>
    </row>
    <row r="31" spans="1:7" ht="31.5" hidden="1" customHeight="1">
      <c r="A31" s="56">
        <v>2</v>
      </c>
      <c r="B31" s="41" t="s">
        <v>119</v>
      </c>
      <c r="C31" s="55" t="s">
        <v>102</v>
      </c>
      <c r="D31" s="41" t="s">
        <v>116</v>
      </c>
      <c r="E31" s="17">
        <v>2.31</v>
      </c>
      <c r="F31" s="40">
        <v>166.65</v>
      </c>
      <c r="G31" s="16">
        <v>0</v>
      </c>
    </row>
    <row r="32" spans="1:7" ht="31.5" hidden="1" customHeight="1">
      <c r="A32" s="56">
        <v>3</v>
      </c>
      <c r="B32" s="41" t="s">
        <v>137</v>
      </c>
      <c r="C32" s="55" t="s">
        <v>102</v>
      </c>
      <c r="D32" s="41" t="s">
        <v>117</v>
      </c>
      <c r="E32" s="16">
        <f>0.0024*3*4.5</f>
        <v>3.2399999999999998E-2</v>
      </c>
      <c r="F32" s="40">
        <v>276.48</v>
      </c>
      <c r="G32" s="23">
        <v>0</v>
      </c>
    </row>
    <row r="33" spans="1:7" ht="15.75" hidden="1" customHeight="1">
      <c r="A33" s="56">
        <v>4</v>
      </c>
      <c r="B33" s="41" t="s">
        <v>27</v>
      </c>
      <c r="C33" s="55" t="s">
        <v>102</v>
      </c>
      <c r="D33" s="41" t="s">
        <v>54</v>
      </c>
      <c r="E33" s="21">
        <v>0</v>
      </c>
      <c r="F33" s="40">
        <v>3228.73</v>
      </c>
      <c r="G33" s="23">
        <v>0</v>
      </c>
    </row>
    <row r="34" spans="1:7" ht="15.75" hidden="1" customHeight="1">
      <c r="A34" s="56"/>
      <c r="B34" s="41" t="s">
        <v>154</v>
      </c>
      <c r="C34" s="55" t="s">
        <v>39</v>
      </c>
      <c r="D34" s="41" t="s">
        <v>65</v>
      </c>
      <c r="E34" s="21"/>
      <c r="F34" s="40">
        <v>1391.86</v>
      </c>
      <c r="G34" s="23">
        <v>0</v>
      </c>
    </row>
    <row r="35" spans="1:7" ht="15.75" hidden="1" customHeight="1">
      <c r="A35" s="56">
        <v>4</v>
      </c>
      <c r="B35" s="41" t="s">
        <v>118</v>
      </c>
      <c r="C35" s="55" t="s">
        <v>31</v>
      </c>
      <c r="D35" s="41" t="s">
        <v>65</v>
      </c>
      <c r="E35" s="16">
        <v>3.75</v>
      </c>
      <c r="F35" s="40">
        <v>60.6</v>
      </c>
      <c r="G35" s="16">
        <v>0</v>
      </c>
    </row>
    <row r="36" spans="1:7" ht="15.75" hidden="1" customHeight="1">
      <c r="A36" s="56"/>
      <c r="B36" s="41" t="s">
        <v>67</v>
      </c>
      <c r="C36" s="55" t="s">
        <v>33</v>
      </c>
      <c r="D36" s="41" t="s">
        <v>69</v>
      </c>
      <c r="E36" s="16"/>
      <c r="F36" s="40">
        <v>204.52</v>
      </c>
      <c r="G36" s="16">
        <v>0</v>
      </c>
    </row>
    <row r="37" spans="1:7" ht="15.75" hidden="1" customHeight="1">
      <c r="A37" s="36">
        <v>8</v>
      </c>
      <c r="B37" s="41" t="s">
        <v>68</v>
      </c>
      <c r="C37" s="55" t="s">
        <v>32</v>
      </c>
      <c r="D37" s="41" t="s">
        <v>69</v>
      </c>
      <c r="E37" s="16"/>
      <c r="F37" s="40">
        <v>1214.73</v>
      </c>
      <c r="G37" s="16">
        <v>0</v>
      </c>
    </row>
    <row r="38" spans="1:7" ht="15.75" customHeight="1">
      <c r="A38" s="56"/>
      <c r="B38" s="64" t="s">
        <v>5</v>
      </c>
      <c r="C38" s="64"/>
      <c r="D38" s="64"/>
      <c r="E38" s="16"/>
      <c r="F38" s="17"/>
      <c r="G38" s="23"/>
    </row>
    <row r="39" spans="1:7" ht="15.75" customHeight="1">
      <c r="A39" s="42">
        <v>8</v>
      </c>
      <c r="B39" s="43" t="s">
        <v>26</v>
      </c>
      <c r="C39" s="55" t="s">
        <v>32</v>
      </c>
      <c r="D39" s="41"/>
      <c r="E39" s="16">
        <v>0</v>
      </c>
      <c r="F39" s="40">
        <v>1632.6</v>
      </c>
      <c r="G39" s="16">
        <v>1360.5</v>
      </c>
    </row>
    <row r="40" spans="1:7" ht="15.75" customHeight="1">
      <c r="A40" s="42">
        <v>9</v>
      </c>
      <c r="B40" s="43" t="s">
        <v>120</v>
      </c>
      <c r="C40" s="79" t="s">
        <v>29</v>
      </c>
      <c r="D40" s="41" t="s">
        <v>146</v>
      </c>
      <c r="E40" s="16">
        <v>0</v>
      </c>
      <c r="F40" s="40">
        <v>2247.8000000000002</v>
      </c>
      <c r="G40" s="16">
        <v>2566.7600000000002</v>
      </c>
    </row>
    <row r="41" spans="1:7" ht="15.75" hidden="1" customHeight="1">
      <c r="A41" s="42">
        <v>11</v>
      </c>
      <c r="B41" s="41" t="s">
        <v>144</v>
      </c>
      <c r="C41" s="55" t="s">
        <v>145</v>
      </c>
      <c r="D41" s="41" t="s">
        <v>69</v>
      </c>
      <c r="E41" s="16">
        <v>0</v>
      </c>
      <c r="F41" s="40">
        <v>213.2</v>
      </c>
      <c r="G41" s="16">
        <v>0</v>
      </c>
    </row>
    <row r="42" spans="1:7" ht="15.75" customHeight="1">
      <c r="A42" s="42">
        <v>10</v>
      </c>
      <c r="B42" s="41" t="s">
        <v>70</v>
      </c>
      <c r="C42" s="55" t="s">
        <v>29</v>
      </c>
      <c r="D42" s="41" t="s">
        <v>101</v>
      </c>
      <c r="E42" s="16">
        <v>0</v>
      </c>
      <c r="F42" s="40">
        <v>374.95</v>
      </c>
      <c r="G42" s="16">
        <v>2263.7600000000002</v>
      </c>
    </row>
    <row r="43" spans="1:7" ht="47.25" customHeight="1">
      <c r="A43" s="42">
        <v>11</v>
      </c>
      <c r="B43" s="41" t="s">
        <v>88</v>
      </c>
      <c r="C43" s="55" t="s">
        <v>102</v>
      </c>
      <c r="D43" s="41" t="s">
        <v>147</v>
      </c>
      <c r="E43" s="16"/>
      <c r="F43" s="40">
        <v>6203.7</v>
      </c>
      <c r="G43" s="16">
        <v>1968.64</v>
      </c>
    </row>
    <row r="44" spans="1:7" ht="16.5" customHeight="1">
      <c r="A44" s="42">
        <v>12</v>
      </c>
      <c r="B44" s="41" t="s">
        <v>103</v>
      </c>
      <c r="C44" s="55" t="s">
        <v>102</v>
      </c>
      <c r="D44" s="41" t="s">
        <v>71</v>
      </c>
      <c r="E44" s="16"/>
      <c r="F44" s="40">
        <v>458.28</v>
      </c>
      <c r="G44" s="16">
        <v>784.96</v>
      </c>
    </row>
    <row r="45" spans="1:7" ht="15.75" customHeight="1">
      <c r="A45" s="42">
        <v>13</v>
      </c>
      <c r="B45" s="43" t="s">
        <v>72</v>
      </c>
      <c r="C45" s="79" t="s">
        <v>33</v>
      </c>
      <c r="D45" s="43"/>
      <c r="E45" s="16"/>
      <c r="F45" s="44">
        <v>853.06</v>
      </c>
      <c r="G45" s="16">
        <v>255.92</v>
      </c>
    </row>
    <row r="46" spans="1:7" ht="15.75" hidden="1" customHeight="1">
      <c r="A46" s="186" t="s">
        <v>63</v>
      </c>
      <c r="B46" s="187"/>
      <c r="C46" s="187"/>
      <c r="D46" s="187"/>
      <c r="E46" s="187"/>
      <c r="F46" s="187"/>
      <c r="G46" s="188"/>
    </row>
    <row r="47" spans="1:7" ht="15.75" hidden="1" customHeight="1">
      <c r="A47" s="56">
        <v>15</v>
      </c>
      <c r="B47" s="41" t="s">
        <v>148</v>
      </c>
      <c r="C47" s="55" t="s">
        <v>102</v>
      </c>
      <c r="D47" s="41" t="s">
        <v>41</v>
      </c>
      <c r="E47" s="23">
        <v>0.42</v>
      </c>
      <c r="F47" s="46">
        <v>908.11</v>
      </c>
      <c r="G47" s="24">
        <v>0</v>
      </c>
    </row>
    <row r="48" spans="1:7" ht="15.75" hidden="1" customHeight="1">
      <c r="A48" s="56">
        <v>16</v>
      </c>
      <c r="B48" s="41" t="s">
        <v>34</v>
      </c>
      <c r="C48" s="55" t="s">
        <v>102</v>
      </c>
      <c r="D48" s="41" t="s">
        <v>41</v>
      </c>
      <c r="E48" s="23">
        <v>1.35</v>
      </c>
      <c r="F48" s="46">
        <v>619.46</v>
      </c>
      <c r="G48" s="24">
        <v>0</v>
      </c>
    </row>
    <row r="49" spans="1:7" ht="15.75" hidden="1" customHeight="1">
      <c r="A49" s="56">
        <v>17</v>
      </c>
      <c r="B49" s="41" t="s">
        <v>35</v>
      </c>
      <c r="C49" s="55" t="s">
        <v>102</v>
      </c>
      <c r="D49" s="41" t="s">
        <v>41</v>
      </c>
      <c r="E49" s="23">
        <v>0.03</v>
      </c>
      <c r="F49" s="46">
        <v>619.46</v>
      </c>
      <c r="G49" s="24">
        <v>0</v>
      </c>
    </row>
    <row r="50" spans="1:7" ht="15.75" hidden="1" customHeight="1">
      <c r="A50" s="56">
        <v>18</v>
      </c>
      <c r="B50" s="41" t="s">
        <v>36</v>
      </c>
      <c r="C50" s="55" t="s">
        <v>102</v>
      </c>
      <c r="D50" s="41" t="s">
        <v>41</v>
      </c>
      <c r="E50" s="23">
        <v>0.33</v>
      </c>
      <c r="F50" s="46">
        <v>648.64</v>
      </c>
      <c r="G50" s="24">
        <v>0</v>
      </c>
    </row>
    <row r="51" spans="1:7" ht="31.5" hidden="1" customHeight="1">
      <c r="A51" s="56">
        <v>12</v>
      </c>
      <c r="B51" s="41" t="s">
        <v>57</v>
      </c>
      <c r="C51" s="55" t="s">
        <v>102</v>
      </c>
      <c r="D51" s="41" t="s">
        <v>121</v>
      </c>
      <c r="E51" s="23">
        <v>0.22</v>
      </c>
      <c r="F51" s="46">
        <v>1297.28</v>
      </c>
      <c r="G51" s="24">
        <v>0</v>
      </c>
    </row>
    <row r="52" spans="1:7" ht="31.5" hidden="1" customHeight="1">
      <c r="A52" s="56">
        <v>14</v>
      </c>
      <c r="B52" s="41" t="s">
        <v>104</v>
      </c>
      <c r="C52" s="55" t="s">
        <v>102</v>
      </c>
      <c r="D52" s="41" t="s">
        <v>41</v>
      </c>
      <c r="E52" s="23">
        <v>0.02</v>
      </c>
      <c r="F52" s="46">
        <v>1297.28</v>
      </c>
      <c r="G52" s="24">
        <v>0</v>
      </c>
    </row>
    <row r="53" spans="1:7" ht="31.5" hidden="1" customHeight="1">
      <c r="A53" s="56">
        <v>15</v>
      </c>
      <c r="B53" s="41" t="s">
        <v>105</v>
      </c>
      <c r="C53" s="55" t="s">
        <v>37</v>
      </c>
      <c r="D53" s="41" t="s">
        <v>41</v>
      </c>
      <c r="E53" s="23">
        <v>0.01</v>
      </c>
      <c r="F53" s="46">
        <v>2918.89</v>
      </c>
      <c r="G53" s="24">
        <v>0</v>
      </c>
    </row>
    <row r="54" spans="1:7" ht="15.75" hidden="1" customHeight="1">
      <c r="A54" s="56">
        <v>23</v>
      </c>
      <c r="B54" s="41" t="s">
        <v>38</v>
      </c>
      <c r="C54" s="55" t="s">
        <v>39</v>
      </c>
      <c r="D54" s="41" t="s">
        <v>41</v>
      </c>
      <c r="E54" s="23">
        <v>8</v>
      </c>
      <c r="F54" s="46">
        <v>6042.12</v>
      </c>
      <c r="G54" s="16">
        <v>0</v>
      </c>
    </row>
    <row r="55" spans="1:7" ht="15.75" hidden="1" customHeight="1">
      <c r="A55" s="56">
        <v>24</v>
      </c>
      <c r="B55" s="41" t="s">
        <v>40</v>
      </c>
      <c r="C55" s="55" t="s">
        <v>122</v>
      </c>
      <c r="D55" s="41" t="s">
        <v>73</v>
      </c>
      <c r="E55" s="23">
        <v>16</v>
      </c>
      <c r="F55" s="47">
        <v>70.209999999999994</v>
      </c>
      <c r="G55" s="16">
        <v>0</v>
      </c>
    </row>
    <row r="56" spans="1:7" ht="15.75" customHeight="1">
      <c r="A56" s="174" t="s">
        <v>181</v>
      </c>
      <c r="B56" s="175"/>
      <c r="C56" s="175"/>
      <c r="D56" s="175"/>
      <c r="E56" s="175"/>
      <c r="F56" s="175"/>
      <c r="G56" s="176"/>
    </row>
    <row r="57" spans="1:7" ht="15.75" customHeight="1">
      <c r="A57" s="69"/>
      <c r="B57" s="63" t="s">
        <v>42</v>
      </c>
      <c r="C57" s="20"/>
      <c r="D57" s="19"/>
      <c r="E57" s="19"/>
      <c r="F57" s="36"/>
      <c r="G57" s="23"/>
    </row>
    <row r="58" spans="1:7" ht="31.5" customHeight="1">
      <c r="A58" s="91">
        <v>14</v>
      </c>
      <c r="B58" s="41" t="s">
        <v>149</v>
      </c>
      <c r="C58" s="55" t="s">
        <v>98</v>
      </c>
      <c r="D58" s="41" t="s">
        <v>123</v>
      </c>
      <c r="E58" s="92">
        <v>0</v>
      </c>
      <c r="F58" s="46">
        <v>1654.04</v>
      </c>
      <c r="G58" s="93">
        <v>2565.25</v>
      </c>
    </row>
    <row r="59" spans="1:7" ht="15.75" customHeight="1">
      <c r="A59" s="91">
        <v>15</v>
      </c>
      <c r="B59" s="41" t="s">
        <v>150</v>
      </c>
      <c r="C59" s="55" t="s">
        <v>98</v>
      </c>
      <c r="D59" s="41" t="s">
        <v>123</v>
      </c>
      <c r="E59" s="92"/>
      <c r="F59" s="46">
        <v>1654.04</v>
      </c>
      <c r="G59" s="93">
        <v>62.85</v>
      </c>
    </row>
    <row r="60" spans="1:7" ht="15.75" hidden="1" customHeight="1">
      <c r="A60" s="91">
        <v>17</v>
      </c>
      <c r="B60" s="89" t="s">
        <v>151</v>
      </c>
      <c r="C60" s="68" t="s">
        <v>152</v>
      </c>
      <c r="D60" s="89" t="s">
        <v>41</v>
      </c>
      <c r="E60" s="92"/>
      <c r="F60" s="46">
        <v>193.23</v>
      </c>
      <c r="G60" s="93">
        <v>0</v>
      </c>
    </row>
    <row r="61" spans="1:7" ht="15.75" hidden="1" customHeight="1">
      <c r="A61" s="91"/>
      <c r="B61" s="89" t="s">
        <v>138</v>
      </c>
      <c r="C61" s="68" t="s">
        <v>53</v>
      </c>
      <c r="D61" s="89" t="s">
        <v>54</v>
      </c>
      <c r="E61" s="92"/>
      <c r="F61" s="46">
        <v>505.2</v>
      </c>
      <c r="G61" s="93">
        <v>0</v>
      </c>
    </row>
    <row r="62" spans="1:7" ht="15.75" customHeight="1">
      <c r="A62" s="45"/>
      <c r="B62" s="105" t="s">
        <v>43</v>
      </c>
      <c r="C62" s="99"/>
      <c r="D62" s="99"/>
      <c r="E62" s="99"/>
      <c r="F62" s="99"/>
      <c r="G62" s="99"/>
    </row>
    <row r="63" spans="1:7" ht="15.75" hidden="1" customHeight="1">
      <c r="A63" s="94">
        <v>27</v>
      </c>
      <c r="B63" s="95" t="s">
        <v>138</v>
      </c>
      <c r="C63" s="96" t="s">
        <v>53</v>
      </c>
      <c r="D63" s="95" t="s">
        <v>54</v>
      </c>
      <c r="E63" s="97">
        <v>0</v>
      </c>
      <c r="F63" s="46">
        <v>848.37</v>
      </c>
      <c r="G63" s="98">
        <f>E63/2</f>
        <v>0</v>
      </c>
    </row>
    <row r="64" spans="1:7" ht="15.75" customHeight="1">
      <c r="A64" s="56">
        <v>16</v>
      </c>
      <c r="B64" s="89" t="s">
        <v>139</v>
      </c>
      <c r="C64" s="68" t="s">
        <v>25</v>
      </c>
      <c r="D64" s="89" t="s">
        <v>30</v>
      </c>
      <c r="E64" s="23"/>
      <c r="F64" s="90">
        <v>2.6</v>
      </c>
      <c r="G64" s="24">
        <v>618.79999999999995</v>
      </c>
    </row>
    <row r="65" spans="1:7" ht="15.75" customHeight="1">
      <c r="A65" s="56"/>
      <c r="B65" s="105" t="s">
        <v>45</v>
      </c>
      <c r="C65" s="20"/>
      <c r="D65" s="19"/>
      <c r="E65" s="19"/>
      <c r="F65" s="36"/>
      <c r="G65" s="23"/>
    </row>
    <row r="66" spans="1:7" ht="15.75" customHeight="1">
      <c r="A66" s="56">
        <v>17</v>
      </c>
      <c r="B66" s="82" t="s">
        <v>46</v>
      </c>
      <c r="C66" s="51" t="s">
        <v>122</v>
      </c>
      <c r="D66" s="50" t="s">
        <v>69</v>
      </c>
      <c r="E66" s="23">
        <v>0</v>
      </c>
      <c r="F66" s="46">
        <v>237.74</v>
      </c>
      <c r="G66" s="24">
        <v>713.22</v>
      </c>
    </row>
    <row r="67" spans="1:7" ht="15.75" hidden="1" customHeight="1">
      <c r="A67" s="36">
        <v>29</v>
      </c>
      <c r="B67" s="82" t="s">
        <v>47</v>
      </c>
      <c r="C67" s="51" t="s">
        <v>122</v>
      </c>
      <c r="D67" s="50" t="s">
        <v>69</v>
      </c>
      <c r="E67" s="23">
        <v>0</v>
      </c>
      <c r="F67" s="46">
        <v>81.510000000000005</v>
      </c>
      <c r="G67" s="24">
        <v>0</v>
      </c>
    </row>
    <row r="68" spans="1:7" ht="15.75" hidden="1" customHeight="1">
      <c r="A68" s="36">
        <v>8</v>
      </c>
      <c r="B68" s="82" t="s">
        <v>48</v>
      </c>
      <c r="C68" s="53" t="s">
        <v>124</v>
      </c>
      <c r="D68" s="50" t="s">
        <v>54</v>
      </c>
      <c r="E68" s="23">
        <v>13.47</v>
      </c>
      <c r="F68" s="46">
        <v>226.79</v>
      </c>
      <c r="G68" s="23">
        <v>0</v>
      </c>
    </row>
    <row r="69" spans="1:7" ht="15.75" hidden="1" customHeight="1">
      <c r="A69" s="36">
        <v>9</v>
      </c>
      <c r="B69" s="82" t="s">
        <v>49</v>
      </c>
      <c r="C69" s="51" t="s">
        <v>125</v>
      </c>
      <c r="D69" s="50"/>
      <c r="E69" s="23">
        <v>1.35</v>
      </c>
      <c r="F69" s="46">
        <v>176.61</v>
      </c>
      <c r="G69" s="23">
        <v>0</v>
      </c>
    </row>
    <row r="70" spans="1:7" ht="15.75" hidden="1" customHeight="1">
      <c r="A70" s="36">
        <v>10</v>
      </c>
      <c r="B70" s="82" t="s">
        <v>50</v>
      </c>
      <c r="C70" s="51" t="s">
        <v>79</v>
      </c>
      <c r="D70" s="50" t="s">
        <v>54</v>
      </c>
      <c r="E70" s="23">
        <v>0</v>
      </c>
      <c r="F70" s="46">
        <v>2217.7800000000002</v>
      </c>
      <c r="G70" s="23">
        <v>0</v>
      </c>
    </row>
    <row r="71" spans="1:7" ht="15.75" hidden="1" customHeight="1">
      <c r="A71" s="36">
        <v>11</v>
      </c>
      <c r="B71" s="70" t="s">
        <v>126</v>
      </c>
      <c r="C71" s="51" t="s">
        <v>33</v>
      </c>
      <c r="D71" s="50"/>
      <c r="E71" s="15">
        <v>0</v>
      </c>
      <c r="F71" s="46">
        <v>42.67</v>
      </c>
      <c r="G71" s="23">
        <v>0</v>
      </c>
    </row>
    <row r="72" spans="1:7" ht="15.75" hidden="1" customHeight="1">
      <c r="A72" s="36">
        <v>12</v>
      </c>
      <c r="B72" s="70" t="s">
        <v>127</v>
      </c>
      <c r="C72" s="51" t="s">
        <v>33</v>
      </c>
      <c r="D72" s="50"/>
      <c r="E72" s="15"/>
      <c r="F72" s="46">
        <v>39.81</v>
      </c>
      <c r="G72" s="23">
        <v>0</v>
      </c>
    </row>
    <row r="73" spans="1:7" ht="15.75" hidden="1" customHeight="1">
      <c r="A73" s="36">
        <v>13</v>
      </c>
      <c r="B73" s="50" t="s">
        <v>58</v>
      </c>
      <c r="C73" s="51" t="s">
        <v>59</v>
      </c>
      <c r="D73" s="50" t="s">
        <v>54</v>
      </c>
      <c r="E73" s="15"/>
      <c r="F73" s="46">
        <v>53.32</v>
      </c>
      <c r="G73" s="23">
        <v>0</v>
      </c>
    </row>
    <row r="74" spans="1:7" ht="15.75" hidden="1" customHeight="1">
      <c r="A74" s="69"/>
      <c r="B74" s="186" t="s">
        <v>106</v>
      </c>
      <c r="C74" s="187"/>
      <c r="D74" s="187"/>
      <c r="E74" s="187"/>
      <c r="F74" s="188"/>
      <c r="G74" s="23"/>
    </row>
    <row r="75" spans="1:7" ht="15.75" hidden="1" customHeight="1">
      <c r="A75" s="36">
        <v>36</v>
      </c>
      <c r="B75" s="41" t="s">
        <v>128</v>
      </c>
      <c r="C75" s="83"/>
      <c r="D75" s="50" t="s">
        <v>54</v>
      </c>
      <c r="E75" s="23">
        <v>0</v>
      </c>
      <c r="F75" s="48">
        <v>17869</v>
      </c>
      <c r="G75" s="23">
        <v>0</v>
      </c>
    </row>
    <row r="76" spans="1:7" ht="15.75" hidden="1" customHeight="1">
      <c r="A76" s="36"/>
      <c r="B76" s="64" t="s">
        <v>74</v>
      </c>
      <c r="C76" s="64"/>
      <c r="D76" s="64"/>
      <c r="E76" s="23"/>
      <c r="F76" s="36"/>
      <c r="G76" s="23"/>
    </row>
    <row r="77" spans="1:7" ht="15.75" hidden="1" customHeight="1">
      <c r="A77" s="36">
        <v>18</v>
      </c>
      <c r="B77" s="50" t="s">
        <v>75</v>
      </c>
      <c r="C77" s="51" t="s">
        <v>77</v>
      </c>
      <c r="D77" s="50" t="s">
        <v>69</v>
      </c>
      <c r="E77" s="23"/>
      <c r="F77" s="46">
        <v>536.23</v>
      </c>
      <c r="G77" s="23">
        <v>0</v>
      </c>
    </row>
    <row r="78" spans="1:7" ht="15.75" hidden="1" customHeight="1">
      <c r="A78" s="36"/>
      <c r="B78" s="50" t="s">
        <v>76</v>
      </c>
      <c r="C78" s="51" t="s">
        <v>31</v>
      </c>
      <c r="D78" s="50" t="s">
        <v>69</v>
      </c>
      <c r="E78" s="23"/>
      <c r="F78" s="46">
        <v>911.85</v>
      </c>
      <c r="G78" s="23">
        <v>0</v>
      </c>
    </row>
    <row r="79" spans="1:7" ht="15.75" hidden="1" customHeight="1">
      <c r="A79" s="36">
        <v>38</v>
      </c>
      <c r="B79" s="50" t="s">
        <v>129</v>
      </c>
      <c r="C79" s="51" t="s">
        <v>31</v>
      </c>
      <c r="D79" s="50" t="s">
        <v>69</v>
      </c>
      <c r="E79" s="23"/>
      <c r="F79" s="46">
        <v>383.25</v>
      </c>
      <c r="G79" s="23">
        <v>0</v>
      </c>
    </row>
    <row r="80" spans="1:7" ht="15.75" hidden="1" customHeight="1">
      <c r="A80" s="36"/>
      <c r="B80" s="65" t="s">
        <v>78</v>
      </c>
      <c r="C80" s="51"/>
      <c r="D80" s="36"/>
      <c r="E80" s="23"/>
      <c r="F80" s="46" t="s">
        <v>153</v>
      </c>
      <c r="G80" s="23"/>
    </row>
    <row r="81" spans="1:7" ht="15.75" hidden="1" customHeight="1">
      <c r="A81" s="36">
        <v>39</v>
      </c>
      <c r="B81" s="52" t="s">
        <v>141</v>
      </c>
      <c r="C81" s="53" t="s">
        <v>79</v>
      </c>
      <c r="D81" s="82"/>
      <c r="E81" s="23"/>
      <c r="F81" s="47">
        <v>2949.85</v>
      </c>
      <c r="G81" s="23">
        <v>0</v>
      </c>
    </row>
    <row r="82" spans="1:7" ht="15.75" customHeight="1">
      <c r="A82" s="177" t="s">
        <v>182</v>
      </c>
      <c r="B82" s="178"/>
      <c r="C82" s="178"/>
      <c r="D82" s="178"/>
      <c r="E82" s="178"/>
      <c r="F82" s="178"/>
      <c r="G82" s="179"/>
    </row>
    <row r="83" spans="1:7" ht="15.75" customHeight="1">
      <c r="A83" s="36">
        <v>18</v>
      </c>
      <c r="B83" s="41" t="s">
        <v>130</v>
      </c>
      <c r="C83" s="51" t="s">
        <v>55</v>
      </c>
      <c r="D83" s="84"/>
      <c r="E83" s="19">
        <v>327.9</v>
      </c>
      <c r="F83" s="46">
        <v>2.54</v>
      </c>
      <c r="G83" s="16">
        <v>12018.52</v>
      </c>
    </row>
    <row r="84" spans="1:7" ht="31.5" customHeight="1">
      <c r="A84" s="36">
        <v>19</v>
      </c>
      <c r="B84" s="50" t="s">
        <v>80</v>
      </c>
      <c r="C84" s="51"/>
      <c r="D84" s="85"/>
      <c r="E84" s="19"/>
      <c r="F84" s="46">
        <v>3.05</v>
      </c>
      <c r="G84" s="16">
        <v>14431.69</v>
      </c>
    </row>
    <row r="85" spans="1:7" ht="15.75" customHeight="1">
      <c r="A85" s="69"/>
      <c r="B85" s="54" t="s">
        <v>84</v>
      </c>
      <c r="C85" s="56"/>
      <c r="D85" s="19"/>
      <c r="E85" s="19"/>
      <c r="F85" s="23"/>
      <c r="G85" s="39">
        <f>SUM(G16+G17+G18+G20+G21+G27+G28+G39+G40+G42+G43+G44+G45+G58+G59+G64+G66+G83+G84)</f>
        <v>83072.390000000014</v>
      </c>
    </row>
    <row r="86" spans="1:7" ht="15.75" customHeight="1">
      <c r="A86" s="69"/>
      <c r="B86" s="80" t="s">
        <v>61</v>
      </c>
      <c r="C86" s="80"/>
      <c r="D86" s="80"/>
      <c r="E86" s="80"/>
      <c r="F86" s="80"/>
      <c r="G86" s="80"/>
    </row>
    <row r="87" spans="1:7" ht="15.75" customHeight="1">
      <c r="A87" s="36">
        <v>20</v>
      </c>
      <c r="B87" s="123" t="s">
        <v>171</v>
      </c>
      <c r="C87" s="124" t="s">
        <v>172</v>
      </c>
      <c r="D87" s="80"/>
      <c r="E87" s="80"/>
      <c r="F87" s="36">
        <v>1063.47</v>
      </c>
      <c r="G87" s="36">
        <v>1063.47</v>
      </c>
    </row>
    <row r="88" spans="1:7" ht="15.75" customHeight="1">
      <c r="A88" s="36">
        <v>21</v>
      </c>
      <c r="B88" s="81" t="s">
        <v>155</v>
      </c>
      <c r="C88" s="108" t="s">
        <v>85</v>
      </c>
      <c r="D88" s="80"/>
      <c r="E88" s="19"/>
      <c r="F88" s="16">
        <v>18</v>
      </c>
      <c r="G88" s="16">
        <v>18</v>
      </c>
    </row>
    <row r="89" spans="1:7" ht="15.75" customHeight="1">
      <c r="A89" s="36">
        <v>22</v>
      </c>
      <c r="B89" s="81" t="s">
        <v>86</v>
      </c>
      <c r="C89" s="100" t="s">
        <v>122</v>
      </c>
      <c r="D89" s="80"/>
      <c r="E89" s="19"/>
      <c r="F89" s="46">
        <v>180.15</v>
      </c>
      <c r="G89" s="16">
        <v>540.45000000000005</v>
      </c>
    </row>
    <row r="90" spans="1:7" ht="31.5" customHeight="1">
      <c r="A90" s="36">
        <v>23</v>
      </c>
      <c r="B90" s="81" t="s">
        <v>83</v>
      </c>
      <c r="C90" s="100" t="s">
        <v>122</v>
      </c>
      <c r="D90" s="80"/>
      <c r="E90" s="19"/>
      <c r="F90" s="46">
        <v>79.09</v>
      </c>
      <c r="G90" s="16">
        <v>79.09</v>
      </c>
    </row>
    <row r="91" spans="1:7" ht="31.5" customHeight="1">
      <c r="A91" s="36">
        <v>24</v>
      </c>
      <c r="B91" s="81" t="s">
        <v>87</v>
      </c>
      <c r="C91" s="88" t="s">
        <v>37</v>
      </c>
      <c r="D91" s="80"/>
      <c r="E91" s="19"/>
      <c r="F91" s="46">
        <v>3397.65</v>
      </c>
      <c r="G91" s="16">
        <v>67.95</v>
      </c>
    </row>
    <row r="92" spans="1:7" ht="15.75" customHeight="1">
      <c r="A92" s="36">
        <v>25</v>
      </c>
      <c r="B92" s="81" t="s">
        <v>158</v>
      </c>
      <c r="C92" s="107" t="s">
        <v>122</v>
      </c>
      <c r="D92" s="80"/>
      <c r="E92" s="19"/>
      <c r="F92" s="46">
        <v>50.68</v>
      </c>
      <c r="G92" s="16">
        <v>4105.08</v>
      </c>
    </row>
    <row r="93" spans="1:7" ht="15.75" customHeight="1">
      <c r="A93" s="36">
        <v>26</v>
      </c>
      <c r="B93" s="87" t="s">
        <v>159</v>
      </c>
      <c r="C93" s="88" t="s">
        <v>122</v>
      </c>
      <c r="D93" s="80"/>
      <c r="E93" s="19"/>
      <c r="F93" s="46">
        <v>1405.67</v>
      </c>
      <c r="G93" s="16">
        <v>1405.67</v>
      </c>
    </row>
    <row r="94" spans="1:7" ht="15.75" customHeight="1">
      <c r="A94" s="36">
        <v>27</v>
      </c>
      <c r="B94" s="109" t="s">
        <v>156</v>
      </c>
      <c r="C94" s="110" t="s">
        <v>157</v>
      </c>
      <c r="D94" s="80"/>
      <c r="E94" s="19"/>
      <c r="F94" s="16">
        <v>1542.99</v>
      </c>
      <c r="G94" s="16">
        <v>77.150000000000006</v>
      </c>
    </row>
    <row r="95" spans="1:7" s="49" customFormat="1" ht="15.75" customHeight="1">
      <c r="A95" s="122">
        <v>28</v>
      </c>
      <c r="B95" s="111" t="s">
        <v>92</v>
      </c>
      <c r="C95" s="107" t="s">
        <v>122</v>
      </c>
      <c r="D95" s="80"/>
      <c r="E95" s="19"/>
      <c r="F95" s="16">
        <v>179.96</v>
      </c>
      <c r="G95" s="16">
        <v>179.96</v>
      </c>
    </row>
    <row r="96" spans="1:7" ht="15.75" customHeight="1">
      <c r="A96" s="36"/>
      <c r="B96" s="61" t="s">
        <v>51</v>
      </c>
      <c r="C96" s="57"/>
      <c r="D96" s="71"/>
      <c r="E96" s="57">
        <v>1</v>
      </c>
      <c r="F96" s="57"/>
      <c r="G96" s="39">
        <f>SUM(G87:G95)</f>
        <v>7536.82</v>
      </c>
    </row>
    <row r="97" spans="1:7" ht="15.75" customHeight="1">
      <c r="A97" s="36"/>
      <c r="B97" s="67" t="s">
        <v>81</v>
      </c>
      <c r="C97" s="19"/>
      <c r="D97" s="19"/>
      <c r="E97" s="58"/>
      <c r="F97" s="59"/>
      <c r="G97" s="22">
        <v>0</v>
      </c>
    </row>
    <row r="98" spans="1:7" ht="15.75" customHeight="1">
      <c r="A98" s="72"/>
      <c r="B98" s="62" t="s">
        <v>52</v>
      </c>
      <c r="C98" s="45"/>
      <c r="D98" s="45"/>
      <c r="E98" s="45"/>
      <c r="F98" s="45"/>
      <c r="G98" s="60">
        <f>G85+G96</f>
        <v>90609.210000000021</v>
      </c>
    </row>
    <row r="99" spans="1:7" ht="15.75">
      <c r="A99" s="169" t="s">
        <v>173</v>
      </c>
      <c r="B99" s="169"/>
      <c r="C99" s="169"/>
      <c r="D99" s="169"/>
      <c r="E99" s="169"/>
      <c r="F99" s="169"/>
      <c r="G99" s="169"/>
    </row>
    <row r="100" spans="1:7" ht="15.75">
      <c r="A100" s="78"/>
      <c r="B100" s="170" t="s">
        <v>174</v>
      </c>
      <c r="C100" s="170"/>
      <c r="D100" s="170"/>
      <c r="E100" s="170"/>
      <c r="F100" s="170"/>
      <c r="G100" s="3"/>
    </row>
    <row r="101" spans="1:7">
      <c r="A101" s="75"/>
      <c r="B101" s="165" t="s">
        <v>6</v>
      </c>
      <c r="C101" s="165"/>
      <c r="D101" s="165"/>
      <c r="E101" s="165"/>
      <c r="F101" s="165"/>
      <c r="G101" s="5"/>
    </row>
    <row r="102" spans="1:7">
      <c r="A102" s="10"/>
      <c r="B102" s="10"/>
      <c r="C102" s="10"/>
      <c r="D102" s="10"/>
      <c r="E102" s="10"/>
      <c r="F102" s="10"/>
      <c r="G102" s="10"/>
    </row>
    <row r="103" spans="1:7" ht="15.75">
      <c r="A103" s="171" t="s">
        <v>7</v>
      </c>
      <c r="B103" s="171"/>
      <c r="C103" s="171"/>
      <c r="D103" s="171"/>
      <c r="E103" s="171"/>
      <c r="F103" s="171"/>
      <c r="G103" s="171"/>
    </row>
    <row r="104" spans="1:7" ht="15.75">
      <c r="A104" s="171" t="s">
        <v>8</v>
      </c>
      <c r="B104" s="171"/>
      <c r="C104" s="171"/>
      <c r="D104" s="171"/>
      <c r="E104" s="171"/>
      <c r="F104" s="171"/>
      <c r="G104" s="171"/>
    </row>
    <row r="105" spans="1:7" ht="15.75">
      <c r="A105" s="172" t="s">
        <v>62</v>
      </c>
      <c r="B105" s="172"/>
      <c r="C105" s="172"/>
      <c r="D105" s="172"/>
      <c r="E105" s="172"/>
      <c r="F105" s="172"/>
      <c r="G105" s="172"/>
    </row>
    <row r="106" spans="1:7" ht="15.75">
      <c r="A106" s="11"/>
    </row>
    <row r="107" spans="1:7" ht="15.75">
      <c r="A107" s="163" t="s">
        <v>9</v>
      </c>
      <c r="B107" s="163"/>
      <c r="C107" s="163"/>
      <c r="D107" s="163"/>
      <c r="E107" s="163"/>
      <c r="F107" s="163"/>
      <c r="G107" s="163"/>
    </row>
    <row r="108" spans="1:7" ht="15.75">
      <c r="A108" s="4"/>
    </row>
    <row r="109" spans="1:7" ht="15.75">
      <c r="B109" s="73" t="s">
        <v>10</v>
      </c>
      <c r="C109" s="164" t="s">
        <v>180</v>
      </c>
      <c r="D109" s="164"/>
      <c r="E109" s="164"/>
      <c r="G109" s="76"/>
    </row>
    <row r="110" spans="1:7">
      <c r="A110" s="75"/>
      <c r="C110" s="165" t="s">
        <v>11</v>
      </c>
      <c r="D110" s="165"/>
      <c r="E110" s="165"/>
      <c r="G110" s="74" t="s">
        <v>12</v>
      </c>
    </row>
    <row r="111" spans="1:7" ht="15.75">
      <c r="A111" s="32"/>
      <c r="C111" s="12"/>
      <c r="D111" s="12"/>
      <c r="F111" s="12"/>
    </row>
    <row r="112" spans="1:7" ht="15.75">
      <c r="B112" s="73" t="s">
        <v>13</v>
      </c>
      <c r="C112" s="166"/>
      <c r="D112" s="166"/>
      <c r="E112" s="166"/>
      <c r="G112" s="76"/>
    </row>
    <row r="113" spans="1:7">
      <c r="A113" s="75"/>
      <c r="C113" s="167" t="s">
        <v>11</v>
      </c>
      <c r="D113" s="167"/>
      <c r="E113" s="167"/>
      <c r="G113" s="74" t="s">
        <v>12</v>
      </c>
    </row>
    <row r="114" spans="1:7" ht="15.75">
      <c r="A114" s="4" t="s">
        <v>14</v>
      </c>
    </row>
    <row r="115" spans="1:7">
      <c r="A115" s="168" t="s">
        <v>15</v>
      </c>
      <c r="B115" s="168"/>
      <c r="C115" s="168"/>
      <c r="D115" s="168"/>
      <c r="E115" s="168"/>
      <c r="F115" s="168"/>
      <c r="G115" s="168"/>
    </row>
    <row r="116" spans="1:7" ht="45" customHeight="1">
      <c r="A116" s="162" t="s">
        <v>16</v>
      </c>
      <c r="B116" s="162"/>
      <c r="C116" s="162"/>
      <c r="D116" s="162"/>
      <c r="E116" s="162"/>
      <c r="F116" s="162"/>
      <c r="G116" s="162"/>
    </row>
    <row r="117" spans="1:7" ht="30" customHeight="1">
      <c r="A117" s="162" t="s">
        <v>17</v>
      </c>
      <c r="B117" s="162"/>
      <c r="C117" s="162"/>
      <c r="D117" s="162"/>
      <c r="E117" s="162"/>
      <c r="F117" s="162"/>
      <c r="G117" s="162"/>
    </row>
    <row r="118" spans="1:7" ht="30" customHeight="1">
      <c r="A118" s="162" t="s">
        <v>21</v>
      </c>
      <c r="B118" s="162"/>
      <c r="C118" s="162"/>
      <c r="D118" s="162"/>
      <c r="E118" s="162"/>
      <c r="F118" s="162"/>
      <c r="G118" s="162"/>
    </row>
    <row r="119" spans="1:7" ht="15" customHeight="1">
      <c r="A119" s="162" t="s">
        <v>20</v>
      </c>
      <c r="B119" s="162"/>
      <c r="C119" s="162"/>
      <c r="D119" s="162"/>
      <c r="E119" s="162"/>
      <c r="F119" s="162"/>
      <c r="G119" s="162"/>
    </row>
  </sheetData>
  <mergeCells count="28">
    <mergeCell ref="A14:G14"/>
    <mergeCell ref="A3:G3"/>
    <mergeCell ref="A4:G4"/>
    <mergeCell ref="A5:G5"/>
    <mergeCell ref="A8:G8"/>
    <mergeCell ref="A10:G10"/>
    <mergeCell ref="A105:G105"/>
    <mergeCell ref="A15:G15"/>
    <mergeCell ref="A29:G29"/>
    <mergeCell ref="A46:G46"/>
    <mergeCell ref="A56:G56"/>
    <mergeCell ref="B74:F74"/>
    <mergeCell ref="A99:G99"/>
    <mergeCell ref="B100:F100"/>
    <mergeCell ref="B101:F101"/>
    <mergeCell ref="A103:G103"/>
    <mergeCell ref="A104:G104"/>
    <mergeCell ref="A82:G82"/>
    <mergeCell ref="A116:G116"/>
    <mergeCell ref="A117:G117"/>
    <mergeCell ref="A118:G118"/>
    <mergeCell ref="A119:G119"/>
    <mergeCell ref="A107:G107"/>
    <mergeCell ref="C109:E109"/>
    <mergeCell ref="C110:E110"/>
    <mergeCell ref="C112:E112"/>
    <mergeCell ref="C113:E113"/>
    <mergeCell ref="A115:G115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T118"/>
  <sheetViews>
    <sheetView workbookViewId="0">
      <selection activeCell="A3" sqref="A3:G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7" width="22.5703125" customWidth="1"/>
    <col min="8" max="8" width="11.140625" customWidth="1"/>
  </cols>
  <sheetData>
    <row r="1" spans="1:11" ht="15.75" customHeight="1">
      <c r="A1" s="34" t="s">
        <v>94</v>
      </c>
      <c r="G1" s="33"/>
      <c r="H1" s="1"/>
      <c r="I1" s="1"/>
      <c r="J1" s="1"/>
      <c r="K1" s="1"/>
    </row>
    <row r="2" spans="1:11" ht="15.75">
      <c r="A2" s="35" t="s">
        <v>64</v>
      </c>
      <c r="H2" s="2"/>
      <c r="I2" s="2"/>
      <c r="J2" s="2"/>
      <c r="K2" s="2"/>
    </row>
    <row r="3" spans="1:11" ht="15.75" customHeight="1">
      <c r="A3" s="180" t="s">
        <v>131</v>
      </c>
      <c r="B3" s="180"/>
      <c r="C3" s="180"/>
      <c r="D3" s="180"/>
      <c r="E3" s="180"/>
      <c r="F3" s="180"/>
      <c r="G3" s="180"/>
      <c r="H3" s="3"/>
      <c r="I3" s="3"/>
      <c r="J3" s="3"/>
    </row>
    <row r="4" spans="1:11" ht="31.5" customHeight="1">
      <c r="A4" s="181" t="s">
        <v>162</v>
      </c>
      <c r="B4" s="181"/>
      <c r="C4" s="181"/>
      <c r="D4" s="181"/>
      <c r="E4" s="181"/>
      <c r="F4" s="181"/>
      <c r="G4" s="181"/>
    </row>
    <row r="5" spans="1:11" ht="15.75">
      <c r="A5" s="180" t="s">
        <v>132</v>
      </c>
      <c r="B5" s="182"/>
      <c r="C5" s="182"/>
      <c r="D5" s="182"/>
      <c r="E5" s="182"/>
      <c r="F5" s="182"/>
      <c r="G5" s="182"/>
      <c r="H5" s="2"/>
      <c r="I5" s="2"/>
      <c r="J5" s="2"/>
      <c r="K5" s="2"/>
    </row>
    <row r="6" spans="1:11" ht="15.75">
      <c r="A6" s="2"/>
      <c r="B6" s="77"/>
      <c r="C6" s="77"/>
      <c r="D6" s="77"/>
      <c r="E6" s="77"/>
      <c r="F6" s="77"/>
      <c r="G6" s="37">
        <v>42735</v>
      </c>
      <c r="H6" s="2"/>
      <c r="I6" s="2"/>
      <c r="J6" s="2"/>
      <c r="K6" s="2"/>
    </row>
    <row r="7" spans="1:11" ht="15.75">
      <c r="B7" s="73"/>
      <c r="C7" s="73"/>
      <c r="D7" s="73"/>
      <c r="E7" s="3"/>
      <c r="F7" s="3"/>
      <c r="H7" s="3"/>
      <c r="I7" s="3"/>
      <c r="J7" s="3"/>
      <c r="K7" s="3"/>
    </row>
    <row r="8" spans="1:11" ht="87" customHeight="1">
      <c r="A8" s="183" t="s">
        <v>175</v>
      </c>
      <c r="B8" s="183"/>
      <c r="C8" s="183"/>
      <c r="D8" s="183"/>
      <c r="E8" s="183"/>
      <c r="F8" s="183"/>
      <c r="G8" s="183"/>
      <c r="H8" s="5"/>
      <c r="I8" s="5"/>
      <c r="J8" s="5"/>
      <c r="K8" s="5"/>
    </row>
    <row r="9" spans="1:11" ht="15.75">
      <c r="A9" s="4"/>
      <c r="H9" s="2"/>
      <c r="I9" s="2"/>
      <c r="J9" s="2"/>
      <c r="K9" s="2"/>
    </row>
    <row r="10" spans="1:11" ht="55.5" customHeight="1">
      <c r="A10" s="184" t="s">
        <v>176</v>
      </c>
      <c r="B10" s="184"/>
      <c r="C10" s="184"/>
      <c r="D10" s="184"/>
      <c r="E10" s="184"/>
      <c r="F10" s="184"/>
      <c r="G10" s="184"/>
      <c r="H10" s="2"/>
      <c r="I10" s="2"/>
      <c r="J10" s="2"/>
      <c r="K10" s="2"/>
    </row>
    <row r="11" spans="1:11" ht="15.75">
      <c r="A11" s="4"/>
    </row>
    <row r="12" spans="1:11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 t="s">
        <v>22</v>
      </c>
      <c r="G12" s="6" t="s">
        <v>3</v>
      </c>
    </row>
    <row r="13" spans="1:11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5</v>
      </c>
      <c r="G13" s="7">
        <v>6</v>
      </c>
      <c r="H13" s="8"/>
      <c r="I13" s="8"/>
      <c r="J13" s="8"/>
      <c r="K13" s="8"/>
    </row>
    <row r="14" spans="1:11" ht="15" customHeight="1">
      <c r="A14" s="185" t="s">
        <v>60</v>
      </c>
      <c r="B14" s="185"/>
      <c r="C14" s="185"/>
      <c r="D14" s="185"/>
      <c r="E14" s="185"/>
      <c r="F14" s="185"/>
      <c r="G14" s="185"/>
      <c r="H14" s="8"/>
      <c r="I14" s="8"/>
      <c r="J14" s="8"/>
      <c r="K14" s="8"/>
    </row>
    <row r="15" spans="1:11" ht="15" customHeight="1">
      <c r="A15" s="173" t="s">
        <v>4</v>
      </c>
      <c r="B15" s="173"/>
      <c r="C15" s="173"/>
      <c r="D15" s="173"/>
      <c r="E15" s="173"/>
      <c r="F15" s="173"/>
      <c r="G15" s="173"/>
      <c r="H15" s="8"/>
      <c r="I15" s="8"/>
      <c r="J15" s="8"/>
      <c r="K15" s="8"/>
    </row>
    <row r="16" spans="1:11" ht="30">
      <c r="A16" s="36">
        <v>1</v>
      </c>
      <c r="B16" s="41" t="s">
        <v>97</v>
      </c>
      <c r="C16" s="55" t="s">
        <v>98</v>
      </c>
      <c r="D16" s="41" t="s">
        <v>99</v>
      </c>
      <c r="E16" s="36"/>
      <c r="F16" s="40">
        <v>187.48</v>
      </c>
      <c r="G16" s="86">
        <v>3504.26</v>
      </c>
      <c r="H16" s="28"/>
      <c r="I16" s="8"/>
      <c r="J16" s="8"/>
      <c r="K16" s="8"/>
    </row>
    <row r="17" spans="1:11" ht="31.5" customHeight="1">
      <c r="A17" s="36">
        <v>2</v>
      </c>
      <c r="B17" s="41" t="s">
        <v>133</v>
      </c>
      <c r="C17" s="55" t="s">
        <v>98</v>
      </c>
      <c r="D17" s="41" t="s">
        <v>100</v>
      </c>
      <c r="E17" s="36"/>
      <c r="F17" s="40">
        <v>187.48</v>
      </c>
      <c r="G17" s="86">
        <v>9344.7800000000007</v>
      </c>
      <c r="H17" s="29"/>
      <c r="I17" s="8"/>
      <c r="J17" s="8"/>
      <c r="K17" s="8"/>
    </row>
    <row r="18" spans="1:11" ht="31.5" customHeight="1">
      <c r="A18" s="36">
        <v>3</v>
      </c>
      <c r="B18" s="41" t="s">
        <v>134</v>
      </c>
      <c r="C18" s="55" t="s">
        <v>98</v>
      </c>
      <c r="D18" s="41" t="s">
        <v>142</v>
      </c>
      <c r="E18" s="36"/>
      <c r="F18" s="40">
        <v>539.51</v>
      </c>
      <c r="G18" s="86">
        <v>7757.07</v>
      </c>
      <c r="H18" s="29"/>
      <c r="I18" s="8"/>
      <c r="J18" s="8"/>
      <c r="K18" s="8"/>
    </row>
    <row r="19" spans="1:11" ht="15.75" hidden="1" customHeight="1">
      <c r="A19" s="36"/>
      <c r="B19" s="41" t="s">
        <v>107</v>
      </c>
      <c r="C19" s="55" t="s">
        <v>108</v>
      </c>
      <c r="D19" s="41" t="s">
        <v>109</v>
      </c>
      <c r="E19" s="36"/>
      <c r="F19" s="40">
        <v>181.91</v>
      </c>
      <c r="G19" s="86">
        <v>0</v>
      </c>
      <c r="H19" s="29"/>
      <c r="I19" s="8"/>
      <c r="J19" s="8"/>
      <c r="K19" s="8"/>
    </row>
    <row r="20" spans="1:11" ht="15.75" customHeight="1">
      <c r="A20" s="36">
        <v>4</v>
      </c>
      <c r="B20" s="41" t="s">
        <v>110</v>
      </c>
      <c r="C20" s="55" t="s">
        <v>98</v>
      </c>
      <c r="D20" s="41" t="s">
        <v>135</v>
      </c>
      <c r="E20" s="36"/>
      <c r="F20" s="40">
        <v>232.92</v>
      </c>
      <c r="G20" s="86">
        <v>32.61</v>
      </c>
      <c r="H20" s="29"/>
      <c r="I20" s="8"/>
      <c r="J20" s="8"/>
      <c r="K20" s="8"/>
    </row>
    <row r="21" spans="1:11" ht="15.75" hidden="1" customHeight="1">
      <c r="A21" s="36">
        <v>5</v>
      </c>
      <c r="B21" s="41" t="s">
        <v>111</v>
      </c>
      <c r="C21" s="55" t="s">
        <v>98</v>
      </c>
      <c r="D21" s="41" t="s">
        <v>143</v>
      </c>
      <c r="E21" s="36"/>
      <c r="F21" s="40">
        <v>231.03</v>
      </c>
      <c r="G21" s="86">
        <v>11.09</v>
      </c>
      <c r="H21" s="29"/>
      <c r="I21" s="8"/>
      <c r="J21" s="8"/>
      <c r="K21" s="8"/>
    </row>
    <row r="22" spans="1:11" ht="15.75" hidden="1" customHeight="1">
      <c r="A22" s="36"/>
      <c r="B22" s="41" t="s">
        <v>112</v>
      </c>
      <c r="C22" s="55" t="s">
        <v>53</v>
      </c>
      <c r="D22" s="41" t="s">
        <v>109</v>
      </c>
      <c r="E22" s="36"/>
      <c r="F22" s="40">
        <v>287.83999999999997</v>
      </c>
      <c r="G22" s="86">
        <v>0</v>
      </c>
      <c r="H22" s="29"/>
      <c r="I22" s="8"/>
      <c r="J22" s="8"/>
      <c r="K22" s="8"/>
    </row>
    <row r="23" spans="1:11" ht="15.75" hidden="1" customHeight="1">
      <c r="A23" s="36"/>
      <c r="B23" s="41" t="s">
        <v>113</v>
      </c>
      <c r="C23" s="55" t="s">
        <v>53</v>
      </c>
      <c r="D23" s="41" t="s">
        <v>109</v>
      </c>
      <c r="E23" s="36"/>
      <c r="F23" s="40">
        <v>47.34</v>
      </c>
      <c r="G23" s="86">
        <v>0</v>
      </c>
      <c r="H23" s="29"/>
      <c r="I23" s="8"/>
      <c r="J23" s="8"/>
      <c r="K23" s="8"/>
    </row>
    <row r="24" spans="1:11" ht="15.75" hidden="1" customHeight="1">
      <c r="A24" s="36">
        <v>6</v>
      </c>
      <c r="B24" s="41" t="s">
        <v>114</v>
      </c>
      <c r="C24" s="55" t="s">
        <v>53</v>
      </c>
      <c r="D24" s="41" t="s">
        <v>54</v>
      </c>
      <c r="E24" s="36"/>
      <c r="F24" s="40">
        <v>416.62</v>
      </c>
      <c r="G24" s="86">
        <v>0</v>
      </c>
      <c r="H24" s="29"/>
      <c r="I24" s="8"/>
      <c r="J24" s="8"/>
      <c r="K24" s="8"/>
    </row>
    <row r="25" spans="1:11" ht="15.75" hidden="1" customHeight="1">
      <c r="A25" s="36"/>
      <c r="B25" s="41" t="s">
        <v>115</v>
      </c>
      <c r="C25" s="55" t="s">
        <v>53</v>
      </c>
      <c r="D25" s="41" t="s">
        <v>54</v>
      </c>
      <c r="E25" s="36"/>
      <c r="F25" s="40">
        <v>556.74</v>
      </c>
      <c r="G25" s="86">
        <v>0</v>
      </c>
      <c r="H25" s="29"/>
      <c r="I25" s="8"/>
      <c r="J25" s="8"/>
      <c r="K25" s="8"/>
    </row>
    <row r="26" spans="1:11" ht="15.75" hidden="1" customHeight="1">
      <c r="A26" s="36"/>
      <c r="B26" s="41" t="s">
        <v>140</v>
      </c>
      <c r="C26" s="55" t="s">
        <v>53</v>
      </c>
      <c r="D26" s="41" t="s">
        <v>54</v>
      </c>
      <c r="E26" s="36"/>
      <c r="F26" s="40">
        <v>231.03</v>
      </c>
      <c r="G26" s="86">
        <v>0</v>
      </c>
      <c r="H26" s="29"/>
      <c r="I26" s="8"/>
      <c r="J26" s="8"/>
      <c r="K26" s="8"/>
    </row>
    <row r="27" spans="1:11" ht="16.5" customHeight="1">
      <c r="A27" s="56">
        <v>5</v>
      </c>
      <c r="B27" s="41" t="s">
        <v>66</v>
      </c>
      <c r="C27" s="55" t="s">
        <v>33</v>
      </c>
      <c r="D27" s="41" t="s">
        <v>136</v>
      </c>
      <c r="E27" s="22">
        <v>506.1</v>
      </c>
      <c r="F27" s="40">
        <v>157.18</v>
      </c>
      <c r="G27" s="86">
        <v>478.09</v>
      </c>
      <c r="H27" s="29"/>
      <c r="I27" s="8"/>
      <c r="J27" s="8"/>
      <c r="K27" s="8"/>
    </row>
    <row r="28" spans="1:11" ht="15" customHeight="1">
      <c r="A28" s="56">
        <v>6</v>
      </c>
      <c r="B28" s="13" t="s">
        <v>23</v>
      </c>
      <c r="C28" s="14" t="s">
        <v>24</v>
      </c>
      <c r="D28" s="36"/>
      <c r="E28" s="22">
        <v>506.1</v>
      </c>
      <c r="F28" s="40">
        <v>4.72</v>
      </c>
      <c r="G28" s="86">
        <v>22333.62</v>
      </c>
      <c r="H28" s="29"/>
      <c r="I28" s="8"/>
      <c r="J28" s="8"/>
      <c r="K28" s="8"/>
    </row>
    <row r="29" spans="1:11" ht="15" customHeight="1">
      <c r="A29" s="173" t="s">
        <v>93</v>
      </c>
      <c r="B29" s="173"/>
      <c r="C29" s="173"/>
      <c r="D29" s="173"/>
      <c r="E29" s="173"/>
      <c r="F29" s="173"/>
      <c r="G29" s="173"/>
      <c r="H29" s="29"/>
      <c r="I29" s="8"/>
      <c r="J29" s="8"/>
      <c r="K29" s="8"/>
    </row>
    <row r="30" spans="1:11" ht="13.5" hidden="1" customHeight="1">
      <c r="A30" s="56"/>
      <c r="B30" s="66" t="s">
        <v>28</v>
      </c>
      <c r="C30" s="66"/>
      <c r="D30" s="66"/>
      <c r="E30" s="66"/>
      <c r="F30" s="66"/>
      <c r="G30" s="23"/>
      <c r="H30" s="29"/>
      <c r="I30" s="8"/>
      <c r="J30" s="8"/>
      <c r="K30" s="8"/>
    </row>
    <row r="31" spans="1:11" ht="31.5" hidden="1" customHeight="1">
      <c r="A31" s="56">
        <v>2</v>
      </c>
      <c r="B31" s="41" t="s">
        <v>119</v>
      </c>
      <c r="C31" s="55" t="s">
        <v>102</v>
      </c>
      <c r="D31" s="41" t="s">
        <v>116</v>
      </c>
      <c r="E31" s="17">
        <v>2.31</v>
      </c>
      <c r="F31" s="40">
        <v>166.65</v>
      </c>
      <c r="G31" s="16">
        <v>0</v>
      </c>
      <c r="H31" s="29"/>
      <c r="I31" s="8"/>
      <c r="J31" s="8"/>
      <c r="K31" s="8"/>
    </row>
    <row r="32" spans="1:11" ht="31.5" hidden="1" customHeight="1">
      <c r="A32" s="56">
        <v>3</v>
      </c>
      <c r="B32" s="41" t="s">
        <v>137</v>
      </c>
      <c r="C32" s="55" t="s">
        <v>102</v>
      </c>
      <c r="D32" s="41" t="s">
        <v>117</v>
      </c>
      <c r="E32" s="16">
        <f>0.0024*3*4.5</f>
        <v>3.2399999999999998E-2</v>
      </c>
      <c r="F32" s="40">
        <v>276.48</v>
      </c>
      <c r="G32" s="23">
        <v>0</v>
      </c>
      <c r="H32" s="29"/>
      <c r="I32" s="8"/>
      <c r="J32" s="8"/>
      <c r="K32" s="8"/>
    </row>
    <row r="33" spans="1:12" ht="15" hidden="1" customHeight="1">
      <c r="A33" s="56">
        <v>4</v>
      </c>
      <c r="B33" s="41" t="s">
        <v>27</v>
      </c>
      <c r="C33" s="55" t="s">
        <v>102</v>
      </c>
      <c r="D33" s="41" t="s">
        <v>54</v>
      </c>
      <c r="E33" s="21">
        <v>0</v>
      </c>
      <c r="F33" s="40">
        <v>3228.73</v>
      </c>
      <c r="G33" s="23">
        <v>0</v>
      </c>
      <c r="H33" s="29"/>
      <c r="I33" s="8"/>
    </row>
    <row r="34" spans="1:12" ht="15.75" hidden="1" customHeight="1">
      <c r="A34" s="56"/>
      <c r="B34" s="41" t="s">
        <v>154</v>
      </c>
      <c r="C34" s="55" t="s">
        <v>39</v>
      </c>
      <c r="D34" s="41" t="s">
        <v>65</v>
      </c>
      <c r="E34" s="21"/>
      <c r="F34" s="40">
        <v>1391.86</v>
      </c>
      <c r="G34" s="23">
        <v>0</v>
      </c>
      <c r="H34" s="30"/>
    </row>
    <row r="35" spans="1:12" ht="15.75" hidden="1" customHeight="1">
      <c r="A35" s="56">
        <v>4</v>
      </c>
      <c r="B35" s="41" t="s">
        <v>118</v>
      </c>
      <c r="C35" s="55" t="s">
        <v>31</v>
      </c>
      <c r="D35" s="41" t="s">
        <v>65</v>
      </c>
      <c r="E35" s="16">
        <v>3.75</v>
      </c>
      <c r="F35" s="40">
        <v>60.6</v>
      </c>
      <c r="G35" s="16">
        <v>0</v>
      </c>
      <c r="H35" s="30"/>
    </row>
    <row r="36" spans="1:12" ht="15.75" hidden="1" customHeight="1">
      <c r="A36" s="56"/>
      <c r="B36" s="41" t="s">
        <v>67</v>
      </c>
      <c r="C36" s="55" t="s">
        <v>33</v>
      </c>
      <c r="D36" s="41" t="s">
        <v>69</v>
      </c>
      <c r="E36" s="16"/>
      <c r="F36" s="40">
        <v>204.52</v>
      </c>
      <c r="G36" s="16">
        <v>0</v>
      </c>
      <c r="H36" s="30"/>
    </row>
    <row r="37" spans="1:12" ht="15.75" hidden="1" customHeight="1">
      <c r="A37" s="36">
        <v>8</v>
      </c>
      <c r="B37" s="41" t="s">
        <v>68</v>
      </c>
      <c r="C37" s="55" t="s">
        <v>32</v>
      </c>
      <c r="D37" s="41" t="s">
        <v>69</v>
      </c>
      <c r="E37" s="16"/>
      <c r="F37" s="40">
        <v>1214.73</v>
      </c>
      <c r="G37" s="16">
        <v>0</v>
      </c>
      <c r="H37" s="30"/>
    </row>
    <row r="38" spans="1:12" ht="15.75" customHeight="1">
      <c r="A38" s="56"/>
      <c r="B38" s="64" t="s">
        <v>5</v>
      </c>
      <c r="C38" s="64"/>
      <c r="D38" s="64"/>
      <c r="E38" s="16"/>
      <c r="F38" s="17"/>
      <c r="G38" s="23"/>
      <c r="H38" s="30"/>
    </row>
    <row r="39" spans="1:12" ht="15.75" customHeight="1">
      <c r="A39" s="42">
        <v>7</v>
      </c>
      <c r="B39" s="43" t="s">
        <v>26</v>
      </c>
      <c r="C39" s="55" t="s">
        <v>32</v>
      </c>
      <c r="D39" s="41"/>
      <c r="E39" s="16">
        <v>0</v>
      </c>
      <c r="F39" s="40">
        <v>1632.6</v>
      </c>
      <c r="G39" s="16">
        <v>1360.5</v>
      </c>
      <c r="H39" s="30"/>
    </row>
    <row r="40" spans="1:12" ht="15.75" customHeight="1">
      <c r="A40" s="42">
        <v>8</v>
      </c>
      <c r="B40" s="43" t="s">
        <v>120</v>
      </c>
      <c r="C40" s="79" t="s">
        <v>29</v>
      </c>
      <c r="D40" s="41" t="s">
        <v>146</v>
      </c>
      <c r="E40" s="16">
        <v>0</v>
      </c>
      <c r="F40" s="40">
        <v>2247.8000000000002</v>
      </c>
      <c r="G40" s="16">
        <v>2566.7600000000002</v>
      </c>
      <c r="H40" s="30"/>
    </row>
    <row r="41" spans="1:12" ht="15.75" hidden="1" customHeight="1">
      <c r="A41" s="42">
        <v>11</v>
      </c>
      <c r="B41" s="41" t="s">
        <v>144</v>
      </c>
      <c r="C41" s="55" t="s">
        <v>145</v>
      </c>
      <c r="D41" s="41" t="s">
        <v>69</v>
      </c>
      <c r="E41" s="16">
        <v>0</v>
      </c>
      <c r="F41" s="40">
        <v>213.2</v>
      </c>
      <c r="G41" s="16">
        <v>0</v>
      </c>
      <c r="H41" s="30"/>
      <c r="J41" s="25"/>
      <c r="K41" s="26"/>
      <c r="L41" s="27"/>
    </row>
    <row r="42" spans="1:12" ht="15.75" customHeight="1">
      <c r="A42" s="42">
        <v>9</v>
      </c>
      <c r="B42" s="41" t="s">
        <v>70</v>
      </c>
      <c r="C42" s="55" t="s">
        <v>29</v>
      </c>
      <c r="D42" s="41" t="s">
        <v>101</v>
      </c>
      <c r="E42" s="16">
        <v>0</v>
      </c>
      <c r="F42" s="40">
        <v>374.95</v>
      </c>
      <c r="G42" s="16">
        <v>2263.7600000000002</v>
      </c>
      <c r="H42" s="30"/>
      <c r="J42" s="25"/>
      <c r="K42" s="26"/>
      <c r="L42" s="27"/>
    </row>
    <row r="43" spans="1:12" ht="47.25" customHeight="1">
      <c r="A43" s="42">
        <v>10</v>
      </c>
      <c r="B43" s="41" t="s">
        <v>88</v>
      </c>
      <c r="C43" s="55" t="s">
        <v>102</v>
      </c>
      <c r="D43" s="41" t="s">
        <v>147</v>
      </c>
      <c r="E43" s="16"/>
      <c r="F43" s="40">
        <v>6203.7</v>
      </c>
      <c r="G43" s="16">
        <v>1968.64</v>
      </c>
      <c r="H43" s="30"/>
      <c r="J43" s="25"/>
      <c r="K43" s="26"/>
      <c r="L43" s="27"/>
    </row>
    <row r="44" spans="1:12" ht="15.75" customHeight="1">
      <c r="A44" s="42">
        <v>11</v>
      </c>
      <c r="B44" s="41" t="s">
        <v>103</v>
      </c>
      <c r="C44" s="55" t="s">
        <v>102</v>
      </c>
      <c r="D44" s="41" t="s">
        <v>71</v>
      </c>
      <c r="E44" s="16"/>
      <c r="F44" s="40">
        <v>458.28</v>
      </c>
      <c r="G44" s="16">
        <v>784.96</v>
      </c>
      <c r="H44" s="30"/>
      <c r="J44" s="25"/>
      <c r="K44" s="26"/>
      <c r="L44" s="27"/>
    </row>
    <row r="45" spans="1:12" ht="15.75" customHeight="1">
      <c r="A45" s="42">
        <v>12</v>
      </c>
      <c r="B45" s="43" t="s">
        <v>72</v>
      </c>
      <c r="C45" s="79" t="s">
        <v>33</v>
      </c>
      <c r="D45" s="43"/>
      <c r="E45" s="16"/>
      <c r="F45" s="44">
        <v>853.06</v>
      </c>
      <c r="G45" s="16">
        <v>255.92</v>
      </c>
      <c r="H45" s="30"/>
      <c r="J45" s="25"/>
      <c r="K45" s="26"/>
      <c r="L45" s="27"/>
    </row>
    <row r="46" spans="1:12" ht="15" customHeight="1">
      <c r="A46" s="174" t="s">
        <v>177</v>
      </c>
      <c r="B46" s="175"/>
      <c r="C46" s="175"/>
      <c r="D46" s="175"/>
      <c r="E46" s="175"/>
      <c r="F46" s="175"/>
      <c r="G46" s="176"/>
      <c r="H46" s="30"/>
      <c r="J46" s="25"/>
      <c r="K46" s="26"/>
      <c r="L46" s="27"/>
    </row>
    <row r="47" spans="1:12" ht="15.75" hidden="1" customHeight="1">
      <c r="A47" s="56">
        <v>15</v>
      </c>
      <c r="B47" s="41" t="s">
        <v>148</v>
      </c>
      <c r="C47" s="55" t="s">
        <v>102</v>
      </c>
      <c r="D47" s="41" t="s">
        <v>41</v>
      </c>
      <c r="E47" s="23">
        <v>0.42</v>
      </c>
      <c r="F47" s="46">
        <v>908.11</v>
      </c>
      <c r="G47" s="24">
        <v>0</v>
      </c>
      <c r="H47" s="30"/>
      <c r="J47" s="25"/>
      <c r="K47" s="26"/>
      <c r="L47" s="27"/>
    </row>
    <row r="48" spans="1:12" ht="15.75" hidden="1" customHeight="1">
      <c r="A48" s="56">
        <v>16</v>
      </c>
      <c r="B48" s="41" t="s">
        <v>34</v>
      </c>
      <c r="C48" s="55" t="s">
        <v>102</v>
      </c>
      <c r="D48" s="41" t="s">
        <v>41</v>
      </c>
      <c r="E48" s="23">
        <v>1.35</v>
      </c>
      <c r="F48" s="46">
        <v>619.46</v>
      </c>
      <c r="G48" s="24">
        <v>0</v>
      </c>
      <c r="H48" s="30"/>
      <c r="J48" s="25"/>
      <c r="K48" s="26"/>
      <c r="L48" s="27"/>
    </row>
    <row r="49" spans="1:12" ht="15.75" hidden="1" customHeight="1">
      <c r="A49" s="56">
        <v>17</v>
      </c>
      <c r="B49" s="41" t="s">
        <v>35</v>
      </c>
      <c r="C49" s="55" t="s">
        <v>102</v>
      </c>
      <c r="D49" s="41" t="s">
        <v>41</v>
      </c>
      <c r="E49" s="23">
        <v>0.03</v>
      </c>
      <c r="F49" s="46">
        <v>619.46</v>
      </c>
      <c r="G49" s="24">
        <v>0</v>
      </c>
      <c r="H49" s="30"/>
      <c r="J49" s="25"/>
      <c r="K49" s="26"/>
      <c r="L49" s="27"/>
    </row>
    <row r="50" spans="1:12" ht="15.75" hidden="1" customHeight="1">
      <c r="A50" s="56">
        <v>18</v>
      </c>
      <c r="B50" s="41" t="s">
        <v>36</v>
      </c>
      <c r="C50" s="55" t="s">
        <v>102</v>
      </c>
      <c r="D50" s="41" t="s">
        <v>41</v>
      </c>
      <c r="E50" s="23">
        <v>0.33</v>
      </c>
      <c r="F50" s="46">
        <v>648.64</v>
      </c>
      <c r="G50" s="24">
        <v>0</v>
      </c>
      <c r="H50" s="30"/>
      <c r="J50" s="25"/>
      <c r="K50" s="26"/>
      <c r="L50" s="27"/>
    </row>
    <row r="51" spans="1:12" ht="31.5" customHeight="1">
      <c r="A51" s="56">
        <v>13</v>
      </c>
      <c r="B51" s="41" t="s">
        <v>57</v>
      </c>
      <c r="C51" s="55" t="s">
        <v>102</v>
      </c>
      <c r="D51" s="41" t="s">
        <v>121</v>
      </c>
      <c r="E51" s="23">
        <v>0.22</v>
      </c>
      <c r="F51" s="46">
        <v>1297.28</v>
      </c>
      <c r="G51" s="24">
        <v>3427.15</v>
      </c>
      <c r="H51" s="30"/>
      <c r="J51" s="25"/>
      <c r="K51" s="26"/>
      <c r="L51" s="27"/>
    </row>
    <row r="52" spans="1:12" ht="31.5" hidden="1" customHeight="1">
      <c r="A52" s="56">
        <v>14</v>
      </c>
      <c r="B52" s="41" t="s">
        <v>104</v>
      </c>
      <c r="C52" s="55" t="s">
        <v>102</v>
      </c>
      <c r="D52" s="41" t="s">
        <v>41</v>
      </c>
      <c r="E52" s="23">
        <v>0.02</v>
      </c>
      <c r="F52" s="46">
        <v>1297.28</v>
      </c>
      <c r="G52" s="24">
        <v>0</v>
      </c>
      <c r="H52" s="30"/>
      <c r="J52" s="25"/>
      <c r="K52" s="26"/>
      <c r="L52" s="27"/>
    </row>
    <row r="53" spans="1:12" ht="31.5" hidden="1" customHeight="1">
      <c r="A53" s="56">
        <v>15</v>
      </c>
      <c r="B53" s="41" t="s">
        <v>105</v>
      </c>
      <c r="C53" s="55" t="s">
        <v>37</v>
      </c>
      <c r="D53" s="41" t="s">
        <v>41</v>
      </c>
      <c r="E53" s="23">
        <v>0.01</v>
      </c>
      <c r="F53" s="46">
        <v>2918.89</v>
      </c>
      <c r="G53" s="24">
        <v>0</v>
      </c>
      <c r="H53" s="30"/>
      <c r="J53" s="25"/>
      <c r="K53" s="26"/>
      <c r="L53" s="27"/>
    </row>
    <row r="54" spans="1:12" ht="15.75" hidden="1" customHeight="1">
      <c r="A54" s="56">
        <v>23</v>
      </c>
      <c r="B54" s="41" t="s">
        <v>38</v>
      </c>
      <c r="C54" s="55" t="s">
        <v>39</v>
      </c>
      <c r="D54" s="41" t="s">
        <v>41</v>
      </c>
      <c r="E54" s="23">
        <v>8</v>
      </c>
      <c r="F54" s="46">
        <v>6042.12</v>
      </c>
      <c r="G54" s="16">
        <v>0</v>
      </c>
      <c r="H54" s="30"/>
      <c r="J54" s="25"/>
      <c r="K54" s="26"/>
      <c r="L54" s="27"/>
    </row>
    <row r="55" spans="1:12" ht="15.75" hidden="1" customHeight="1">
      <c r="A55" s="56">
        <v>24</v>
      </c>
      <c r="B55" s="41" t="s">
        <v>40</v>
      </c>
      <c r="C55" s="55" t="s">
        <v>122</v>
      </c>
      <c r="D55" s="41" t="s">
        <v>73</v>
      </c>
      <c r="E55" s="23">
        <v>16</v>
      </c>
      <c r="F55" s="47">
        <v>70.209999999999994</v>
      </c>
      <c r="G55" s="16">
        <v>0</v>
      </c>
      <c r="H55" s="30"/>
      <c r="J55" s="25"/>
      <c r="K55" s="26"/>
      <c r="L55" s="27"/>
    </row>
    <row r="56" spans="1:12" ht="15.75" customHeight="1">
      <c r="A56" s="174" t="s">
        <v>178</v>
      </c>
      <c r="B56" s="175"/>
      <c r="C56" s="175"/>
      <c r="D56" s="175"/>
      <c r="E56" s="175"/>
      <c r="F56" s="175"/>
      <c r="G56" s="176"/>
      <c r="H56" s="30"/>
      <c r="J56" s="25"/>
      <c r="K56" s="26"/>
      <c r="L56" s="27"/>
    </row>
    <row r="57" spans="1:12" ht="15.75" customHeight="1">
      <c r="A57" s="69"/>
      <c r="B57" s="63" t="s">
        <v>42</v>
      </c>
      <c r="C57" s="20"/>
      <c r="D57" s="19"/>
      <c r="E57" s="19"/>
      <c r="F57" s="36"/>
      <c r="G57" s="23"/>
      <c r="H57" s="30"/>
      <c r="J57" s="25"/>
      <c r="K57" s="26"/>
      <c r="L57" s="27"/>
    </row>
    <row r="58" spans="1:12" ht="31.5" customHeight="1">
      <c r="A58" s="91">
        <v>14</v>
      </c>
      <c r="B58" s="41" t="s">
        <v>149</v>
      </c>
      <c r="C58" s="55" t="s">
        <v>98</v>
      </c>
      <c r="D58" s="41" t="s">
        <v>123</v>
      </c>
      <c r="E58" s="92">
        <v>0</v>
      </c>
      <c r="F58" s="46">
        <v>1654.04</v>
      </c>
      <c r="G58" s="93">
        <v>2565.25</v>
      </c>
      <c r="H58" s="30"/>
      <c r="J58" s="25"/>
      <c r="K58" s="26"/>
      <c r="L58" s="27"/>
    </row>
    <row r="59" spans="1:12" ht="15.75" customHeight="1">
      <c r="A59" s="91">
        <v>15</v>
      </c>
      <c r="B59" s="41" t="s">
        <v>150</v>
      </c>
      <c r="C59" s="55" t="s">
        <v>98</v>
      </c>
      <c r="D59" s="41" t="s">
        <v>123</v>
      </c>
      <c r="E59" s="92"/>
      <c r="F59" s="46">
        <v>1654.04</v>
      </c>
      <c r="G59" s="93">
        <v>62.85</v>
      </c>
      <c r="H59" s="30"/>
      <c r="J59" s="25"/>
      <c r="K59" s="26"/>
      <c r="L59" s="27"/>
    </row>
    <row r="60" spans="1:12" ht="15.75" hidden="1" customHeight="1">
      <c r="A60" s="91">
        <v>17</v>
      </c>
      <c r="B60" s="89" t="s">
        <v>151</v>
      </c>
      <c r="C60" s="68" t="s">
        <v>152</v>
      </c>
      <c r="D60" s="89" t="s">
        <v>41</v>
      </c>
      <c r="E60" s="92"/>
      <c r="F60" s="46">
        <v>193.23</v>
      </c>
      <c r="G60" s="93">
        <v>0</v>
      </c>
      <c r="H60" s="30"/>
      <c r="J60" s="25"/>
      <c r="K60" s="26"/>
      <c r="L60" s="27"/>
    </row>
    <row r="61" spans="1:12" ht="15.75" hidden="1" customHeight="1">
      <c r="A61" s="91"/>
      <c r="B61" s="89" t="s">
        <v>138</v>
      </c>
      <c r="C61" s="68" t="s">
        <v>53</v>
      </c>
      <c r="D61" s="89" t="s">
        <v>54</v>
      </c>
      <c r="E61" s="92"/>
      <c r="F61" s="46">
        <v>505.2</v>
      </c>
      <c r="G61" s="93">
        <v>0</v>
      </c>
      <c r="H61" s="30"/>
      <c r="J61" s="25"/>
      <c r="K61" s="26"/>
      <c r="L61" s="27"/>
    </row>
    <row r="62" spans="1:12" ht="16.5" customHeight="1">
      <c r="A62" s="45"/>
      <c r="B62" s="105" t="s">
        <v>43</v>
      </c>
      <c r="C62" s="99"/>
      <c r="D62" s="99"/>
      <c r="E62" s="99"/>
      <c r="F62" s="99"/>
      <c r="G62" s="99"/>
      <c r="H62" s="30"/>
      <c r="J62" s="25"/>
      <c r="K62" s="26"/>
      <c r="L62" s="27"/>
    </row>
    <row r="63" spans="1:12" ht="15" hidden="1" customHeight="1">
      <c r="A63" s="94">
        <v>27</v>
      </c>
      <c r="B63" s="95" t="s">
        <v>44</v>
      </c>
      <c r="C63" s="96" t="s">
        <v>53</v>
      </c>
      <c r="D63" s="95" t="s">
        <v>54</v>
      </c>
      <c r="E63" s="97">
        <v>0</v>
      </c>
      <c r="F63" s="46">
        <v>848.37</v>
      </c>
      <c r="G63" s="98">
        <f>E63/2</f>
        <v>0</v>
      </c>
      <c r="H63" s="30"/>
      <c r="J63" s="25"/>
      <c r="K63" s="26"/>
      <c r="L63" s="27"/>
    </row>
    <row r="64" spans="1:12" ht="15" customHeight="1">
      <c r="A64" s="56">
        <v>16</v>
      </c>
      <c r="B64" s="89" t="s">
        <v>139</v>
      </c>
      <c r="C64" s="68" t="s">
        <v>25</v>
      </c>
      <c r="D64" s="89" t="s">
        <v>30</v>
      </c>
      <c r="E64" s="23"/>
      <c r="F64" s="90">
        <v>2.6</v>
      </c>
      <c r="G64" s="24">
        <v>618.79999999999995</v>
      </c>
      <c r="H64" s="30"/>
      <c r="J64" s="25"/>
    </row>
    <row r="65" spans="1:20" ht="15" hidden="1" customHeight="1">
      <c r="A65" s="56"/>
      <c r="B65" s="105" t="s">
        <v>45</v>
      </c>
      <c r="C65" s="20"/>
      <c r="D65" s="19"/>
      <c r="E65" s="19"/>
      <c r="F65" s="36"/>
      <c r="G65" s="23"/>
    </row>
    <row r="66" spans="1:20" ht="15" hidden="1" customHeight="1">
      <c r="A66" s="56">
        <v>17</v>
      </c>
      <c r="B66" s="82" t="s">
        <v>46</v>
      </c>
      <c r="C66" s="51" t="s">
        <v>122</v>
      </c>
      <c r="D66" s="50" t="s">
        <v>69</v>
      </c>
      <c r="E66" s="23">
        <v>0</v>
      </c>
      <c r="F66" s="46">
        <v>237.74</v>
      </c>
      <c r="G66" s="24">
        <v>475.48</v>
      </c>
    </row>
    <row r="67" spans="1:20" ht="15" hidden="1" customHeight="1">
      <c r="A67" s="36">
        <v>29</v>
      </c>
      <c r="B67" s="82" t="s">
        <v>47</v>
      </c>
      <c r="C67" s="51" t="s">
        <v>122</v>
      </c>
      <c r="D67" s="50" t="s">
        <v>69</v>
      </c>
      <c r="E67" s="23">
        <v>0</v>
      </c>
      <c r="F67" s="46">
        <v>81.510000000000005</v>
      </c>
      <c r="G67" s="24">
        <v>0</v>
      </c>
    </row>
    <row r="68" spans="1:20" ht="15.75" hidden="1" customHeight="1">
      <c r="A68" s="36">
        <v>8</v>
      </c>
      <c r="B68" s="82" t="s">
        <v>48</v>
      </c>
      <c r="C68" s="53" t="s">
        <v>124</v>
      </c>
      <c r="D68" s="50" t="s">
        <v>54</v>
      </c>
      <c r="E68" s="23">
        <v>13.47</v>
      </c>
      <c r="F68" s="46">
        <v>226.79</v>
      </c>
      <c r="G68" s="23">
        <v>0</v>
      </c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9"/>
    </row>
    <row r="69" spans="1:20" ht="15.75" hidden="1" customHeight="1">
      <c r="A69" s="36">
        <v>9</v>
      </c>
      <c r="B69" s="82" t="s">
        <v>49</v>
      </c>
      <c r="C69" s="51" t="s">
        <v>125</v>
      </c>
      <c r="D69" s="50"/>
      <c r="E69" s="23">
        <v>1.35</v>
      </c>
      <c r="F69" s="46">
        <v>176.61</v>
      </c>
      <c r="G69" s="23">
        <v>0</v>
      </c>
      <c r="H69" s="32"/>
      <c r="I69" s="32"/>
      <c r="J69" s="3"/>
      <c r="K69" s="3"/>
      <c r="L69" s="3"/>
      <c r="M69" s="3"/>
      <c r="N69" s="3"/>
      <c r="O69" s="3"/>
      <c r="P69" s="3"/>
      <c r="Q69" s="3"/>
      <c r="R69" s="3"/>
      <c r="S69" s="3"/>
    </row>
    <row r="70" spans="1:20" ht="15.75" hidden="1" customHeight="1">
      <c r="A70" s="36">
        <v>10</v>
      </c>
      <c r="B70" s="82" t="s">
        <v>50</v>
      </c>
      <c r="C70" s="51" t="s">
        <v>79</v>
      </c>
      <c r="D70" s="50" t="s">
        <v>54</v>
      </c>
      <c r="E70" s="23">
        <v>0</v>
      </c>
      <c r="F70" s="46">
        <v>2217.7800000000002</v>
      </c>
      <c r="G70" s="23">
        <v>0</v>
      </c>
      <c r="H70" s="3"/>
      <c r="I70" s="3"/>
      <c r="J70" s="3"/>
      <c r="K70" s="3"/>
      <c r="L70" s="3"/>
      <c r="M70" s="3"/>
      <c r="N70" s="3"/>
      <c r="O70" s="3"/>
      <c r="Q70" s="3"/>
      <c r="R70" s="3"/>
      <c r="S70" s="3"/>
    </row>
    <row r="71" spans="1:20" ht="15.75" hidden="1" customHeight="1">
      <c r="A71" s="36">
        <v>11</v>
      </c>
      <c r="B71" s="70" t="s">
        <v>126</v>
      </c>
      <c r="C71" s="51" t="s">
        <v>33</v>
      </c>
      <c r="D71" s="50"/>
      <c r="E71" s="15">
        <v>0</v>
      </c>
      <c r="F71" s="46">
        <v>42.67</v>
      </c>
      <c r="G71" s="23">
        <v>0</v>
      </c>
      <c r="H71" s="5"/>
      <c r="I71" s="5"/>
      <c r="J71" s="5"/>
      <c r="K71" s="5"/>
      <c r="L71" s="5"/>
      <c r="M71" s="5"/>
      <c r="N71" s="5"/>
      <c r="O71" s="5"/>
      <c r="P71" s="167"/>
      <c r="Q71" s="167"/>
      <c r="R71" s="167"/>
      <c r="S71" s="167"/>
    </row>
    <row r="72" spans="1:20" ht="15.75" hidden="1" customHeight="1">
      <c r="A72" s="36">
        <v>12</v>
      </c>
      <c r="B72" s="70" t="s">
        <v>127</v>
      </c>
      <c r="C72" s="51" t="s">
        <v>33</v>
      </c>
      <c r="D72" s="50"/>
      <c r="E72" s="15"/>
      <c r="F72" s="46">
        <v>39.81</v>
      </c>
      <c r="G72" s="23">
        <v>0</v>
      </c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</row>
    <row r="73" spans="1:20" ht="15.75" hidden="1" customHeight="1">
      <c r="A73" s="36">
        <v>13</v>
      </c>
      <c r="B73" s="50" t="s">
        <v>58</v>
      </c>
      <c r="C73" s="51" t="s">
        <v>59</v>
      </c>
      <c r="D73" s="50" t="s">
        <v>54</v>
      </c>
      <c r="E73" s="15"/>
      <c r="F73" s="46">
        <v>53.32</v>
      </c>
      <c r="G73" s="23">
        <v>0</v>
      </c>
    </row>
    <row r="74" spans="1:20" ht="15" customHeight="1">
      <c r="A74" s="69"/>
      <c r="B74" s="119" t="s">
        <v>106</v>
      </c>
      <c r="C74" s="119"/>
      <c r="D74" s="119"/>
      <c r="E74" s="119"/>
      <c r="F74" s="119"/>
      <c r="G74" s="23"/>
    </row>
    <row r="75" spans="1:20" ht="15.75" customHeight="1">
      <c r="A75" s="36">
        <v>17</v>
      </c>
      <c r="B75" s="131" t="s">
        <v>128</v>
      </c>
      <c r="C75" s="132"/>
      <c r="D75" s="133" t="s">
        <v>54</v>
      </c>
      <c r="E75" s="97">
        <v>0</v>
      </c>
      <c r="F75" s="134">
        <v>17869</v>
      </c>
      <c r="G75" s="23">
        <v>17869</v>
      </c>
    </row>
    <row r="76" spans="1:20" ht="15" hidden="1" customHeight="1">
      <c r="A76" s="36"/>
      <c r="B76" s="64" t="s">
        <v>74</v>
      </c>
      <c r="C76" s="64"/>
      <c r="D76" s="64"/>
      <c r="E76" s="23"/>
      <c r="F76" s="36"/>
      <c r="G76" s="23"/>
    </row>
    <row r="77" spans="1:20" ht="15" hidden="1" customHeight="1">
      <c r="A77" s="36">
        <v>18</v>
      </c>
      <c r="B77" s="50" t="s">
        <v>75</v>
      </c>
      <c r="C77" s="51" t="s">
        <v>77</v>
      </c>
      <c r="D77" s="50" t="s">
        <v>69</v>
      </c>
      <c r="E77" s="23"/>
      <c r="F77" s="46">
        <v>536.23</v>
      </c>
      <c r="G77" s="23">
        <v>0</v>
      </c>
    </row>
    <row r="78" spans="1:20" ht="15" hidden="1" customHeight="1">
      <c r="A78" s="36"/>
      <c r="B78" s="50" t="s">
        <v>76</v>
      </c>
      <c r="C78" s="51" t="s">
        <v>31</v>
      </c>
      <c r="D78" s="50" t="s">
        <v>69</v>
      </c>
      <c r="E78" s="23"/>
      <c r="F78" s="46">
        <v>911.85</v>
      </c>
      <c r="G78" s="23">
        <v>0</v>
      </c>
    </row>
    <row r="79" spans="1:20" ht="15.75" hidden="1" customHeight="1">
      <c r="A79" s="36">
        <v>38</v>
      </c>
      <c r="B79" s="50" t="s">
        <v>129</v>
      </c>
      <c r="C79" s="51" t="s">
        <v>31</v>
      </c>
      <c r="D79" s="50" t="s">
        <v>69</v>
      </c>
      <c r="E79" s="23"/>
      <c r="F79" s="46">
        <v>383.25</v>
      </c>
      <c r="G79" s="23">
        <v>0</v>
      </c>
    </row>
    <row r="80" spans="1:20" ht="15" hidden="1" customHeight="1">
      <c r="A80" s="36"/>
      <c r="B80" s="65" t="s">
        <v>78</v>
      </c>
      <c r="C80" s="51"/>
      <c r="D80" s="36"/>
      <c r="E80" s="23"/>
      <c r="F80" s="46" t="s">
        <v>153</v>
      </c>
      <c r="G80" s="23"/>
    </row>
    <row r="81" spans="1:7" ht="15" hidden="1" customHeight="1">
      <c r="A81" s="36">
        <v>39</v>
      </c>
      <c r="B81" s="52" t="s">
        <v>141</v>
      </c>
      <c r="C81" s="53" t="s">
        <v>79</v>
      </c>
      <c r="D81" s="82"/>
      <c r="E81" s="23"/>
      <c r="F81" s="47">
        <v>2949.85</v>
      </c>
      <c r="G81" s="23">
        <v>0</v>
      </c>
    </row>
    <row r="82" spans="1:7" ht="15.75" customHeight="1">
      <c r="A82" s="177" t="s">
        <v>179</v>
      </c>
      <c r="B82" s="178"/>
      <c r="C82" s="178"/>
      <c r="D82" s="178"/>
      <c r="E82" s="178"/>
      <c r="F82" s="178"/>
      <c r="G82" s="179"/>
    </row>
    <row r="83" spans="1:7">
      <c r="A83" s="36">
        <v>18</v>
      </c>
      <c r="B83" s="41" t="s">
        <v>130</v>
      </c>
      <c r="C83" s="51" t="s">
        <v>55</v>
      </c>
      <c r="D83" s="84" t="s">
        <v>56</v>
      </c>
      <c r="E83" s="19">
        <v>327.9</v>
      </c>
      <c r="F83" s="46">
        <v>2.54</v>
      </c>
      <c r="G83" s="16">
        <v>12018.52</v>
      </c>
    </row>
    <row r="84" spans="1:7" ht="30">
      <c r="A84" s="36">
        <v>19</v>
      </c>
      <c r="B84" s="50" t="s">
        <v>80</v>
      </c>
      <c r="C84" s="51"/>
      <c r="D84" s="84" t="s">
        <v>56</v>
      </c>
      <c r="E84" s="19"/>
      <c r="F84" s="46">
        <v>3.05</v>
      </c>
      <c r="G84" s="16">
        <v>14431.69</v>
      </c>
    </row>
    <row r="85" spans="1:7">
      <c r="A85" s="69"/>
      <c r="B85" s="54" t="s">
        <v>84</v>
      </c>
      <c r="C85" s="56"/>
      <c r="D85" s="19"/>
      <c r="E85" s="19"/>
      <c r="F85" s="23"/>
      <c r="G85" s="39">
        <f>SUM(G16+G17+G18+G20+G27+G28+G39+G40+G42+G43+G44+G45+G51+G58+G59+G64+G75+G83+G84)</f>
        <v>103644.23000000001</v>
      </c>
    </row>
    <row r="86" spans="1:7" ht="15.75" customHeight="1">
      <c r="A86" s="69"/>
      <c r="B86" s="80" t="s">
        <v>61</v>
      </c>
      <c r="C86" s="80"/>
      <c r="D86" s="80"/>
      <c r="E86" s="80"/>
      <c r="F86" s="80"/>
      <c r="G86" s="80"/>
    </row>
    <row r="87" spans="1:7" ht="31.5" customHeight="1">
      <c r="A87" s="36">
        <v>20</v>
      </c>
      <c r="B87" s="87" t="s">
        <v>163</v>
      </c>
      <c r="C87" s="88" t="s">
        <v>164</v>
      </c>
      <c r="D87" s="80"/>
      <c r="E87" s="80"/>
      <c r="F87" s="36">
        <v>1063.47</v>
      </c>
      <c r="G87" s="86">
        <v>2544</v>
      </c>
    </row>
    <row r="88" spans="1:7" ht="31.5" customHeight="1">
      <c r="A88" s="36">
        <v>21</v>
      </c>
      <c r="B88" s="87" t="s">
        <v>168</v>
      </c>
      <c r="C88" s="88" t="s">
        <v>164</v>
      </c>
      <c r="D88" s="80"/>
      <c r="E88" s="80"/>
      <c r="F88" s="86">
        <v>1187</v>
      </c>
      <c r="G88" s="86">
        <v>2296</v>
      </c>
    </row>
    <row r="89" spans="1:7" ht="31.5" customHeight="1">
      <c r="A89" s="36">
        <v>22</v>
      </c>
      <c r="B89" s="81" t="s">
        <v>167</v>
      </c>
      <c r="C89" s="107" t="s">
        <v>166</v>
      </c>
      <c r="D89" s="80"/>
      <c r="E89" s="80"/>
      <c r="F89" s="16">
        <v>762.37</v>
      </c>
      <c r="G89" s="86">
        <v>762.37</v>
      </c>
    </row>
    <row r="90" spans="1:7" ht="31.5" customHeight="1">
      <c r="A90" s="36">
        <v>23</v>
      </c>
      <c r="B90" s="81" t="s">
        <v>165</v>
      </c>
      <c r="C90" s="107" t="s">
        <v>166</v>
      </c>
      <c r="D90" s="80"/>
      <c r="E90" s="80"/>
      <c r="F90" s="16">
        <v>559.62</v>
      </c>
      <c r="G90" s="86">
        <v>1119.24</v>
      </c>
    </row>
    <row r="91" spans="1:7" ht="15.75" customHeight="1">
      <c r="A91" s="36">
        <v>24</v>
      </c>
      <c r="B91" s="112" t="s">
        <v>86</v>
      </c>
      <c r="C91" s="100" t="s">
        <v>122</v>
      </c>
      <c r="D91" s="80"/>
      <c r="E91" s="19"/>
      <c r="F91" s="46">
        <v>180.15</v>
      </c>
      <c r="G91" s="16">
        <v>1080.9000000000001</v>
      </c>
    </row>
    <row r="92" spans="1:7" ht="15.75" customHeight="1">
      <c r="A92" s="36">
        <v>25</v>
      </c>
      <c r="B92" s="113" t="s">
        <v>160</v>
      </c>
      <c r="C92" s="88" t="s">
        <v>89</v>
      </c>
      <c r="D92" s="80"/>
      <c r="E92" s="19"/>
      <c r="F92" s="46">
        <v>185.81</v>
      </c>
      <c r="G92" s="16">
        <v>185.81</v>
      </c>
    </row>
    <row r="93" spans="1:7" ht="15.75" customHeight="1">
      <c r="A93" s="36">
        <v>26</v>
      </c>
      <c r="B93" s="112" t="s">
        <v>158</v>
      </c>
      <c r="C93" s="107" t="s">
        <v>122</v>
      </c>
      <c r="D93" s="80"/>
      <c r="E93" s="19"/>
      <c r="F93" s="46">
        <v>50.68</v>
      </c>
      <c r="G93" s="16">
        <v>4105.08</v>
      </c>
    </row>
    <row r="94" spans="1:7" ht="15.75" customHeight="1">
      <c r="A94" s="36">
        <v>27</v>
      </c>
      <c r="B94" s="114" t="s">
        <v>161</v>
      </c>
      <c r="C94" s="55" t="s">
        <v>98</v>
      </c>
      <c r="D94" s="80"/>
      <c r="E94" s="19"/>
      <c r="F94" s="46">
        <v>1925.33</v>
      </c>
      <c r="G94" s="16">
        <v>30.81</v>
      </c>
    </row>
    <row r="95" spans="1:7">
      <c r="A95" s="36"/>
      <c r="B95" s="61" t="s">
        <v>51</v>
      </c>
      <c r="C95" s="57"/>
      <c r="D95" s="71"/>
      <c r="E95" s="57">
        <v>1</v>
      </c>
      <c r="F95" s="57"/>
      <c r="G95" s="39">
        <f>SUM(G87:G94)</f>
        <v>12124.210000000001</v>
      </c>
    </row>
    <row r="96" spans="1:7" ht="15.75" customHeight="1">
      <c r="A96" s="36"/>
      <c r="B96" s="67" t="s">
        <v>81</v>
      </c>
      <c r="C96" s="19"/>
      <c r="D96" s="19"/>
      <c r="E96" s="58"/>
      <c r="F96" s="59"/>
      <c r="G96" s="22">
        <v>0</v>
      </c>
    </row>
    <row r="97" spans="1:7" ht="15.75" customHeight="1">
      <c r="A97" s="72"/>
      <c r="B97" s="62" t="s">
        <v>52</v>
      </c>
      <c r="C97" s="45"/>
      <c r="D97" s="45"/>
      <c r="E97" s="45"/>
      <c r="F97" s="45"/>
      <c r="G97" s="60">
        <f>G85+G95</f>
        <v>115768.44000000002</v>
      </c>
    </row>
    <row r="98" spans="1:7" ht="15.75" customHeight="1">
      <c r="A98" s="169" t="s">
        <v>169</v>
      </c>
      <c r="B98" s="169"/>
      <c r="C98" s="169"/>
      <c r="D98" s="169"/>
      <c r="E98" s="169"/>
      <c r="F98" s="169"/>
      <c r="G98" s="169"/>
    </row>
    <row r="99" spans="1:7" ht="15.75" customHeight="1">
      <c r="A99" s="106"/>
      <c r="B99" s="170" t="s">
        <v>170</v>
      </c>
      <c r="C99" s="170"/>
      <c r="D99" s="170"/>
      <c r="E99" s="170"/>
      <c r="F99" s="170"/>
      <c r="G99" s="3"/>
    </row>
    <row r="100" spans="1:7" ht="15.75" customHeight="1">
      <c r="A100" s="103"/>
      <c r="B100" s="165" t="s">
        <v>6</v>
      </c>
      <c r="C100" s="165"/>
      <c r="D100" s="165"/>
      <c r="E100" s="165"/>
      <c r="F100" s="165"/>
      <c r="G100" s="5"/>
    </row>
    <row r="101" spans="1:7" ht="15.75" customHeight="1">
      <c r="A101" s="10"/>
      <c r="B101" s="10"/>
      <c r="C101" s="10"/>
      <c r="D101" s="10"/>
      <c r="E101" s="10"/>
      <c r="F101" s="10"/>
      <c r="G101" s="10"/>
    </row>
    <row r="102" spans="1:7" ht="15.75" customHeight="1">
      <c r="A102" s="171" t="s">
        <v>7</v>
      </c>
      <c r="B102" s="171"/>
      <c r="C102" s="171"/>
      <c r="D102" s="171"/>
      <c r="E102" s="171"/>
      <c r="F102" s="171"/>
      <c r="G102" s="171"/>
    </row>
    <row r="103" spans="1:7" ht="15.75" customHeight="1">
      <c r="A103" s="171" t="s">
        <v>8</v>
      </c>
      <c r="B103" s="171"/>
      <c r="C103" s="171"/>
      <c r="D103" s="171"/>
      <c r="E103" s="171"/>
      <c r="F103" s="171"/>
      <c r="G103" s="171"/>
    </row>
    <row r="104" spans="1:7" ht="15.75" customHeight="1">
      <c r="A104" s="172" t="s">
        <v>62</v>
      </c>
      <c r="B104" s="172"/>
      <c r="C104" s="172"/>
      <c r="D104" s="172"/>
      <c r="E104" s="172"/>
      <c r="F104" s="172"/>
      <c r="G104" s="172"/>
    </row>
    <row r="105" spans="1:7" ht="23.25" customHeight="1">
      <c r="A105" s="11"/>
    </row>
    <row r="106" spans="1:7" ht="15.75">
      <c r="A106" s="163" t="s">
        <v>9</v>
      </c>
      <c r="B106" s="163"/>
      <c r="C106" s="163"/>
      <c r="D106" s="163"/>
      <c r="E106" s="163"/>
      <c r="F106" s="163"/>
      <c r="G106" s="163"/>
    </row>
    <row r="107" spans="1:7" ht="15.75">
      <c r="A107" s="4"/>
    </row>
    <row r="108" spans="1:7" ht="15.75" customHeight="1">
      <c r="B108" s="104" t="s">
        <v>10</v>
      </c>
      <c r="C108" s="164" t="s">
        <v>180</v>
      </c>
      <c r="D108" s="164"/>
      <c r="E108" s="164"/>
      <c r="G108" s="102"/>
    </row>
    <row r="109" spans="1:7" ht="15.75" customHeight="1">
      <c r="A109" s="103"/>
      <c r="C109" s="165" t="s">
        <v>11</v>
      </c>
      <c r="D109" s="165"/>
      <c r="E109" s="165"/>
      <c r="G109" s="101" t="s">
        <v>12</v>
      </c>
    </row>
    <row r="110" spans="1:7" ht="15.75" customHeight="1">
      <c r="A110" s="32"/>
      <c r="C110" s="12"/>
      <c r="D110" s="12"/>
      <c r="F110" s="12"/>
    </row>
    <row r="111" spans="1:7" ht="15.75" customHeight="1">
      <c r="B111" s="104" t="s">
        <v>13</v>
      </c>
      <c r="C111" s="166"/>
      <c r="D111" s="166"/>
      <c r="E111" s="166"/>
      <c r="G111" s="102"/>
    </row>
    <row r="112" spans="1:7" ht="15.75" customHeight="1">
      <c r="A112" s="103"/>
      <c r="C112" s="167" t="s">
        <v>11</v>
      </c>
      <c r="D112" s="167"/>
      <c r="E112" s="167"/>
      <c r="G112" s="101" t="s">
        <v>12</v>
      </c>
    </row>
    <row r="113" spans="1:7" ht="15.75">
      <c r="A113" s="4" t="s">
        <v>14</v>
      </c>
    </row>
    <row r="114" spans="1:7">
      <c r="A114" s="168" t="s">
        <v>15</v>
      </c>
      <c r="B114" s="168"/>
      <c r="C114" s="168"/>
      <c r="D114" s="168"/>
      <c r="E114" s="168"/>
      <c r="F114" s="168"/>
      <c r="G114" s="168"/>
    </row>
    <row r="115" spans="1:7" ht="45" customHeight="1">
      <c r="A115" s="162" t="s">
        <v>16</v>
      </c>
      <c r="B115" s="162"/>
      <c r="C115" s="162"/>
      <c r="D115" s="162"/>
      <c r="E115" s="162"/>
      <c r="F115" s="162"/>
      <c r="G115" s="162"/>
    </row>
    <row r="116" spans="1:7" ht="30" customHeight="1">
      <c r="A116" s="162" t="s">
        <v>17</v>
      </c>
      <c r="B116" s="162"/>
      <c r="C116" s="162"/>
      <c r="D116" s="162"/>
      <c r="E116" s="162"/>
      <c r="F116" s="162"/>
      <c r="G116" s="162"/>
    </row>
    <row r="117" spans="1:7" ht="30" customHeight="1">
      <c r="A117" s="162" t="s">
        <v>21</v>
      </c>
      <c r="B117" s="162"/>
      <c r="C117" s="162"/>
      <c r="D117" s="162"/>
      <c r="E117" s="162"/>
      <c r="F117" s="162"/>
      <c r="G117" s="162"/>
    </row>
    <row r="118" spans="1:7" ht="15" customHeight="1">
      <c r="A118" s="162" t="s">
        <v>20</v>
      </c>
      <c r="B118" s="162"/>
      <c r="C118" s="162"/>
      <c r="D118" s="162"/>
      <c r="E118" s="162"/>
      <c r="F118" s="162"/>
      <c r="G118" s="162"/>
    </row>
  </sheetData>
  <autoFilter ref="G12:G66"/>
  <mergeCells count="28">
    <mergeCell ref="P71:S71"/>
    <mergeCell ref="A29:G29"/>
    <mergeCell ref="A98:G98"/>
    <mergeCell ref="A46:G46"/>
    <mergeCell ref="A56:G56"/>
    <mergeCell ref="B99:F99"/>
    <mergeCell ref="A3:G3"/>
    <mergeCell ref="A4:G4"/>
    <mergeCell ref="A8:G8"/>
    <mergeCell ref="A10:G10"/>
    <mergeCell ref="A5:G5"/>
    <mergeCell ref="A14:G14"/>
    <mergeCell ref="A15:G15"/>
    <mergeCell ref="A82:G82"/>
    <mergeCell ref="B100:F100"/>
    <mergeCell ref="A102:G102"/>
    <mergeCell ref="A103:G103"/>
    <mergeCell ref="A104:G104"/>
    <mergeCell ref="A106:G106"/>
    <mergeCell ref="A115:G115"/>
    <mergeCell ref="A116:G116"/>
    <mergeCell ref="A117:G117"/>
    <mergeCell ref="A118:G118"/>
    <mergeCell ref="C108:E108"/>
    <mergeCell ref="C109:E109"/>
    <mergeCell ref="C111:E111"/>
    <mergeCell ref="C112:E112"/>
    <mergeCell ref="A114:G114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45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4" t="s">
        <v>94</v>
      </c>
      <c r="I1" s="33"/>
      <c r="J1" s="1"/>
      <c r="K1" s="1"/>
      <c r="L1" s="1"/>
      <c r="M1" s="1"/>
    </row>
    <row r="2" spans="1:13" ht="15.75">
      <c r="A2" s="35" t="s">
        <v>64</v>
      </c>
      <c r="J2" s="2"/>
      <c r="K2" s="2"/>
      <c r="L2" s="2"/>
      <c r="M2" s="2"/>
    </row>
    <row r="3" spans="1:13" ht="15.75" customHeight="1">
      <c r="A3" s="180" t="s">
        <v>228</v>
      </c>
      <c r="B3" s="180"/>
      <c r="C3" s="180"/>
      <c r="D3" s="180"/>
      <c r="E3" s="180"/>
      <c r="F3" s="180"/>
      <c r="G3" s="180"/>
      <c r="H3" s="180"/>
      <c r="I3" s="180"/>
      <c r="J3" s="3"/>
      <c r="K3" s="3"/>
      <c r="L3" s="3"/>
    </row>
    <row r="4" spans="1:13" ht="31.5" customHeight="1">
      <c r="A4" s="181" t="s">
        <v>162</v>
      </c>
      <c r="B4" s="181"/>
      <c r="C4" s="181"/>
      <c r="D4" s="181"/>
      <c r="E4" s="181"/>
      <c r="F4" s="181"/>
      <c r="G4" s="181"/>
      <c r="H4" s="181"/>
      <c r="I4" s="181"/>
    </row>
    <row r="5" spans="1:13" ht="15.75">
      <c r="A5" s="180" t="s">
        <v>229</v>
      </c>
      <c r="B5" s="182"/>
      <c r="C5" s="182"/>
      <c r="D5" s="182"/>
      <c r="E5" s="182"/>
      <c r="F5" s="182"/>
      <c r="G5" s="182"/>
      <c r="H5" s="182"/>
      <c r="I5" s="182"/>
      <c r="J5" s="2"/>
      <c r="K5" s="2"/>
      <c r="L5" s="2"/>
      <c r="M5" s="2"/>
    </row>
    <row r="6" spans="1:13" ht="15.75">
      <c r="A6" s="2"/>
      <c r="B6" s="126"/>
      <c r="C6" s="126"/>
      <c r="D6" s="126"/>
      <c r="E6" s="126"/>
      <c r="F6" s="126"/>
      <c r="G6" s="126"/>
      <c r="H6" s="126"/>
      <c r="I6" s="37">
        <v>42429</v>
      </c>
      <c r="J6" s="2"/>
      <c r="K6" s="2"/>
      <c r="L6" s="2"/>
      <c r="M6" s="2"/>
    </row>
    <row r="7" spans="1:13" ht="15.75">
      <c r="B7" s="127"/>
      <c r="C7" s="127"/>
      <c r="D7" s="127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83" t="s">
        <v>175</v>
      </c>
      <c r="B8" s="183"/>
      <c r="C8" s="183"/>
      <c r="D8" s="183"/>
      <c r="E8" s="183"/>
      <c r="F8" s="183"/>
      <c r="G8" s="183"/>
      <c r="H8" s="183"/>
      <c r="I8" s="183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84" t="s">
        <v>176</v>
      </c>
      <c r="B10" s="184"/>
      <c r="C10" s="184"/>
      <c r="D10" s="184"/>
      <c r="E10" s="184"/>
      <c r="F10" s="184"/>
      <c r="G10" s="184"/>
      <c r="H10" s="184"/>
      <c r="I10" s="184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85" t="s">
        <v>60</v>
      </c>
      <c r="B14" s="185"/>
      <c r="C14" s="185"/>
      <c r="D14" s="185"/>
      <c r="E14" s="185"/>
      <c r="F14" s="185"/>
      <c r="G14" s="185"/>
      <c r="H14" s="185"/>
      <c r="I14" s="185"/>
      <c r="J14" s="8"/>
      <c r="K14" s="8"/>
      <c r="L14" s="8"/>
      <c r="M14" s="8"/>
    </row>
    <row r="15" spans="1:13" ht="15" customHeight="1">
      <c r="A15" s="173" t="s">
        <v>4</v>
      </c>
      <c r="B15" s="173"/>
      <c r="C15" s="173"/>
      <c r="D15" s="173"/>
      <c r="E15" s="173"/>
      <c r="F15" s="173"/>
      <c r="G15" s="173"/>
      <c r="H15" s="173"/>
      <c r="I15" s="173"/>
      <c r="J15" s="8"/>
      <c r="K15" s="8"/>
      <c r="L15" s="8"/>
      <c r="M15" s="8"/>
    </row>
    <row r="16" spans="1:13" ht="31.5" customHeight="1">
      <c r="A16" s="36">
        <v>1</v>
      </c>
      <c r="B16" s="141" t="s">
        <v>97</v>
      </c>
      <c r="C16" s="142" t="s">
        <v>98</v>
      </c>
      <c r="D16" s="141" t="s">
        <v>99</v>
      </c>
      <c r="E16" s="143">
        <v>143.78</v>
      </c>
      <c r="F16" s="144">
        <f>SUM(E16*156/100)</f>
        <v>224.29679999999999</v>
      </c>
      <c r="G16" s="144">
        <v>187.48</v>
      </c>
      <c r="H16" s="145">
        <f t="shared" ref="H16:H25" si="0">SUM(F16*G16/1000)</f>
        <v>42.051164063999998</v>
      </c>
      <c r="I16" s="16">
        <f>F16/12*G16</f>
        <v>3504.2636719999996</v>
      </c>
      <c r="J16" s="28"/>
      <c r="K16" s="8"/>
      <c r="L16" s="8"/>
      <c r="M16" s="8"/>
    </row>
    <row r="17" spans="1:13" ht="31.5" customHeight="1">
      <c r="A17" s="36">
        <v>2</v>
      </c>
      <c r="B17" s="141" t="s">
        <v>133</v>
      </c>
      <c r="C17" s="142" t="s">
        <v>98</v>
      </c>
      <c r="D17" s="141" t="s">
        <v>100</v>
      </c>
      <c r="E17" s="143">
        <v>575.125</v>
      </c>
      <c r="F17" s="144">
        <f>SUM(E17*104/100)</f>
        <v>598.13</v>
      </c>
      <c r="G17" s="144">
        <v>187.48</v>
      </c>
      <c r="H17" s="145">
        <f t="shared" si="0"/>
        <v>112.13741239999999</v>
      </c>
      <c r="I17" s="16">
        <f>F17/12*G17</f>
        <v>9344.7843666666668</v>
      </c>
      <c r="J17" s="29"/>
      <c r="K17" s="8"/>
      <c r="L17" s="8"/>
      <c r="M17" s="8"/>
    </row>
    <row r="18" spans="1:13" ht="31.5" customHeight="1">
      <c r="A18" s="36">
        <v>3</v>
      </c>
      <c r="B18" s="141" t="s">
        <v>134</v>
      </c>
      <c r="C18" s="142" t="s">
        <v>98</v>
      </c>
      <c r="D18" s="141" t="s">
        <v>142</v>
      </c>
      <c r="E18" s="143">
        <v>718.9</v>
      </c>
      <c r="F18" s="144">
        <f>SUM(E18*24/100)</f>
        <v>172.53599999999997</v>
      </c>
      <c r="G18" s="144">
        <v>539.51</v>
      </c>
      <c r="H18" s="145">
        <f t="shared" si="0"/>
        <v>93.084897359999985</v>
      </c>
      <c r="I18" s="16">
        <f>F18/12*G18</f>
        <v>7757.074779999999</v>
      </c>
      <c r="J18" s="29"/>
      <c r="K18" s="8"/>
      <c r="L18" s="8"/>
      <c r="M18" s="8"/>
    </row>
    <row r="19" spans="1:13" ht="15.75" hidden="1" customHeight="1">
      <c r="A19" s="36"/>
      <c r="B19" s="141" t="s">
        <v>107</v>
      </c>
      <c r="C19" s="142" t="s">
        <v>108</v>
      </c>
      <c r="D19" s="141" t="s">
        <v>109</v>
      </c>
      <c r="E19" s="143">
        <v>42.2</v>
      </c>
      <c r="F19" s="144">
        <f>SUM(E19/10)</f>
        <v>4.2200000000000006</v>
      </c>
      <c r="G19" s="144">
        <v>181.91</v>
      </c>
      <c r="H19" s="145">
        <f t="shared" si="0"/>
        <v>0.76766020000000013</v>
      </c>
      <c r="I19" s="16">
        <v>0</v>
      </c>
      <c r="J19" s="29"/>
      <c r="K19" s="8"/>
      <c r="L19" s="8"/>
      <c r="M19" s="8"/>
    </row>
    <row r="20" spans="1:13" ht="15.75" customHeight="1">
      <c r="A20" s="36">
        <v>4</v>
      </c>
      <c r="B20" s="141" t="s">
        <v>110</v>
      </c>
      <c r="C20" s="142" t="s">
        <v>98</v>
      </c>
      <c r="D20" s="141" t="s">
        <v>135</v>
      </c>
      <c r="E20" s="143">
        <v>14</v>
      </c>
      <c r="F20" s="144">
        <f>SUM(E20*12/100)</f>
        <v>1.68</v>
      </c>
      <c r="G20" s="144">
        <v>232.92</v>
      </c>
      <c r="H20" s="145">
        <f t="shared" si="0"/>
        <v>0.39130559999999998</v>
      </c>
      <c r="I20" s="16">
        <f>F20/12*G20</f>
        <v>32.608799999999995</v>
      </c>
      <c r="J20" s="29"/>
      <c r="K20" s="8"/>
      <c r="L20" s="8"/>
      <c r="M20" s="8"/>
    </row>
    <row r="21" spans="1:13" ht="15.75" hidden="1" customHeight="1">
      <c r="A21" s="36">
        <v>5</v>
      </c>
      <c r="B21" s="141" t="s">
        <v>111</v>
      </c>
      <c r="C21" s="142" t="s">
        <v>98</v>
      </c>
      <c r="D21" s="141" t="s">
        <v>184</v>
      </c>
      <c r="E21" s="143">
        <v>4.8</v>
      </c>
      <c r="F21" s="144">
        <f>SUM(E21*6/100)</f>
        <v>0.28799999999999998</v>
      </c>
      <c r="G21" s="144">
        <v>231.03</v>
      </c>
      <c r="H21" s="145">
        <f>SUM(F21*G21/1000)</f>
        <v>6.6536639999999994E-2</v>
      </c>
      <c r="I21" s="16">
        <f>F21/6*G21</f>
        <v>11.089439999999998</v>
      </c>
      <c r="J21" s="29"/>
      <c r="K21" s="8"/>
      <c r="L21" s="8"/>
      <c r="M21" s="8"/>
    </row>
    <row r="22" spans="1:13" ht="15.75" hidden="1" customHeight="1">
      <c r="A22" s="36"/>
      <c r="B22" s="141" t="s">
        <v>112</v>
      </c>
      <c r="C22" s="142" t="s">
        <v>53</v>
      </c>
      <c r="D22" s="141" t="s">
        <v>109</v>
      </c>
      <c r="E22" s="143">
        <v>640</v>
      </c>
      <c r="F22" s="144">
        <f>SUM(E22/100)</f>
        <v>6.4</v>
      </c>
      <c r="G22" s="144">
        <v>287.83999999999997</v>
      </c>
      <c r="H22" s="145">
        <f t="shared" si="0"/>
        <v>1.842176</v>
      </c>
      <c r="I22" s="16">
        <v>0</v>
      </c>
      <c r="J22" s="29"/>
      <c r="K22" s="8"/>
      <c r="L22" s="8"/>
      <c r="M22" s="8"/>
    </row>
    <row r="23" spans="1:13" ht="15.75" hidden="1" customHeight="1">
      <c r="A23" s="36"/>
      <c r="B23" s="141" t="s">
        <v>113</v>
      </c>
      <c r="C23" s="142" t="s">
        <v>53</v>
      </c>
      <c r="D23" s="141" t="s">
        <v>109</v>
      </c>
      <c r="E23" s="146">
        <v>48.3</v>
      </c>
      <c r="F23" s="144">
        <f>SUM(E23/100)</f>
        <v>0.48299999999999998</v>
      </c>
      <c r="G23" s="144">
        <v>47.34</v>
      </c>
      <c r="H23" s="145">
        <f t="shared" si="0"/>
        <v>2.2865220000000002E-2</v>
      </c>
      <c r="I23" s="16">
        <v>0</v>
      </c>
      <c r="J23" s="29"/>
      <c r="K23" s="8"/>
      <c r="L23" s="8"/>
      <c r="M23" s="8"/>
    </row>
    <row r="24" spans="1:13" ht="15.75" hidden="1" customHeight="1">
      <c r="A24" s="36"/>
      <c r="B24" s="141" t="s">
        <v>114</v>
      </c>
      <c r="C24" s="142" t="s">
        <v>53</v>
      </c>
      <c r="D24" s="141" t="s">
        <v>54</v>
      </c>
      <c r="E24" s="143">
        <v>20</v>
      </c>
      <c r="F24" s="144">
        <f>E24/100</f>
        <v>0.2</v>
      </c>
      <c r="G24" s="144">
        <v>416.62</v>
      </c>
      <c r="H24" s="145">
        <f t="shared" si="0"/>
        <v>8.3324000000000009E-2</v>
      </c>
      <c r="I24" s="16">
        <v>0</v>
      </c>
      <c r="J24" s="29"/>
      <c r="K24" s="8"/>
      <c r="L24" s="8"/>
      <c r="M24" s="8"/>
    </row>
    <row r="25" spans="1:13" ht="15.75" hidden="1" customHeight="1">
      <c r="A25" s="36"/>
      <c r="B25" s="141" t="s">
        <v>115</v>
      </c>
      <c r="C25" s="142" t="s">
        <v>53</v>
      </c>
      <c r="D25" s="141" t="s">
        <v>54</v>
      </c>
      <c r="E25" s="143">
        <v>8.5</v>
      </c>
      <c r="F25" s="144">
        <f>SUM(E25/100)</f>
        <v>8.5000000000000006E-2</v>
      </c>
      <c r="G25" s="144">
        <v>556.74</v>
      </c>
      <c r="H25" s="145">
        <f t="shared" si="0"/>
        <v>4.7322900000000001E-2</v>
      </c>
      <c r="I25" s="16">
        <v>0</v>
      </c>
      <c r="J25" s="29"/>
      <c r="K25" s="8"/>
      <c r="L25" s="8"/>
      <c r="M25" s="8"/>
    </row>
    <row r="26" spans="1:13" ht="15.75" hidden="1" customHeight="1">
      <c r="A26" s="36"/>
      <c r="B26" s="141" t="s">
        <v>140</v>
      </c>
      <c r="C26" s="142" t="s">
        <v>53</v>
      </c>
      <c r="D26" s="141" t="s">
        <v>54</v>
      </c>
      <c r="E26" s="143">
        <v>19</v>
      </c>
      <c r="F26" s="144">
        <f>E26/100</f>
        <v>0.19</v>
      </c>
      <c r="G26" s="144">
        <v>231.03</v>
      </c>
      <c r="H26" s="145">
        <f>G26*F26/1000</f>
        <v>4.3895699999999996E-2</v>
      </c>
      <c r="I26" s="16">
        <v>0</v>
      </c>
      <c r="J26" s="29"/>
      <c r="K26" s="8"/>
      <c r="L26" s="8"/>
      <c r="M26" s="8"/>
    </row>
    <row r="27" spans="1:13" ht="15.75" customHeight="1">
      <c r="A27" s="36">
        <v>5</v>
      </c>
      <c r="B27" s="141" t="s">
        <v>66</v>
      </c>
      <c r="C27" s="142" t="s">
        <v>33</v>
      </c>
      <c r="D27" s="141" t="s">
        <v>136</v>
      </c>
      <c r="E27" s="143">
        <v>0.1</v>
      </c>
      <c r="F27" s="144">
        <f>SUM(E27*365)</f>
        <v>36.5</v>
      </c>
      <c r="G27" s="144">
        <v>157.18</v>
      </c>
      <c r="H27" s="145">
        <f>SUM(F27*G27/1000)</f>
        <v>5.737070000000001</v>
      </c>
      <c r="I27" s="16">
        <f>F27/12*G27</f>
        <v>478.08916666666664</v>
      </c>
      <c r="J27" s="30"/>
    </row>
    <row r="28" spans="1:13" ht="15.75" customHeight="1">
      <c r="A28" s="36">
        <v>6</v>
      </c>
      <c r="B28" s="149" t="s">
        <v>23</v>
      </c>
      <c r="C28" s="142" t="s">
        <v>24</v>
      </c>
      <c r="D28" s="149" t="s">
        <v>153</v>
      </c>
      <c r="E28" s="143">
        <v>4731.7</v>
      </c>
      <c r="F28" s="144">
        <f>SUM(E28*12)</f>
        <v>56780.399999999994</v>
      </c>
      <c r="G28" s="144">
        <v>4.72</v>
      </c>
      <c r="H28" s="145">
        <f>SUM(F28*G28/1000)</f>
        <v>268.00348799999995</v>
      </c>
      <c r="I28" s="16">
        <f>F28/12*G28</f>
        <v>22333.623999999996</v>
      </c>
      <c r="J28" s="30"/>
    </row>
    <row r="29" spans="1:13" ht="15" customHeight="1">
      <c r="A29" s="173" t="s">
        <v>93</v>
      </c>
      <c r="B29" s="173"/>
      <c r="C29" s="173"/>
      <c r="D29" s="173"/>
      <c r="E29" s="173"/>
      <c r="F29" s="173"/>
      <c r="G29" s="173"/>
      <c r="H29" s="173"/>
      <c r="I29" s="173"/>
      <c r="J29" s="29"/>
      <c r="K29" s="8"/>
      <c r="L29" s="8"/>
      <c r="M29" s="8"/>
    </row>
    <row r="30" spans="1:13" ht="15.75" hidden="1" customHeight="1">
      <c r="A30" s="36"/>
      <c r="B30" s="189" t="s">
        <v>28</v>
      </c>
      <c r="C30" s="142"/>
      <c r="D30" s="141"/>
      <c r="E30" s="143"/>
      <c r="F30" s="144"/>
      <c r="G30" s="144"/>
      <c r="H30" s="145"/>
      <c r="I30" s="16"/>
      <c r="J30" s="29"/>
      <c r="K30" s="8"/>
      <c r="L30" s="8"/>
      <c r="M30" s="8"/>
    </row>
    <row r="31" spans="1:13" ht="31.5" hidden="1" customHeight="1">
      <c r="A31" s="36">
        <v>8</v>
      </c>
      <c r="B31" s="141" t="s">
        <v>119</v>
      </c>
      <c r="C31" s="142" t="s">
        <v>102</v>
      </c>
      <c r="D31" s="141" t="s">
        <v>116</v>
      </c>
      <c r="E31" s="144">
        <v>512.5</v>
      </c>
      <c r="F31" s="144">
        <f>SUM(E31*52/1000)</f>
        <v>26.65</v>
      </c>
      <c r="G31" s="144">
        <v>166.65</v>
      </c>
      <c r="H31" s="145">
        <f t="shared" ref="H31:H37" si="1">SUM(F31*G31/1000)</f>
        <v>4.4412225000000003</v>
      </c>
      <c r="I31" s="16">
        <f>F31/6*G31</f>
        <v>740.20375000000001</v>
      </c>
      <c r="J31" s="29"/>
      <c r="K31" s="8"/>
      <c r="L31" s="8"/>
      <c r="M31" s="8"/>
    </row>
    <row r="32" spans="1:13" ht="31.5" hidden="1" customHeight="1">
      <c r="A32" s="36">
        <v>9</v>
      </c>
      <c r="B32" s="141" t="s">
        <v>137</v>
      </c>
      <c r="C32" s="142" t="s">
        <v>102</v>
      </c>
      <c r="D32" s="141" t="s">
        <v>117</v>
      </c>
      <c r="E32" s="144">
        <v>316.27</v>
      </c>
      <c r="F32" s="144">
        <f>SUM(E32*78/1000)</f>
        <v>24.669059999999998</v>
      </c>
      <c r="G32" s="144">
        <v>276.48</v>
      </c>
      <c r="H32" s="145">
        <f t="shared" si="1"/>
        <v>6.8205017087999993</v>
      </c>
      <c r="I32" s="16">
        <f t="shared" ref="I32:I35" si="2">F32/6*G32</f>
        <v>1136.7502848000001</v>
      </c>
      <c r="J32" s="29"/>
      <c r="K32" s="8"/>
      <c r="L32" s="8"/>
      <c r="M32" s="8"/>
    </row>
    <row r="33" spans="1:14" ht="15.75" hidden="1" customHeight="1">
      <c r="A33" s="36"/>
      <c r="B33" s="141" t="s">
        <v>27</v>
      </c>
      <c r="C33" s="142" t="s">
        <v>102</v>
      </c>
      <c r="D33" s="141" t="s">
        <v>54</v>
      </c>
      <c r="E33" s="144">
        <v>512.5</v>
      </c>
      <c r="F33" s="144">
        <f>SUM(E33/1000)</f>
        <v>0.51249999999999996</v>
      </c>
      <c r="G33" s="144">
        <v>3228.73</v>
      </c>
      <c r="H33" s="145">
        <f t="shared" si="1"/>
        <v>1.654724125</v>
      </c>
      <c r="I33" s="16">
        <f>F33*G33</f>
        <v>1654.724125</v>
      </c>
      <c r="J33" s="29"/>
      <c r="K33" s="8"/>
      <c r="L33" s="8"/>
      <c r="M33" s="8"/>
    </row>
    <row r="34" spans="1:14" ht="15.75" hidden="1" customHeight="1">
      <c r="A34" s="36">
        <v>10</v>
      </c>
      <c r="B34" s="141" t="s">
        <v>154</v>
      </c>
      <c r="C34" s="142" t="s">
        <v>39</v>
      </c>
      <c r="D34" s="141" t="s">
        <v>65</v>
      </c>
      <c r="E34" s="144">
        <v>4</v>
      </c>
      <c r="F34" s="144">
        <f>E34*155/100</f>
        <v>6.2</v>
      </c>
      <c r="G34" s="144">
        <v>1391.86</v>
      </c>
      <c r="H34" s="145">
        <f>G34*F34/1000</f>
        <v>8.6295319999999993</v>
      </c>
      <c r="I34" s="16">
        <f t="shared" si="2"/>
        <v>1438.2553333333333</v>
      </c>
      <c r="J34" s="29"/>
      <c r="K34" s="8"/>
    </row>
    <row r="35" spans="1:14" ht="15.75" hidden="1" customHeight="1">
      <c r="A35" s="36">
        <v>11</v>
      </c>
      <c r="B35" s="141" t="s">
        <v>118</v>
      </c>
      <c r="C35" s="142" t="s">
        <v>31</v>
      </c>
      <c r="D35" s="141" t="s">
        <v>65</v>
      </c>
      <c r="E35" s="148">
        <v>0.33333333333333331</v>
      </c>
      <c r="F35" s="144">
        <f>155/3</f>
        <v>51.666666666666664</v>
      </c>
      <c r="G35" s="144">
        <v>60.6</v>
      </c>
      <c r="H35" s="145">
        <f>SUM(G35*155/3/1000)</f>
        <v>3.1309999999999998</v>
      </c>
      <c r="I35" s="16">
        <f t="shared" si="2"/>
        <v>521.83333333333337</v>
      </c>
      <c r="J35" s="30"/>
    </row>
    <row r="36" spans="1:14" ht="15.75" hidden="1" customHeight="1">
      <c r="A36" s="36"/>
      <c r="B36" s="141" t="s">
        <v>67</v>
      </c>
      <c r="C36" s="142" t="s">
        <v>33</v>
      </c>
      <c r="D36" s="141" t="s">
        <v>69</v>
      </c>
      <c r="E36" s="143"/>
      <c r="F36" s="144">
        <v>3</v>
      </c>
      <c r="G36" s="144">
        <v>204.52</v>
      </c>
      <c r="H36" s="145">
        <f t="shared" si="1"/>
        <v>0.61356000000000011</v>
      </c>
      <c r="I36" s="16">
        <v>0</v>
      </c>
      <c r="J36" s="30"/>
    </row>
    <row r="37" spans="1:14" ht="15.75" hidden="1" customHeight="1">
      <c r="A37" s="36"/>
      <c r="B37" s="141" t="s">
        <v>68</v>
      </c>
      <c r="C37" s="142" t="s">
        <v>32</v>
      </c>
      <c r="D37" s="141" t="s">
        <v>69</v>
      </c>
      <c r="E37" s="143"/>
      <c r="F37" s="144">
        <v>2</v>
      </c>
      <c r="G37" s="144">
        <v>1214.73</v>
      </c>
      <c r="H37" s="145">
        <f t="shared" si="1"/>
        <v>2.4294600000000002</v>
      </c>
      <c r="I37" s="16">
        <v>0</v>
      </c>
      <c r="J37" s="30"/>
    </row>
    <row r="38" spans="1:14" ht="15.75" customHeight="1">
      <c r="A38" s="36"/>
      <c r="B38" s="189" t="s">
        <v>5</v>
      </c>
      <c r="C38" s="142"/>
      <c r="D38" s="141"/>
      <c r="E38" s="143"/>
      <c r="F38" s="144"/>
      <c r="G38" s="144"/>
      <c r="H38" s="145" t="s">
        <v>153</v>
      </c>
      <c r="I38" s="16"/>
      <c r="J38" s="30"/>
    </row>
    <row r="39" spans="1:14" ht="15.75" customHeight="1">
      <c r="A39" s="36">
        <v>7</v>
      </c>
      <c r="B39" s="141" t="s">
        <v>26</v>
      </c>
      <c r="C39" s="142" t="s">
        <v>32</v>
      </c>
      <c r="D39" s="141"/>
      <c r="E39" s="143"/>
      <c r="F39" s="144">
        <v>5</v>
      </c>
      <c r="G39" s="144">
        <v>1632.6</v>
      </c>
      <c r="H39" s="145">
        <f t="shared" ref="H39:H45" si="3">SUM(F39*G39/1000)</f>
        <v>8.1630000000000003</v>
      </c>
      <c r="I39" s="16">
        <f>F39/6*G39</f>
        <v>1360.5</v>
      </c>
      <c r="J39" s="30"/>
      <c r="L39" s="25"/>
      <c r="M39" s="26"/>
      <c r="N39" s="27"/>
    </row>
    <row r="40" spans="1:14" ht="15.75" customHeight="1">
      <c r="A40" s="36">
        <v>8</v>
      </c>
      <c r="B40" s="141" t="s">
        <v>120</v>
      </c>
      <c r="C40" s="142" t="s">
        <v>29</v>
      </c>
      <c r="D40" s="141" t="s">
        <v>146</v>
      </c>
      <c r="E40" s="143">
        <v>228.38</v>
      </c>
      <c r="F40" s="144">
        <f>E40*30/1000</f>
        <v>6.8513999999999999</v>
      </c>
      <c r="G40" s="144">
        <v>2247.8000000000002</v>
      </c>
      <c r="H40" s="145">
        <f>G40*F40/1000</f>
        <v>15.400576920000001</v>
      </c>
      <c r="I40" s="16">
        <f>F40/6*G40</f>
        <v>2566.7628199999999</v>
      </c>
      <c r="J40" s="30"/>
      <c r="L40" s="25"/>
      <c r="M40" s="26"/>
      <c r="N40" s="27"/>
    </row>
    <row r="41" spans="1:14" ht="15.75" hidden="1" customHeight="1">
      <c r="A41" s="36">
        <v>10</v>
      </c>
      <c r="B41" s="141" t="s">
        <v>144</v>
      </c>
      <c r="C41" s="142" t="s">
        <v>145</v>
      </c>
      <c r="D41" s="141" t="s">
        <v>69</v>
      </c>
      <c r="E41" s="143"/>
      <c r="F41" s="144">
        <v>120</v>
      </c>
      <c r="G41" s="144">
        <v>213.2</v>
      </c>
      <c r="H41" s="145">
        <f>G41*F41/1000</f>
        <v>25.584</v>
      </c>
      <c r="I41" s="16">
        <f>G41*12</f>
        <v>2558.3999999999996</v>
      </c>
      <c r="J41" s="30"/>
      <c r="L41" s="25"/>
      <c r="M41" s="26"/>
      <c r="N41" s="27"/>
    </row>
    <row r="42" spans="1:14" ht="15.75" customHeight="1">
      <c r="A42" s="36">
        <v>9</v>
      </c>
      <c r="B42" s="141" t="s">
        <v>70</v>
      </c>
      <c r="C42" s="142" t="s">
        <v>29</v>
      </c>
      <c r="D42" s="141" t="s">
        <v>101</v>
      </c>
      <c r="E42" s="144">
        <v>233.71</v>
      </c>
      <c r="F42" s="144">
        <f>SUM(E42*155/1000)</f>
        <v>36.225050000000003</v>
      </c>
      <c r="G42" s="144">
        <v>374.95</v>
      </c>
      <c r="H42" s="145">
        <f t="shared" si="3"/>
        <v>13.582582497500001</v>
      </c>
      <c r="I42" s="16">
        <f>F42/6*G42</f>
        <v>2263.7637495833337</v>
      </c>
      <c r="J42" s="30"/>
      <c r="L42" s="25"/>
      <c r="M42" s="26"/>
      <c r="N42" s="27"/>
    </row>
    <row r="43" spans="1:14" ht="47.25" customHeight="1">
      <c r="A43" s="36">
        <v>10</v>
      </c>
      <c r="B43" s="141" t="s">
        <v>88</v>
      </c>
      <c r="C43" s="142" t="s">
        <v>102</v>
      </c>
      <c r="D43" s="141" t="s">
        <v>147</v>
      </c>
      <c r="E43" s="144">
        <v>54.4</v>
      </c>
      <c r="F43" s="144">
        <f>SUM(E43*35/1000)</f>
        <v>1.9039999999999999</v>
      </c>
      <c r="G43" s="144">
        <v>6203.7</v>
      </c>
      <c r="H43" s="145">
        <f t="shared" si="3"/>
        <v>11.811844799999999</v>
      </c>
      <c r="I43" s="16">
        <f>F43/6*G43</f>
        <v>1968.6407999999997</v>
      </c>
      <c r="J43" s="30"/>
      <c r="L43" s="25"/>
      <c r="M43" s="26"/>
      <c r="N43" s="27"/>
    </row>
    <row r="44" spans="1:14" ht="15.75" customHeight="1">
      <c r="A44" s="36">
        <v>11</v>
      </c>
      <c r="B44" s="141" t="s">
        <v>103</v>
      </c>
      <c r="C44" s="142" t="s">
        <v>102</v>
      </c>
      <c r="D44" s="141" t="s">
        <v>71</v>
      </c>
      <c r="E44" s="144">
        <v>228.38</v>
      </c>
      <c r="F44" s="144">
        <f>SUM(E44*45/1000)</f>
        <v>10.277100000000001</v>
      </c>
      <c r="G44" s="144">
        <v>458.28</v>
      </c>
      <c r="H44" s="145">
        <f t="shared" si="3"/>
        <v>4.7097893879999999</v>
      </c>
      <c r="I44" s="16">
        <f>F44/6*G44</f>
        <v>784.96489800000006</v>
      </c>
      <c r="J44" s="30"/>
      <c r="L44" s="25"/>
      <c r="M44" s="26"/>
      <c r="N44" s="27"/>
    </row>
    <row r="45" spans="1:14" ht="15.75" customHeight="1">
      <c r="A45" s="36">
        <v>12</v>
      </c>
      <c r="B45" s="141" t="s">
        <v>72</v>
      </c>
      <c r="C45" s="142" t="s">
        <v>33</v>
      </c>
      <c r="D45" s="141"/>
      <c r="E45" s="143"/>
      <c r="F45" s="144">
        <v>1.8</v>
      </c>
      <c r="G45" s="144">
        <v>853.06</v>
      </c>
      <c r="H45" s="145">
        <f t="shared" si="3"/>
        <v>1.5355080000000001</v>
      </c>
      <c r="I45" s="16">
        <f>F45/6*G45</f>
        <v>255.91799999999998</v>
      </c>
      <c r="J45" s="30"/>
      <c r="L45" s="25"/>
      <c r="M45" s="26"/>
      <c r="N45" s="27"/>
    </row>
    <row r="46" spans="1:14" ht="15" customHeight="1">
      <c r="A46" s="174" t="s">
        <v>177</v>
      </c>
      <c r="B46" s="175"/>
      <c r="C46" s="175"/>
      <c r="D46" s="175"/>
      <c r="E46" s="175"/>
      <c r="F46" s="175"/>
      <c r="G46" s="175"/>
      <c r="H46" s="175"/>
      <c r="I46" s="176"/>
      <c r="J46" s="30"/>
      <c r="L46" s="25"/>
      <c r="M46" s="26"/>
      <c r="N46" s="27"/>
    </row>
    <row r="47" spans="1:14" ht="15.75" hidden="1" customHeight="1">
      <c r="A47" s="36"/>
      <c r="B47" s="141" t="s">
        <v>148</v>
      </c>
      <c r="C47" s="142" t="s">
        <v>102</v>
      </c>
      <c r="D47" s="141" t="s">
        <v>41</v>
      </c>
      <c r="E47" s="143">
        <v>1320.9</v>
      </c>
      <c r="F47" s="144">
        <f>SUM(E47*2/1000)</f>
        <v>2.6418000000000004</v>
      </c>
      <c r="G47" s="16">
        <v>908.11</v>
      </c>
      <c r="H47" s="145">
        <f t="shared" ref="H47:H55" si="4">SUM(F47*G47/1000)</f>
        <v>2.3990449980000004</v>
      </c>
      <c r="I47" s="16">
        <v>0</v>
      </c>
      <c r="J47" s="30"/>
      <c r="L47" s="25"/>
      <c r="M47" s="26"/>
      <c r="N47" s="27"/>
    </row>
    <row r="48" spans="1:14" ht="15.75" hidden="1" customHeight="1">
      <c r="A48" s="36"/>
      <c r="B48" s="141" t="s">
        <v>34</v>
      </c>
      <c r="C48" s="142" t="s">
        <v>102</v>
      </c>
      <c r="D48" s="141" t="s">
        <v>41</v>
      </c>
      <c r="E48" s="143">
        <v>52</v>
      </c>
      <c r="F48" s="144">
        <f>E48*2/1000</f>
        <v>0.104</v>
      </c>
      <c r="G48" s="16">
        <v>619.46</v>
      </c>
      <c r="H48" s="145">
        <f t="shared" si="4"/>
        <v>6.4423839999999996E-2</v>
      </c>
      <c r="I48" s="16">
        <v>0</v>
      </c>
      <c r="J48" s="30"/>
      <c r="L48" s="25"/>
      <c r="M48" s="26"/>
      <c r="N48" s="27"/>
    </row>
    <row r="49" spans="1:22" ht="15.75" hidden="1" customHeight="1">
      <c r="A49" s="36"/>
      <c r="B49" s="141" t="s">
        <v>35</v>
      </c>
      <c r="C49" s="142" t="s">
        <v>102</v>
      </c>
      <c r="D49" s="141" t="s">
        <v>41</v>
      </c>
      <c r="E49" s="143">
        <v>1520.8</v>
      </c>
      <c r="F49" s="144">
        <f>SUM(E49*2/1000)</f>
        <v>3.0415999999999999</v>
      </c>
      <c r="G49" s="16">
        <v>619.46</v>
      </c>
      <c r="H49" s="145">
        <f t="shared" si="4"/>
        <v>1.8841495360000002</v>
      </c>
      <c r="I49" s="16">
        <v>0</v>
      </c>
      <c r="J49" s="30"/>
      <c r="L49" s="25"/>
      <c r="M49" s="26"/>
      <c r="N49" s="27"/>
    </row>
    <row r="50" spans="1:22" ht="15.75" hidden="1" customHeight="1">
      <c r="A50" s="36"/>
      <c r="B50" s="141" t="s">
        <v>36</v>
      </c>
      <c r="C50" s="142" t="s">
        <v>102</v>
      </c>
      <c r="D50" s="141" t="s">
        <v>41</v>
      </c>
      <c r="E50" s="143">
        <v>3433.81</v>
      </c>
      <c r="F50" s="144">
        <f>SUM(E50*2/1000)</f>
        <v>6.8676199999999996</v>
      </c>
      <c r="G50" s="16">
        <v>648.64</v>
      </c>
      <c r="H50" s="145">
        <f t="shared" si="4"/>
        <v>4.4546130367999996</v>
      </c>
      <c r="I50" s="16">
        <v>0</v>
      </c>
      <c r="J50" s="30"/>
      <c r="L50" s="25"/>
      <c r="M50" s="26"/>
      <c r="N50" s="27"/>
    </row>
    <row r="51" spans="1:22" ht="15.75" customHeight="1">
      <c r="A51" s="36">
        <v>13</v>
      </c>
      <c r="B51" s="141" t="s">
        <v>57</v>
      </c>
      <c r="C51" s="142" t="s">
        <v>102</v>
      </c>
      <c r="D51" s="141" t="s">
        <v>225</v>
      </c>
      <c r="E51" s="143">
        <v>2641.8</v>
      </c>
      <c r="F51" s="144">
        <f>SUM(E51*5/1000)</f>
        <v>13.209</v>
      </c>
      <c r="G51" s="16">
        <v>1297.28</v>
      </c>
      <c r="H51" s="145">
        <f t="shared" si="4"/>
        <v>17.135771519999999</v>
      </c>
      <c r="I51" s="16">
        <f>F51/5*G51</f>
        <v>3427.1543039999997</v>
      </c>
      <c r="J51" s="30"/>
      <c r="L51" s="25"/>
      <c r="M51" s="26"/>
      <c r="N51" s="27"/>
    </row>
    <row r="52" spans="1:22" ht="31.5" hidden="1" customHeight="1">
      <c r="A52" s="36"/>
      <c r="B52" s="141" t="s">
        <v>104</v>
      </c>
      <c r="C52" s="142" t="s">
        <v>102</v>
      </c>
      <c r="D52" s="141" t="s">
        <v>41</v>
      </c>
      <c r="E52" s="143">
        <v>2641.8</v>
      </c>
      <c r="F52" s="144">
        <f>SUM(E52*2/1000)</f>
        <v>5.2836000000000007</v>
      </c>
      <c r="G52" s="16">
        <v>1297.28</v>
      </c>
      <c r="H52" s="145">
        <f t="shared" si="4"/>
        <v>6.8543086080000011</v>
      </c>
      <c r="I52" s="16">
        <v>0</v>
      </c>
      <c r="J52" s="30"/>
      <c r="L52" s="25"/>
      <c r="M52" s="26"/>
      <c r="N52" s="27"/>
    </row>
    <row r="53" spans="1:22" ht="31.5" hidden="1" customHeight="1">
      <c r="A53" s="36"/>
      <c r="B53" s="141" t="s">
        <v>105</v>
      </c>
      <c r="C53" s="142" t="s">
        <v>37</v>
      </c>
      <c r="D53" s="141" t="s">
        <v>41</v>
      </c>
      <c r="E53" s="143">
        <v>20</v>
      </c>
      <c r="F53" s="144">
        <f>SUM(E53*2/100)</f>
        <v>0.4</v>
      </c>
      <c r="G53" s="16">
        <v>2918.89</v>
      </c>
      <c r="H53" s="145">
        <f>SUM(F53*G53/1000)</f>
        <v>1.167556</v>
      </c>
      <c r="I53" s="16">
        <v>0</v>
      </c>
      <c r="J53" s="30"/>
      <c r="L53" s="25"/>
      <c r="M53" s="26"/>
      <c r="N53" s="27"/>
    </row>
    <row r="54" spans="1:22" ht="15.75" customHeight="1">
      <c r="A54" s="36">
        <v>14</v>
      </c>
      <c r="B54" s="141" t="s">
        <v>38</v>
      </c>
      <c r="C54" s="142" t="s">
        <v>39</v>
      </c>
      <c r="D54" s="141" t="s">
        <v>41</v>
      </c>
      <c r="E54" s="143">
        <v>1</v>
      </c>
      <c r="F54" s="144">
        <v>0.02</v>
      </c>
      <c r="G54" s="16">
        <v>6042.12</v>
      </c>
      <c r="H54" s="145">
        <f t="shared" si="4"/>
        <v>0.1208424</v>
      </c>
      <c r="I54" s="16">
        <f>F54/2*G54</f>
        <v>60.421199999999999</v>
      </c>
      <c r="J54" s="30"/>
      <c r="L54" s="25"/>
      <c r="M54" s="26"/>
      <c r="N54" s="27"/>
    </row>
    <row r="55" spans="1:22" ht="15.75" hidden="1" customHeight="1">
      <c r="A55" s="36">
        <v>16</v>
      </c>
      <c r="B55" s="141" t="s">
        <v>40</v>
      </c>
      <c r="C55" s="142" t="s">
        <v>122</v>
      </c>
      <c r="D55" s="141" t="s">
        <v>73</v>
      </c>
      <c r="E55" s="143">
        <v>160</v>
      </c>
      <c r="F55" s="144">
        <f>SUM(E55)*3</f>
        <v>480</v>
      </c>
      <c r="G55" s="16">
        <v>70.209999999999994</v>
      </c>
      <c r="H55" s="145">
        <f t="shared" si="4"/>
        <v>33.700799999999994</v>
      </c>
      <c r="I55" s="16">
        <f>E55*G55</f>
        <v>11233.599999999999</v>
      </c>
      <c r="J55" s="30"/>
      <c r="L55" s="25"/>
      <c r="M55" s="26"/>
      <c r="N55" s="27"/>
    </row>
    <row r="56" spans="1:22" ht="15.75" customHeight="1">
      <c r="A56" s="174" t="s">
        <v>178</v>
      </c>
      <c r="B56" s="175"/>
      <c r="C56" s="175"/>
      <c r="D56" s="175"/>
      <c r="E56" s="175"/>
      <c r="F56" s="175"/>
      <c r="G56" s="175"/>
      <c r="H56" s="175"/>
      <c r="I56" s="176"/>
      <c r="J56" s="30"/>
      <c r="L56" s="25"/>
      <c r="M56" s="26"/>
      <c r="N56" s="27"/>
    </row>
    <row r="57" spans="1:22" ht="15.75" customHeight="1">
      <c r="A57" s="36"/>
      <c r="B57" s="189" t="s">
        <v>42</v>
      </c>
      <c r="C57" s="142"/>
      <c r="D57" s="141"/>
      <c r="E57" s="143"/>
      <c r="F57" s="144"/>
      <c r="G57" s="144"/>
      <c r="H57" s="145"/>
      <c r="I57" s="16"/>
      <c r="J57" s="30"/>
      <c r="L57" s="25"/>
      <c r="M57" s="26"/>
      <c r="N57" s="27"/>
    </row>
    <row r="58" spans="1:22" ht="31.5" customHeight="1">
      <c r="A58" s="36">
        <v>15</v>
      </c>
      <c r="B58" s="141" t="s">
        <v>149</v>
      </c>
      <c r="C58" s="142" t="s">
        <v>98</v>
      </c>
      <c r="D58" s="141" t="s">
        <v>123</v>
      </c>
      <c r="E58" s="143">
        <v>155.09</v>
      </c>
      <c r="F58" s="144">
        <f>SUM(E58*6/100)</f>
        <v>9.3053999999999988</v>
      </c>
      <c r="G58" s="16">
        <v>1654.04</v>
      </c>
      <c r="H58" s="145">
        <f>SUM(F58*G58/1000)</f>
        <v>15.391503815999998</v>
      </c>
      <c r="I58" s="16">
        <f>F58/6*G58</f>
        <v>2565.2506359999993</v>
      </c>
      <c r="J58" s="30"/>
      <c r="L58" s="25"/>
      <c r="M58" s="26"/>
      <c r="N58" s="27"/>
    </row>
    <row r="59" spans="1:22" ht="15.75" customHeight="1">
      <c r="A59" s="36">
        <v>16</v>
      </c>
      <c r="B59" s="141" t="s">
        <v>150</v>
      </c>
      <c r="C59" s="142" t="s">
        <v>98</v>
      </c>
      <c r="D59" s="141" t="s">
        <v>123</v>
      </c>
      <c r="E59" s="143">
        <v>3.8</v>
      </c>
      <c r="F59" s="144">
        <f>SUM(E59*6/100)</f>
        <v>0.22799999999999998</v>
      </c>
      <c r="G59" s="16">
        <v>1654.04</v>
      </c>
      <c r="H59" s="145">
        <f>SUM(F59*G59/1000)</f>
        <v>0.37712111999999998</v>
      </c>
      <c r="I59" s="16">
        <f>F59/6*G59</f>
        <v>62.853519999999996</v>
      </c>
      <c r="J59" s="30"/>
      <c r="L59" s="25"/>
    </row>
    <row r="60" spans="1:22" ht="15.75" hidden="1" customHeight="1">
      <c r="A60" s="36">
        <v>19</v>
      </c>
      <c r="B60" s="150" t="s">
        <v>151</v>
      </c>
      <c r="C60" s="151" t="s">
        <v>152</v>
      </c>
      <c r="D60" s="150" t="s">
        <v>41</v>
      </c>
      <c r="E60" s="152">
        <v>4</v>
      </c>
      <c r="F60" s="153">
        <v>0.8</v>
      </c>
      <c r="G60" s="16">
        <v>193.23</v>
      </c>
      <c r="H60" s="145">
        <f t="shared" ref="H60:H61" si="5">SUM(F60*G60/1000)</f>
        <v>0.154584</v>
      </c>
      <c r="I60" s="16">
        <f>F60/2*G60</f>
        <v>77.292000000000002</v>
      </c>
    </row>
    <row r="61" spans="1:22" ht="15.75" hidden="1" customHeight="1">
      <c r="A61" s="36"/>
      <c r="B61" s="150" t="s">
        <v>44</v>
      </c>
      <c r="C61" s="151" t="s">
        <v>53</v>
      </c>
      <c r="D61" s="150" t="s">
        <v>54</v>
      </c>
      <c r="E61" s="152">
        <v>1320.9</v>
      </c>
      <c r="F61" s="153">
        <f>E61/100</f>
        <v>13.209000000000001</v>
      </c>
      <c r="G61" s="16">
        <v>505.2</v>
      </c>
      <c r="H61" s="145">
        <f t="shared" si="5"/>
        <v>6.6731868000000008</v>
      </c>
      <c r="I61" s="16">
        <v>0</v>
      </c>
    </row>
    <row r="62" spans="1:22" ht="15.75" customHeight="1">
      <c r="A62" s="36"/>
      <c r="B62" s="190" t="s">
        <v>43</v>
      </c>
      <c r="C62" s="151"/>
      <c r="D62" s="150"/>
      <c r="E62" s="152"/>
      <c r="F62" s="153"/>
      <c r="G62" s="16"/>
      <c r="H62" s="154"/>
      <c r="I62" s="16"/>
    </row>
    <row r="63" spans="1:22" ht="15.75" hidden="1" customHeight="1">
      <c r="A63" s="36"/>
      <c r="B63" s="150" t="s">
        <v>44</v>
      </c>
      <c r="C63" s="151" t="s">
        <v>53</v>
      </c>
      <c r="D63" s="150" t="s">
        <v>54</v>
      </c>
      <c r="E63" s="152">
        <v>1238</v>
      </c>
      <c r="F63" s="153">
        <f>E63/100</f>
        <v>12.38</v>
      </c>
      <c r="G63" s="16">
        <v>848.37</v>
      </c>
      <c r="H63" s="154">
        <f>F63*G63/1000</f>
        <v>10.502820600000002</v>
      </c>
      <c r="I63" s="16">
        <v>0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.75" customHeight="1">
      <c r="A64" s="36">
        <v>17</v>
      </c>
      <c r="B64" s="150" t="s">
        <v>139</v>
      </c>
      <c r="C64" s="151" t="s">
        <v>25</v>
      </c>
      <c r="D64" s="150" t="s">
        <v>30</v>
      </c>
      <c r="E64" s="152">
        <v>238</v>
      </c>
      <c r="F64" s="155">
        <f>E64*12</f>
        <v>2856</v>
      </c>
      <c r="G64" s="135">
        <v>2.6</v>
      </c>
      <c r="H64" s="153">
        <f>F64*G64/1000</f>
        <v>7.4256000000000002</v>
      </c>
      <c r="I64" s="16">
        <f>F64/12*G64</f>
        <v>618.80000000000007</v>
      </c>
      <c r="J64" s="32"/>
      <c r="K64" s="32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customHeight="1">
      <c r="A65" s="36"/>
      <c r="B65" s="190" t="s">
        <v>45</v>
      </c>
      <c r="C65" s="151"/>
      <c r="D65" s="150"/>
      <c r="E65" s="152"/>
      <c r="F65" s="155"/>
      <c r="G65" s="155"/>
      <c r="H65" s="153" t="s">
        <v>153</v>
      </c>
      <c r="I65" s="16"/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customHeight="1">
      <c r="A66" s="36">
        <v>18</v>
      </c>
      <c r="B66" s="18" t="s">
        <v>46</v>
      </c>
      <c r="C66" s="20" t="s">
        <v>122</v>
      </c>
      <c r="D66" s="18" t="s">
        <v>69</v>
      </c>
      <c r="E66" s="23">
        <v>8</v>
      </c>
      <c r="F66" s="144">
        <v>8</v>
      </c>
      <c r="G66" s="16">
        <v>237.74</v>
      </c>
      <c r="H66" s="156">
        <f t="shared" ref="H66:H79" si="6">SUM(F66*G66/1000)</f>
        <v>1.9019200000000001</v>
      </c>
      <c r="I66" s="16">
        <f>G66</f>
        <v>237.74</v>
      </c>
      <c r="J66" s="5"/>
      <c r="K66" s="5"/>
      <c r="L66" s="5"/>
      <c r="M66" s="5"/>
      <c r="N66" s="5"/>
      <c r="O66" s="5"/>
      <c r="P66" s="5"/>
      <c r="Q66" s="5"/>
      <c r="R66" s="167"/>
      <c r="S66" s="167"/>
      <c r="T66" s="167"/>
      <c r="U66" s="167"/>
    </row>
    <row r="67" spans="1:21" ht="15.75" hidden="1" customHeight="1">
      <c r="A67" s="36"/>
      <c r="B67" s="18" t="s">
        <v>47</v>
      </c>
      <c r="C67" s="20" t="s">
        <v>122</v>
      </c>
      <c r="D67" s="18" t="s">
        <v>69</v>
      </c>
      <c r="E67" s="23">
        <v>3</v>
      </c>
      <c r="F67" s="144">
        <v>3</v>
      </c>
      <c r="G67" s="16">
        <v>81.510000000000005</v>
      </c>
      <c r="H67" s="156">
        <f t="shared" si="6"/>
        <v>0.24453000000000003</v>
      </c>
      <c r="I67" s="16">
        <v>0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ht="15.75" hidden="1" customHeight="1">
      <c r="A68" s="36"/>
      <c r="B68" s="18" t="s">
        <v>48</v>
      </c>
      <c r="C68" s="20" t="s">
        <v>124</v>
      </c>
      <c r="D68" s="18" t="s">
        <v>54</v>
      </c>
      <c r="E68" s="143">
        <v>19836</v>
      </c>
      <c r="F68" s="16">
        <f>SUM(E68/100)</f>
        <v>198.36</v>
      </c>
      <c r="G68" s="16">
        <v>226.79</v>
      </c>
      <c r="H68" s="156">
        <f t="shared" si="6"/>
        <v>44.986064400000004</v>
      </c>
      <c r="I68" s="16">
        <f>F68*G68</f>
        <v>44986.064400000003</v>
      </c>
    </row>
    <row r="69" spans="1:21" ht="15.75" hidden="1" customHeight="1">
      <c r="A69" s="36"/>
      <c r="B69" s="18" t="s">
        <v>49</v>
      </c>
      <c r="C69" s="20" t="s">
        <v>125</v>
      </c>
      <c r="D69" s="18"/>
      <c r="E69" s="143">
        <v>19836</v>
      </c>
      <c r="F69" s="16">
        <f>SUM(E69/1000)</f>
        <v>19.835999999999999</v>
      </c>
      <c r="G69" s="16">
        <v>176.61</v>
      </c>
      <c r="H69" s="156">
        <f t="shared" si="6"/>
        <v>3.50323596</v>
      </c>
      <c r="I69" s="16">
        <f t="shared" ref="I69:I73" si="7">F69*G69</f>
        <v>3503.23596</v>
      </c>
    </row>
    <row r="70" spans="1:21" ht="15.75" hidden="1" customHeight="1">
      <c r="A70" s="36"/>
      <c r="B70" s="18" t="s">
        <v>50</v>
      </c>
      <c r="C70" s="20" t="s">
        <v>79</v>
      </c>
      <c r="D70" s="18" t="s">
        <v>54</v>
      </c>
      <c r="E70" s="143">
        <v>3155</v>
      </c>
      <c r="F70" s="16">
        <f>SUM(E70/100)</f>
        <v>31.55</v>
      </c>
      <c r="G70" s="16">
        <v>2217.7800000000002</v>
      </c>
      <c r="H70" s="156">
        <f t="shared" si="6"/>
        <v>69.970959000000008</v>
      </c>
      <c r="I70" s="16">
        <f t="shared" si="7"/>
        <v>69970.959000000003</v>
      </c>
    </row>
    <row r="71" spans="1:21" ht="15.75" hidden="1" customHeight="1">
      <c r="A71" s="36"/>
      <c r="B71" s="157" t="s">
        <v>126</v>
      </c>
      <c r="C71" s="20" t="s">
        <v>33</v>
      </c>
      <c r="D71" s="18"/>
      <c r="E71" s="143">
        <v>17.600000000000001</v>
      </c>
      <c r="F71" s="16">
        <f>SUM(E71)</f>
        <v>17.600000000000001</v>
      </c>
      <c r="G71" s="16">
        <v>42.67</v>
      </c>
      <c r="H71" s="156">
        <f t="shared" si="6"/>
        <v>0.7509920000000001</v>
      </c>
      <c r="I71" s="16">
        <f t="shared" si="7"/>
        <v>750.99200000000008</v>
      </c>
    </row>
    <row r="72" spans="1:21" ht="15.75" hidden="1" customHeight="1">
      <c r="A72" s="36"/>
      <c r="B72" s="157" t="s">
        <v>127</v>
      </c>
      <c r="C72" s="20" t="s">
        <v>33</v>
      </c>
      <c r="D72" s="18"/>
      <c r="E72" s="143">
        <v>17.600000000000001</v>
      </c>
      <c r="F72" s="16">
        <f>SUM(E72)</f>
        <v>17.600000000000001</v>
      </c>
      <c r="G72" s="16">
        <v>39.81</v>
      </c>
      <c r="H72" s="156">
        <f t="shared" si="6"/>
        <v>0.70065600000000006</v>
      </c>
      <c r="I72" s="16">
        <f t="shared" si="7"/>
        <v>700.65600000000006</v>
      </c>
    </row>
    <row r="73" spans="1:21" ht="15.75" hidden="1" customHeight="1">
      <c r="A73" s="36"/>
      <c r="B73" s="18" t="s">
        <v>58</v>
      </c>
      <c r="C73" s="20" t="s">
        <v>59</v>
      </c>
      <c r="D73" s="18" t="s">
        <v>54</v>
      </c>
      <c r="E73" s="23">
        <v>7</v>
      </c>
      <c r="F73" s="144">
        <v>7</v>
      </c>
      <c r="G73" s="16">
        <v>53.32</v>
      </c>
      <c r="H73" s="156">
        <f t="shared" si="6"/>
        <v>0.37324000000000002</v>
      </c>
      <c r="I73" s="16">
        <f t="shared" si="7"/>
        <v>373.24</v>
      </c>
    </row>
    <row r="74" spans="1:21" ht="15.75" hidden="1" customHeight="1">
      <c r="A74" s="36"/>
      <c r="B74" s="125" t="s">
        <v>74</v>
      </c>
      <c r="C74" s="20"/>
      <c r="D74" s="18"/>
      <c r="E74" s="23"/>
      <c r="F74" s="16"/>
      <c r="G74" s="16"/>
      <c r="H74" s="156" t="s">
        <v>153</v>
      </c>
      <c r="I74" s="16"/>
    </row>
    <row r="75" spans="1:21" ht="15.75" hidden="1" customHeight="1">
      <c r="A75" s="36"/>
      <c r="B75" s="18" t="s">
        <v>75</v>
      </c>
      <c r="C75" s="20" t="s">
        <v>77</v>
      </c>
      <c r="D75" s="18"/>
      <c r="E75" s="23">
        <v>2</v>
      </c>
      <c r="F75" s="16">
        <v>0.2</v>
      </c>
      <c r="G75" s="16">
        <v>536.23</v>
      </c>
      <c r="H75" s="156">
        <f t="shared" si="6"/>
        <v>0.10724600000000001</v>
      </c>
      <c r="I75" s="16">
        <v>0</v>
      </c>
    </row>
    <row r="76" spans="1:21" ht="15.75" hidden="1" customHeight="1">
      <c r="A76" s="36"/>
      <c r="B76" s="18" t="s">
        <v>76</v>
      </c>
      <c r="C76" s="20" t="s">
        <v>31</v>
      </c>
      <c r="D76" s="18"/>
      <c r="E76" s="23">
        <v>1</v>
      </c>
      <c r="F76" s="135">
        <v>1</v>
      </c>
      <c r="G76" s="16">
        <v>911.85</v>
      </c>
      <c r="H76" s="156">
        <f>F76*G76/1000</f>
        <v>0.91185000000000005</v>
      </c>
      <c r="I76" s="16">
        <v>0</v>
      </c>
    </row>
    <row r="77" spans="1:21" ht="15.75" hidden="1" customHeight="1">
      <c r="A77" s="36"/>
      <c r="B77" s="18" t="s">
        <v>129</v>
      </c>
      <c r="C77" s="20" t="s">
        <v>31</v>
      </c>
      <c r="D77" s="18"/>
      <c r="E77" s="23">
        <v>1</v>
      </c>
      <c r="F77" s="16">
        <v>1</v>
      </c>
      <c r="G77" s="16">
        <v>383.25</v>
      </c>
      <c r="H77" s="156">
        <f>G77*F77/1000</f>
        <v>0.38324999999999998</v>
      </c>
      <c r="I77" s="16">
        <v>0</v>
      </c>
    </row>
    <row r="78" spans="1:21" ht="15.75" hidden="1" customHeight="1">
      <c r="A78" s="36"/>
      <c r="B78" s="159" t="s">
        <v>78</v>
      </c>
      <c r="C78" s="20"/>
      <c r="D78" s="18"/>
      <c r="E78" s="23"/>
      <c r="F78" s="16"/>
      <c r="G78" s="16" t="s">
        <v>153</v>
      </c>
      <c r="H78" s="156" t="s">
        <v>153</v>
      </c>
      <c r="I78" s="16"/>
    </row>
    <row r="79" spans="1:21" ht="15.75" hidden="1" customHeight="1">
      <c r="A79" s="36"/>
      <c r="B79" s="67" t="s">
        <v>141</v>
      </c>
      <c r="C79" s="20" t="s">
        <v>79</v>
      </c>
      <c r="D79" s="18"/>
      <c r="E79" s="23"/>
      <c r="F79" s="16">
        <v>0.3</v>
      </c>
      <c r="G79" s="16">
        <v>2949.85</v>
      </c>
      <c r="H79" s="156">
        <f t="shared" si="6"/>
        <v>0.88495499999999994</v>
      </c>
      <c r="I79" s="16">
        <v>0</v>
      </c>
    </row>
    <row r="80" spans="1:21" ht="15.75" hidden="1" customHeight="1">
      <c r="A80" s="36"/>
      <c r="B80" s="125" t="s">
        <v>106</v>
      </c>
      <c r="C80" s="159"/>
      <c r="D80" s="38"/>
      <c r="E80" s="39"/>
      <c r="F80" s="147"/>
      <c r="G80" s="147"/>
      <c r="H80" s="160">
        <f>SUM(H58:H79)</f>
        <v>165.24371469600001</v>
      </c>
      <c r="I80" s="147"/>
    </row>
    <row r="81" spans="1:9" ht="15.75" hidden="1" customHeight="1">
      <c r="A81" s="36"/>
      <c r="B81" s="141" t="s">
        <v>128</v>
      </c>
      <c r="C81" s="20"/>
      <c r="D81" s="18"/>
      <c r="E81" s="136"/>
      <c r="F81" s="16">
        <v>1</v>
      </c>
      <c r="G81" s="16">
        <v>17869</v>
      </c>
      <c r="H81" s="156">
        <f>G81*F81/1000</f>
        <v>17.869</v>
      </c>
      <c r="I81" s="16">
        <v>0</v>
      </c>
    </row>
    <row r="82" spans="1:9" ht="15.75" customHeight="1">
      <c r="A82" s="177" t="s">
        <v>179</v>
      </c>
      <c r="B82" s="178"/>
      <c r="C82" s="178"/>
      <c r="D82" s="178"/>
      <c r="E82" s="178"/>
      <c r="F82" s="178"/>
      <c r="G82" s="178"/>
      <c r="H82" s="178"/>
      <c r="I82" s="179"/>
    </row>
    <row r="83" spans="1:9" ht="15.75" customHeight="1">
      <c r="A83" s="36">
        <v>19</v>
      </c>
      <c r="B83" s="141" t="s">
        <v>130</v>
      </c>
      <c r="C83" s="20" t="s">
        <v>55</v>
      </c>
      <c r="D83" s="84" t="s">
        <v>56</v>
      </c>
      <c r="E83" s="16">
        <v>4731.7</v>
      </c>
      <c r="F83" s="16">
        <f>SUM(E83*12)</f>
        <v>56780.399999999994</v>
      </c>
      <c r="G83" s="16">
        <v>2.54</v>
      </c>
      <c r="H83" s="156">
        <f>SUM(F83*G83/1000)</f>
        <v>144.22221599999997</v>
      </c>
      <c r="I83" s="16">
        <f>F83/12*G83</f>
        <v>12018.518</v>
      </c>
    </row>
    <row r="84" spans="1:9" ht="31.5" customHeight="1">
      <c r="A84" s="36">
        <v>20</v>
      </c>
      <c r="B84" s="18" t="s">
        <v>80</v>
      </c>
      <c r="C84" s="20"/>
      <c r="D84" s="84" t="s">
        <v>56</v>
      </c>
      <c r="E84" s="143">
        <f>E83</f>
        <v>4731.7</v>
      </c>
      <c r="F84" s="16">
        <f>E84*12</f>
        <v>56780.399999999994</v>
      </c>
      <c r="G84" s="16">
        <v>3.05</v>
      </c>
      <c r="H84" s="156">
        <f>F84*G84/1000</f>
        <v>173.18021999999996</v>
      </c>
      <c r="I84" s="16">
        <f>F84/12*G84</f>
        <v>14431.684999999999</v>
      </c>
    </row>
    <row r="85" spans="1:9" ht="15.75" customHeight="1">
      <c r="A85" s="36"/>
      <c r="B85" s="54" t="s">
        <v>84</v>
      </c>
      <c r="C85" s="159"/>
      <c r="D85" s="158"/>
      <c r="E85" s="147"/>
      <c r="F85" s="147"/>
      <c r="G85" s="147"/>
      <c r="H85" s="160">
        <f>H84</f>
        <v>173.18021999999996</v>
      </c>
      <c r="I85" s="147">
        <f>I16+I17+I18+I20+I27+I28+I39+I40+I42+I43+I44+I45+I51+I54+I58+I59+I64+I66+I83+I84</f>
        <v>86073.417712916649</v>
      </c>
    </row>
    <row r="86" spans="1:9" ht="15.75" customHeight="1">
      <c r="A86" s="36"/>
      <c r="B86" s="80" t="s">
        <v>61</v>
      </c>
      <c r="C86" s="20"/>
      <c r="D86" s="67"/>
      <c r="E86" s="16"/>
      <c r="F86" s="16"/>
      <c r="G86" s="16"/>
      <c r="H86" s="16"/>
      <c r="I86" s="16"/>
    </row>
    <row r="87" spans="1:9" ht="31.5" customHeight="1">
      <c r="A87" s="36">
        <v>21</v>
      </c>
      <c r="B87" s="81" t="s">
        <v>192</v>
      </c>
      <c r="C87" s="107" t="s">
        <v>122</v>
      </c>
      <c r="D87" s="18"/>
      <c r="E87" s="23"/>
      <c r="F87" s="16">
        <v>1</v>
      </c>
      <c r="G87" s="16">
        <v>2179.33</v>
      </c>
      <c r="H87" s="156">
        <f>G87*F87/1000</f>
        <v>2.1793299999999998</v>
      </c>
      <c r="I87" s="16">
        <f>G87</f>
        <v>2179.33</v>
      </c>
    </row>
    <row r="88" spans="1:9" ht="15.75" customHeight="1">
      <c r="A88" s="36">
        <v>22</v>
      </c>
      <c r="B88" s="81" t="s">
        <v>193</v>
      </c>
      <c r="C88" s="107" t="s">
        <v>122</v>
      </c>
      <c r="D88" s="18"/>
      <c r="E88" s="23"/>
      <c r="F88" s="16">
        <v>1</v>
      </c>
      <c r="G88" s="16">
        <v>1142.72</v>
      </c>
      <c r="H88" s="156">
        <f>G88*F88/1000</f>
        <v>1.14272</v>
      </c>
      <c r="I88" s="16">
        <f t="shared" ref="I88:I89" si="8">G88</f>
        <v>1142.72</v>
      </c>
    </row>
    <row r="89" spans="1:9" ht="31.5" customHeight="1">
      <c r="A89" s="36">
        <v>23</v>
      </c>
      <c r="B89" s="81" t="s">
        <v>83</v>
      </c>
      <c r="C89" s="107" t="s">
        <v>122</v>
      </c>
      <c r="D89" s="18"/>
      <c r="E89" s="23"/>
      <c r="F89" s="16">
        <v>3</v>
      </c>
      <c r="G89" s="16">
        <v>79.09</v>
      </c>
      <c r="H89" s="156">
        <f t="shared" ref="H89:H121" si="9">G89*F89/1000</f>
        <v>0.23727000000000001</v>
      </c>
      <c r="I89" s="16">
        <f t="shared" si="8"/>
        <v>79.09</v>
      </c>
    </row>
    <row r="90" spans="1:9" ht="31.5" customHeight="1">
      <c r="A90" s="36">
        <v>24</v>
      </c>
      <c r="B90" s="81" t="s">
        <v>194</v>
      </c>
      <c r="C90" s="107" t="s">
        <v>195</v>
      </c>
      <c r="D90" s="18"/>
      <c r="E90" s="23"/>
      <c r="F90" s="16">
        <f>1/10</f>
        <v>0.1</v>
      </c>
      <c r="G90" s="16">
        <v>195.27</v>
      </c>
      <c r="H90" s="156">
        <f t="shared" si="9"/>
        <v>1.9527000000000003E-2</v>
      </c>
      <c r="I90" s="16">
        <f>G90*0.1</f>
        <v>19.527000000000001</v>
      </c>
    </row>
    <row r="91" spans="1:9" ht="15.75" hidden="1" customHeight="1">
      <c r="A91" s="36"/>
      <c r="B91" s="81" t="s">
        <v>196</v>
      </c>
      <c r="C91" s="107" t="s">
        <v>197</v>
      </c>
      <c r="D91" s="18"/>
      <c r="E91" s="23"/>
      <c r="F91" s="16">
        <v>1</v>
      </c>
      <c r="G91" s="16">
        <v>28692</v>
      </c>
      <c r="H91" s="156">
        <f t="shared" si="9"/>
        <v>28.692</v>
      </c>
      <c r="I91" s="16">
        <v>0</v>
      </c>
    </row>
    <row r="92" spans="1:9" ht="31.5" hidden="1" customHeight="1">
      <c r="A92" s="36"/>
      <c r="B92" s="81" t="s">
        <v>198</v>
      </c>
      <c r="C92" s="107" t="s">
        <v>85</v>
      </c>
      <c r="D92" s="18"/>
      <c r="E92" s="23"/>
      <c r="F92" s="16">
        <v>2</v>
      </c>
      <c r="G92" s="16">
        <v>960.74</v>
      </c>
      <c r="H92" s="156">
        <f t="shared" si="9"/>
        <v>1.9214800000000001</v>
      </c>
      <c r="I92" s="16">
        <v>0</v>
      </c>
    </row>
    <row r="93" spans="1:9" ht="15.75" hidden="1" customHeight="1">
      <c r="A93" s="36"/>
      <c r="B93" s="81" t="s">
        <v>199</v>
      </c>
      <c r="C93" s="107" t="s">
        <v>122</v>
      </c>
      <c r="D93" s="67"/>
      <c r="E93" s="16"/>
      <c r="F93" s="16">
        <v>1</v>
      </c>
      <c r="G93" s="16">
        <v>27.36</v>
      </c>
      <c r="H93" s="156">
        <f t="shared" si="9"/>
        <v>2.7359999999999999E-2</v>
      </c>
      <c r="I93" s="16">
        <v>0</v>
      </c>
    </row>
    <row r="94" spans="1:9" ht="15.75" hidden="1" customHeight="1">
      <c r="A94" s="36"/>
      <c r="B94" s="81" t="s">
        <v>200</v>
      </c>
      <c r="C94" s="107" t="s">
        <v>122</v>
      </c>
      <c r="D94" s="67"/>
      <c r="E94" s="16"/>
      <c r="F94" s="16">
        <v>1</v>
      </c>
      <c r="G94" s="16">
        <v>109.73</v>
      </c>
      <c r="H94" s="156">
        <f t="shared" si="9"/>
        <v>0.10973000000000001</v>
      </c>
      <c r="I94" s="16">
        <v>0</v>
      </c>
    </row>
    <row r="95" spans="1:9" ht="15.75" hidden="1" customHeight="1">
      <c r="A95" s="36"/>
      <c r="B95" s="81" t="s">
        <v>201</v>
      </c>
      <c r="C95" s="108" t="s">
        <v>202</v>
      </c>
      <c r="D95" s="67"/>
      <c r="E95" s="16"/>
      <c r="F95" s="16">
        <v>1.5</v>
      </c>
      <c r="G95" s="16">
        <v>286.55</v>
      </c>
      <c r="H95" s="156">
        <f>G95*F95/1000</f>
        <v>0.42982500000000007</v>
      </c>
      <c r="I95" s="16">
        <v>0</v>
      </c>
    </row>
    <row r="96" spans="1:9" ht="31.5" hidden="1" customHeight="1">
      <c r="A96" s="36"/>
      <c r="B96" s="81" t="s">
        <v>87</v>
      </c>
      <c r="C96" s="107" t="s">
        <v>37</v>
      </c>
      <c r="D96" s="18"/>
      <c r="E96" s="23"/>
      <c r="F96" s="16">
        <v>0.05</v>
      </c>
      <c r="G96" s="16">
        <v>3397.65</v>
      </c>
      <c r="H96" s="156">
        <f t="shared" si="9"/>
        <v>0.16988250000000002</v>
      </c>
      <c r="I96" s="16">
        <v>0</v>
      </c>
    </row>
    <row r="97" spans="1:9" ht="15.75" hidden="1" customHeight="1">
      <c r="A97" s="36"/>
      <c r="B97" s="81" t="s">
        <v>158</v>
      </c>
      <c r="C97" s="107" t="s">
        <v>122</v>
      </c>
      <c r="D97" s="18"/>
      <c r="E97" s="23"/>
      <c r="F97" s="16">
        <v>729</v>
      </c>
      <c r="G97" s="16">
        <v>50.68</v>
      </c>
      <c r="H97" s="156">
        <f t="shared" si="9"/>
        <v>36.945720000000001</v>
      </c>
      <c r="I97" s="16">
        <v>0</v>
      </c>
    </row>
    <row r="98" spans="1:9" ht="15.75" hidden="1" customHeight="1">
      <c r="A98" s="36"/>
      <c r="B98" s="81" t="s">
        <v>203</v>
      </c>
      <c r="C98" s="107" t="s">
        <v>197</v>
      </c>
      <c r="D98" s="18"/>
      <c r="E98" s="23"/>
      <c r="F98" s="16">
        <v>1</v>
      </c>
      <c r="G98" s="16">
        <v>38699</v>
      </c>
      <c r="H98" s="156">
        <f t="shared" si="9"/>
        <v>38.698999999999998</v>
      </c>
      <c r="I98" s="16">
        <v>0</v>
      </c>
    </row>
    <row r="99" spans="1:9" ht="15.75" hidden="1" customHeight="1">
      <c r="A99" s="36"/>
      <c r="B99" s="81" t="s">
        <v>204</v>
      </c>
      <c r="C99" s="107" t="s">
        <v>205</v>
      </c>
      <c r="D99" s="18"/>
      <c r="E99" s="23"/>
      <c r="F99" s="16">
        <v>1</v>
      </c>
      <c r="G99" s="16">
        <v>1005.07</v>
      </c>
      <c r="H99" s="156">
        <f t="shared" si="9"/>
        <v>1.0050700000000001</v>
      </c>
      <c r="I99" s="16">
        <v>0</v>
      </c>
    </row>
    <row r="100" spans="1:9" ht="15.75" hidden="1" customHeight="1">
      <c r="A100" s="36"/>
      <c r="B100" s="81" t="s">
        <v>206</v>
      </c>
      <c r="C100" s="107" t="s">
        <v>207</v>
      </c>
      <c r="D100" s="18"/>
      <c r="E100" s="23"/>
      <c r="F100" s="16">
        <f>1/100</f>
        <v>0.01</v>
      </c>
      <c r="G100" s="16">
        <v>7033.13</v>
      </c>
      <c r="H100" s="156">
        <f t="shared" si="9"/>
        <v>7.0331299999999999E-2</v>
      </c>
      <c r="I100" s="16">
        <v>0</v>
      </c>
    </row>
    <row r="101" spans="1:9" ht="15.75" hidden="1" customHeight="1">
      <c r="A101" s="36"/>
      <c r="B101" s="81" t="s">
        <v>159</v>
      </c>
      <c r="C101" s="107" t="s">
        <v>122</v>
      </c>
      <c r="D101" s="67"/>
      <c r="E101" s="16"/>
      <c r="F101" s="16">
        <v>2</v>
      </c>
      <c r="G101" s="16">
        <v>1405.67</v>
      </c>
      <c r="H101" s="156">
        <f t="shared" si="9"/>
        <v>2.81134</v>
      </c>
      <c r="I101" s="16">
        <v>0</v>
      </c>
    </row>
    <row r="102" spans="1:9" ht="15.75" hidden="1" customHeight="1">
      <c r="A102" s="36"/>
      <c r="B102" s="81" t="s">
        <v>208</v>
      </c>
      <c r="C102" s="107" t="s">
        <v>197</v>
      </c>
      <c r="D102" s="67"/>
      <c r="E102" s="16"/>
      <c r="F102" s="16">
        <v>1</v>
      </c>
      <c r="G102" s="16">
        <v>594</v>
      </c>
      <c r="H102" s="156">
        <f t="shared" si="9"/>
        <v>0.59399999999999997</v>
      </c>
      <c r="I102" s="16">
        <v>0</v>
      </c>
    </row>
    <row r="103" spans="1:9" ht="15.75" hidden="1" customHeight="1">
      <c r="A103" s="36"/>
      <c r="B103" s="81" t="s">
        <v>168</v>
      </c>
      <c r="C103" s="107" t="s">
        <v>164</v>
      </c>
      <c r="D103" s="67"/>
      <c r="E103" s="16"/>
      <c r="F103" s="16">
        <v>3</v>
      </c>
      <c r="G103" s="16">
        <v>1148</v>
      </c>
      <c r="H103" s="156">
        <f t="shared" si="9"/>
        <v>3.444</v>
      </c>
      <c r="I103" s="16">
        <v>0</v>
      </c>
    </row>
    <row r="104" spans="1:9" ht="15.75" hidden="1" customHeight="1">
      <c r="A104" s="36"/>
      <c r="B104" s="123" t="s">
        <v>171</v>
      </c>
      <c r="C104" s="161" t="s">
        <v>172</v>
      </c>
      <c r="D104" s="18"/>
      <c r="E104" s="23"/>
      <c r="F104" s="16">
        <f>9/3</f>
        <v>3</v>
      </c>
      <c r="G104" s="16">
        <v>1063.47</v>
      </c>
      <c r="H104" s="156">
        <f t="shared" si="9"/>
        <v>3.19041</v>
      </c>
      <c r="I104" s="16">
        <v>0</v>
      </c>
    </row>
    <row r="105" spans="1:9" ht="31.5" hidden="1" customHeight="1">
      <c r="A105" s="36"/>
      <c r="B105" s="81" t="s">
        <v>209</v>
      </c>
      <c r="C105" s="107" t="s">
        <v>166</v>
      </c>
      <c r="D105" s="18"/>
      <c r="E105" s="23"/>
      <c r="F105" s="16">
        <v>2</v>
      </c>
      <c r="G105" s="16">
        <v>294.79000000000002</v>
      </c>
      <c r="H105" s="156">
        <f t="shared" si="9"/>
        <v>0.58957999999999999</v>
      </c>
      <c r="I105" s="16">
        <v>0</v>
      </c>
    </row>
    <row r="106" spans="1:9" ht="15.75" hidden="1" customHeight="1">
      <c r="A106" s="36"/>
      <c r="B106" s="111" t="s">
        <v>92</v>
      </c>
      <c r="C106" s="107" t="s">
        <v>122</v>
      </c>
      <c r="D106" s="18"/>
      <c r="E106" s="23"/>
      <c r="F106" s="16">
        <v>2</v>
      </c>
      <c r="G106" s="16">
        <v>179.96</v>
      </c>
      <c r="H106" s="156">
        <f t="shared" si="9"/>
        <v>0.35992000000000002</v>
      </c>
      <c r="I106" s="16">
        <v>0</v>
      </c>
    </row>
    <row r="107" spans="1:9" ht="15.75" hidden="1" customHeight="1">
      <c r="A107" s="36"/>
      <c r="B107" s="81" t="s">
        <v>90</v>
      </c>
      <c r="C107" s="107" t="s">
        <v>210</v>
      </c>
      <c r="D107" s="18"/>
      <c r="E107" s="23"/>
      <c r="F107" s="16">
        <v>2</v>
      </c>
      <c r="G107" s="16">
        <v>290.67</v>
      </c>
      <c r="H107" s="156">
        <f t="shared" si="9"/>
        <v>0.58134000000000008</v>
      </c>
      <c r="I107" s="16">
        <v>0</v>
      </c>
    </row>
    <row r="108" spans="1:9" ht="31.5" hidden="1" customHeight="1">
      <c r="A108" s="36"/>
      <c r="B108" s="81" t="s">
        <v>167</v>
      </c>
      <c r="C108" s="107" t="s">
        <v>166</v>
      </c>
      <c r="D108" s="18"/>
      <c r="E108" s="23"/>
      <c r="F108" s="16">
        <v>4</v>
      </c>
      <c r="G108" s="16">
        <v>762.37</v>
      </c>
      <c r="H108" s="156">
        <f t="shared" si="9"/>
        <v>3.04948</v>
      </c>
      <c r="I108" s="16">
        <v>0</v>
      </c>
    </row>
    <row r="109" spans="1:9" ht="15.75" hidden="1" customHeight="1">
      <c r="A109" s="36"/>
      <c r="B109" s="140" t="s">
        <v>211</v>
      </c>
      <c r="C109" s="36" t="s">
        <v>212</v>
      </c>
      <c r="D109" s="18"/>
      <c r="E109" s="23"/>
      <c r="F109" s="16">
        <f>0.5/10</f>
        <v>0.05</v>
      </c>
      <c r="G109" s="16">
        <v>3699.27</v>
      </c>
      <c r="H109" s="156">
        <f t="shared" si="9"/>
        <v>0.1849635</v>
      </c>
      <c r="I109" s="16">
        <v>0</v>
      </c>
    </row>
    <row r="110" spans="1:9" ht="31.5" hidden="1" customHeight="1">
      <c r="A110" s="36"/>
      <c r="B110" s="81" t="s">
        <v>213</v>
      </c>
      <c r="C110" s="107" t="s">
        <v>85</v>
      </c>
      <c r="D110" s="18"/>
      <c r="E110" s="23"/>
      <c r="F110" s="16">
        <v>6</v>
      </c>
      <c r="G110" s="16">
        <v>771.29</v>
      </c>
      <c r="H110" s="156">
        <f t="shared" si="9"/>
        <v>4.6277400000000002</v>
      </c>
      <c r="I110" s="16">
        <v>0</v>
      </c>
    </row>
    <row r="111" spans="1:9" ht="15.75" hidden="1" customHeight="1">
      <c r="A111" s="36"/>
      <c r="B111" s="81" t="s">
        <v>223</v>
      </c>
      <c r="C111" s="107" t="s">
        <v>122</v>
      </c>
      <c r="D111" s="18"/>
      <c r="E111" s="23"/>
      <c r="F111" s="16">
        <v>1</v>
      </c>
      <c r="G111" s="16">
        <v>49.97</v>
      </c>
      <c r="H111" s="156">
        <f t="shared" si="9"/>
        <v>4.9970000000000001E-2</v>
      </c>
      <c r="I111" s="16">
        <v>0</v>
      </c>
    </row>
    <row r="112" spans="1:9" ht="15.75" hidden="1" customHeight="1">
      <c r="A112" s="36"/>
      <c r="B112" s="81" t="s">
        <v>214</v>
      </c>
      <c r="C112" s="107" t="s">
        <v>122</v>
      </c>
      <c r="D112" s="18"/>
      <c r="E112" s="23"/>
      <c r="F112" s="16">
        <v>1</v>
      </c>
      <c r="G112" s="16">
        <v>86.15</v>
      </c>
      <c r="H112" s="156">
        <f t="shared" si="9"/>
        <v>8.6150000000000004E-2</v>
      </c>
      <c r="I112" s="16">
        <v>0</v>
      </c>
    </row>
    <row r="113" spans="1:9" ht="15.75" hidden="1" customHeight="1">
      <c r="A113" s="36"/>
      <c r="B113" s="81" t="s">
        <v>215</v>
      </c>
      <c r="C113" s="107" t="s">
        <v>122</v>
      </c>
      <c r="D113" s="18"/>
      <c r="E113" s="23"/>
      <c r="F113" s="16">
        <v>2</v>
      </c>
      <c r="G113" s="16">
        <v>78.89</v>
      </c>
      <c r="H113" s="156">
        <f t="shared" si="9"/>
        <v>0.15778</v>
      </c>
      <c r="I113" s="16">
        <v>0</v>
      </c>
    </row>
    <row r="114" spans="1:9" ht="31.5" hidden="1" customHeight="1">
      <c r="A114" s="36"/>
      <c r="B114" s="81" t="s">
        <v>216</v>
      </c>
      <c r="C114" s="107" t="s">
        <v>197</v>
      </c>
      <c r="D114" s="18"/>
      <c r="E114" s="23"/>
      <c r="F114" s="16">
        <v>1</v>
      </c>
      <c r="G114" s="16">
        <v>48548</v>
      </c>
      <c r="H114" s="156">
        <f t="shared" si="9"/>
        <v>48.548000000000002</v>
      </c>
      <c r="I114" s="16">
        <v>0</v>
      </c>
    </row>
    <row r="115" spans="1:9" ht="15.75" hidden="1" customHeight="1">
      <c r="A115" s="36"/>
      <c r="B115" s="81" t="s">
        <v>217</v>
      </c>
      <c r="C115" s="108" t="s">
        <v>218</v>
      </c>
      <c r="D115" s="18"/>
      <c r="E115" s="23"/>
      <c r="F115" s="16">
        <v>1</v>
      </c>
      <c r="G115" s="16">
        <v>193.17</v>
      </c>
      <c r="H115" s="156">
        <f t="shared" si="9"/>
        <v>0.19316999999999998</v>
      </c>
      <c r="I115" s="16">
        <v>0</v>
      </c>
    </row>
    <row r="116" spans="1:9" ht="31.5" hidden="1" customHeight="1">
      <c r="A116" s="36"/>
      <c r="B116" s="81" t="s">
        <v>219</v>
      </c>
      <c r="C116" s="107" t="s">
        <v>166</v>
      </c>
      <c r="D116" s="18"/>
      <c r="E116" s="23"/>
      <c r="F116" s="16">
        <v>2</v>
      </c>
      <c r="G116" s="16">
        <v>476.76</v>
      </c>
      <c r="H116" s="156">
        <f t="shared" si="9"/>
        <v>0.95352000000000003</v>
      </c>
      <c r="I116" s="16">
        <v>0</v>
      </c>
    </row>
    <row r="117" spans="1:9" ht="31.5" hidden="1" customHeight="1">
      <c r="A117" s="36"/>
      <c r="B117" s="81" t="s">
        <v>165</v>
      </c>
      <c r="C117" s="107" t="s">
        <v>166</v>
      </c>
      <c r="D117" s="18"/>
      <c r="E117" s="23"/>
      <c r="F117" s="16">
        <v>4</v>
      </c>
      <c r="G117" s="16">
        <v>559.62</v>
      </c>
      <c r="H117" s="156">
        <f t="shared" si="9"/>
        <v>2.23848</v>
      </c>
      <c r="I117" s="16">
        <v>0</v>
      </c>
    </row>
    <row r="118" spans="1:9" ht="15.75" hidden="1" customHeight="1">
      <c r="A118" s="36"/>
      <c r="B118" s="81" t="s">
        <v>224</v>
      </c>
      <c r="C118" s="107" t="s">
        <v>186</v>
      </c>
      <c r="D118" s="18"/>
      <c r="E118" s="23"/>
      <c r="F118" s="16">
        <v>1</v>
      </c>
      <c r="G118" s="16">
        <v>176.43</v>
      </c>
      <c r="H118" s="156">
        <f t="shared" si="9"/>
        <v>0.17643</v>
      </c>
      <c r="I118" s="16">
        <v>0</v>
      </c>
    </row>
    <row r="119" spans="1:9" ht="15.75" hidden="1" customHeight="1">
      <c r="A119" s="36"/>
      <c r="B119" s="81" t="s">
        <v>220</v>
      </c>
      <c r="C119" s="107" t="s">
        <v>197</v>
      </c>
      <c r="D119" s="18"/>
      <c r="E119" s="23"/>
      <c r="F119" s="16">
        <v>1</v>
      </c>
      <c r="G119" s="16">
        <v>10691</v>
      </c>
      <c r="H119" s="156">
        <f t="shared" si="9"/>
        <v>10.691000000000001</v>
      </c>
      <c r="I119" s="16">
        <v>0</v>
      </c>
    </row>
    <row r="120" spans="1:9" ht="15.75" hidden="1" customHeight="1">
      <c r="A120" s="36"/>
      <c r="B120" s="81" t="s">
        <v>91</v>
      </c>
      <c r="C120" s="107" t="s">
        <v>221</v>
      </c>
      <c r="D120" s="18"/>
      <c r="E120" s="23"/>
      <c r="F120" s="16">
        <v>1</v>
      </c>
      <c r="G120" s="16">
        <v>290.91000000000003</v>
      </c>
      <c r="H120" s="156">
        <f t="shared" si="9"/>
        <v>0.29091</v>
      </c>
      <c r="I120" s="16">
        <v>0</v>
      </c>
    </row>
    <row r="121" spans="1:9" ht="15.75" hidden="1" customHeight="1">
      <c r="A121" s="36"/>
      <c r="B121" s="81" t="s">
        <v>222</v>
      </c>
      <c r="C121" s="107" t="s">
        <v>197</v>
      </c>
      <c r="D121" s="18"/>
      <c r="E121" s="23"/>
      <c r="F121" s="16">
        <v>1</v>
      </c>
      <c r="G121" s="16">
        <v>69748</v>
      </c>
      <c r="H121" s="156">
        <f t="shared" si="9"/>
        <v>69.748000000000005</v>
      </c>
      <c r="I121" s="16">
        <v>0</v>
      </c>
    </row>
    <row r="122" spans="1:9">
      <c r="A122" s="36"/>
      <c r="B122" s="61" t="s">
        <v>51</v>
      </c>
      <c r="C122" s="57"/>
      <c r="D122" s="71"/>
      <c r="E122" s="57">
        <v>1</v>
      </c>
      <c r="F122" s="57"/>
      <c r="G122" s="57"/>
      <c r="H122" s="57"/>
      <c r="I122" s="39">
        <f>SUM(I87:I121)</f>
        <v>3420.6670000000004</v>
      </c>
    </row>
    <row r="123" spans="1:9" ht="15.75" customHeight="1">
      <c r="A123" s="36"/>
      <c r="B123" s="67" t="s">
        <v>81</v>
      </c>
      <c r="C123" s="19"/>
      <c r="D123" s="19"/>
      <c r="E123" s="58"/>
      <c r="F123" s="58"/>
      <c r="G123" s="59"/>
      <c r="H123" s="59"/>
      <c r="I123" s="22">
        <v>0</v>
      </c>
    </row>
    <row r="124" spans="1:9" ht="15.75" customHeight="1">
      <c r="A124" s="72"/>
      <c r="B124" s="62" t="s">
        <v>52</v>
      </c>
      <c r="C124" s="45"/>
      <c r="D124" s="45"/>
      <c r="E124" s="45"/>
      <c r="F124" s="45"/>
      <c r="G124" s="45"/>
      <c r="H124" s="45"/>
      <c r="I124" s="60">
        <f>I85+I122</f>
        <v>89494.08471291665</v>
      </c>
    </row>
    <row r="125" spans="1:9" ht="15.75" customHeight="1">
      <c r="A125" s="169" t="s">
        <v>230</v>
      </c>
      <c r="B125" s="169"/>
      <c r="C125" s="169"/>
      <c r="D125" s="169"/>
      <c r="E125" s="169"/>
      <c r="F125" s="169"/>
      <c r="G125" s="169"/>
      <c r="H125" s="169"/>
      <c r="I125" s="169"/>
    </row>
    <row r="126" spans="1:9" ht="15.75" customHeight="1">
      <c r="A126" s="121"/>
      <c r="B126" s="170" t="s">
        <v>231</v>
      </c>
      <c r="C126" s="170"/>
      <c r="D126" s="170"/>
      <c r="E126" s="170"/>
      <c r="F126" s="170"/>
      <c r="G126" s="170"/>
      <c r="H126" s="139"/>
      <c r="I126" s="3"/>
    </row>
    <row r="127" spans="1:9" ht="15.75" customHeight="1">
      <c r="A127" s="130"/>
      <c r="B127" s="165" t="s">
        <v>6</v>
      </c>
      <c r="C127" s="165"/>
      <c r="D127" s="165"/>
      <c r="E127" s="165"/>
      <c r="F127" s="165"/>
      <c r="G127" s="165"/>
      <c r="H127" s="31"/>
      <c r="I127" s="5"/>
    </row>
    <row r="128" spans="1:9" ht="15.75" customHeight="1">
      <c r="A128" s="10"/>
      <c r="B128" s="10"/>
      <c r="C128" s="10"/>
      <c r="D128" s="10"/>
      <c r="E128" s="10"/>
      <c r="F128" s="10"/>
      <c r="G128" s="10"/>
      <c r="H128" s="10"/>
      <c r="I128" s="10"/>
    </row>
    <row r="129" spans="1:9" ht="15.75" customHeight="1">
      <c r="A129" s="171" t="s">
        <v>7</v>
      </c>
      <c r="B129" s="171"/>
      <c r="C129" s="171"/>
      <c r="D129" s="171"/>
      <c r="E129" s="171"/>
      <c r="F129" s="171"/>
      <c r="G129" s="171"/>
      <c r="H129" s="171"/>
      <c r="I129" s="171"/>
    </row>
    <row r="130" spans="1:9" ht="15.75" customHeight="1">
      <c r="A130" s="171" t="s">
        <v>8</v>
      </c>
      <c r="B130" s="171"/>
      <c r="C130" s="171"/>
      <c r="D130" s="171"/>
      <c r="E130" s="171"/>
      <c r="F130" s="171"/>
      <c r="G130" s="171"/>
      <c r="H130" s="171"/>
      <c r="I130" s="171"/>
    </row>
    <row r="131" spans="1:9" ht="15.75" customHeight="1">
      <c r="A131" s="172" t="s">
        <v>62</v>
      </c>
      <c r="B131" s="172"/>
      <c r="C131" s="172"/>
      <c r="D131" s="172"/>
      <c r="E131" s="172"/>
      <c r="F131" s="172"/>
      <c r="G131" s="172"/>
      <c r="H131" s="172"/>
      <c r="I131" s="172"/>
    </row>
    <row r="132" spans="1:9" ht="15.75" customHeight="1">
      <c r="A132" s="11"/>
    </row>
    <row r="133" spans="1:9" ht="15.75">
      <c r="A133" s="163" t="s">
        <v>9</v>
      </c>
      <c r="B133" s="163"/>
      <c r="C133" s="163"/>
      <c r="D133" s="163"/>
      <c r="E133" s="163"/>
      <c r="F133" s="163"/>
      <c r="G133" s="163"/>
      <c r="H133" s="163"/>
      <c r="I133" s="163"/>
    </row>
    <row r="134" spans="1:9" ht="15.75">
      <c r="A134" s="4"/>
    </row>
    <row r="135" spans="1:9" ht="15.75" customHeight="1">
      <c r="B135" s="127" t="s">
        <v>10</v>
      </c>
      <c r="C135" s="164" t="s">
        <v>180</v>
      </c>
      <c r="D135" s="164"/>
      <c r="E135" s="164"/>
      <c r="F135" s="137"/>
      <c r="I135" s="129"/>
    </row>
    <row r="136" spans="1:9" ht="15.75" customHeight="1">
      <c r="A136" s="130"/>
      <c r="C136" s="165" t="s">
        <v>11</v>
      </c>
      <c r="D136" s="165"/>
      <c r="E136" s="165"/>
      <c r="F136" s="31"/>
      <c r="I136" s="128" t="s">
        <v>12</v>
      </c>
    </row>
    <row r="137" spans="1:9" ht="15.75" customHeight="1">
      <c r="A137" s="32"/>
      <c r="C137" s="12"/>
      <c r="D137" s="12"/>
      <c r="G137" s="12"/>
      <c r="H137" s="12"/>
    </row>
    <row r="138" spans="1:9" ht="15.75" customHeight="1">
      <c r="B138" s="127" t="s">
        <v>13</v>
      </c>
      <c r="C138" s="166"/>
      <c r="D138" s="166"/>
      <c r="E138" s="166"/>
      <c r="F138" s="138"/>
      <c r="I138" s="129"/>
    </row>
    <row r="139" spans="1:9" ht="15.75" customHeight="1">
      <c r="A139" s="130"/>
      <c r="C139" s="167" t="s">
        <v>11</v>
      </c>
      <c r="D139" s="167"/>
      <c r="E139" s="167"/>
      <c r="F139" s="130"/>
      <c r="I139" s="128" t="s">
        <v>12</v>
      </c>
    </row>
    <row r="140" spans="1:9" ht="15.75">
      <c r="A140" s="4" t="s">
        <v>14</v>
      </c>
    </row>
    <row r="141" spans="1:9">
      <c r="A141" s="168" t="s">
        <v>15</v>
      </c>
      <c r="B141" s="168"/>
      <c r="C141" s="168"/>
      <c r="D141" s="168"/>
      <c r="E141" s="168"/>
      <c r="F141" s="168"/>
      <c r="G141" s="168"/>
      <c r="H141" s="168"/>
      <c r="I141" s="168"/>
    </row>
    <row r="142" spans="1:9" ht="45" customHeight="1">
      <c r="A142" s="162" t="s">
        <v>16</v>
      </c>
      <c r="B142" s="162"/>
      <c r="C142" s="162"/>
      <c r="D142" s="162"/>
      <c r="E142" s="162"/>
      <c r="F142" s="162"/>
      <c r="G142" s="162"/>
      <c r="H142" s="162"/>
      <c r="I142" s="162"/>
    </row>
    <row r="143" spans="1:9" ht="30" customHeight="1">
      <c r="A143" s="162" t="s">
        <v>17</v>
      </c>
      <c r="B143" s="162"/>
      <c r="C143" s="162"/>
      <c r="D143" s="162"/>
      <c r="E143" s="162"/>
      <c r="F143" s="162"/>
      <c r="G143" s="162"/>
      <c r="H143" s="162"/>
      <c r="I143" s="162"/>
    </row>
    <row r="144" spans="1:9" ht="30" customHeight="1">
      <c r="A144" s="162" t="s">
        <v>21</v>
      </c>
      <c r="B144" s="162"/>
      <c r="C144" s="162"/>
      <c r="D144" s="162"/>
      <c r="E144" s="162"/>
      <c r="F144" s="162"/>
      <c r="G144" s="162"/>
      <c r="H144" s="162"/>
      <c r="I144" s="162"/>
    </row>
    <row r="145" spans="1:9" ht="15" customHeight="1">
      <c r="A145" s="162" t="s">
        <v>20</v>
      </c>
      <c r="B145" s="162"/>
      <c r="C145" s="162"/>
      <c r="D145" s="162"/>
      <c r="E145" s="162"/>
      <c r="F145" s="162"/>
      <c r="G145" s="162"/>
      <c r="H145" s="162"/>
      <c r="I145" s="162"/>
    </row>
  </sheetData>
  <autoFilter ref="I12:I61"/>
  <mergeCells count="28">
    <mergeCell ref="A142:I142"/>
    <mergeCell ref="A143:I143"/>
    <mergeCell ref="A144:I144"/>
    <mergeCell ref="A145:I145"/>
    <mergeCell ref="A133:I133"/>
    <mergeCell ref="C135:E135"/>
    <mergeCell ref="C136:E136"/>
    <mergeCell ref="C138:E138"/>
    <mergeCell ref="C139:E139"/>
    <mergeCell ref="A141:I141"/>
    <mergeCell ref="A125:I125"/>
    <mergeCell ref="B126:G126"/>
    <mergeCell ref="B127:G127"/>
    <mergeCell ref="A129:I129"/>
    <mergeCell ref="A130:I130"/>
    <mergeCell ref="A131:I131"/>
    <mergeCell ref="A15:I15"/>
    <mergeCell ref="A29:I29"/>
    <mergeCell ref="A46:I46"/>
    <mergeCell ref="A56:I56"/>
    <mergeCell ref="R66:U66"/>
    <mergeCell ref="A82:I82"/>
    <mergeCell ref="A3:I3"/>
    <mergeCell ref="A4:I4"/>
    <mergeCell ref="A5:I5"/>
    <mergeCell ref="A8:I8"/>
    <mergeCell ref="A10:I10"/>
    <mergeCell ref="A14:I14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12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4" t="s">
        <v>94</v>
      </c>
      <c r="I1" s="33"/>
      <c r="J1" s="1"/>
      <c r="K1" s="1"/>
      <c r="L1" s="1"/>
      <c r="M1" s="1"/>
    </row>
    <row r="2" spans="1:13" ht="15.75">
      <c r="A2" s="35" t="s">
        <v>64</v>
      </c>
      <c r="J2" s="2"/>
      <c r="K2" s="2"/>
      <c r="L2" s="2"/>
      <c r="M2" s="2"/>
    </row>
    <row r="3" spans="1:13" ht="15.75" customHeight="1">
      <c r="A3" s="180" t="s">
        <v>232</v>
      </c>
      <c r="B3" s="180"/>
      <c r="C3" s="180"/>
      <c r="D3" s="180"/>
      <c r="E3" s="180"/>
      <c r="F3" s="180"/>
      <c r="G3" s="180"/>
      <c r="H3" s="180"/>
      <c r="I3" s="180"/>
      <c r="J3" s="3"/>
      <c r="K3" s="3"/>
      <c r="L3" s="3"/>
    </row>
    <row r="4" spans="1:13" ht="31.5" customHeight="1">
      <c r="A4" s="181" t="s">
        <v>162</v>
      </c>
      <c r="B4" s="181"/>
      <c r="C4" s="181"/>
      <c r="D4" s="181"/>
      <c r="E4" s="181"/>
      <c r="F4" s="181"/>
      <c r="G4" s="181"/>
      <c r="H4" s="181"/>
      <c r="I4" s="181"/>
    </row>
    <row r="5" spans="1:13" ht="15.75">
      <c r="A5" s="180" t="s">
        <v>233</v>
      </c>
      <c r="B5" s="182"/>
      <c r="C5" s="182"/>
      <c r="D5" s="182"/>
      <c r="E5" s="182"/>
      <c r="F5" s="182"/>
      <c r="G5" s="182"/>
      <c r="H5" s="182"/>
      <c r="I5" s="182"/>
      <c r="J5" s="2"/>
      <c r="K5" s="2"/>
      <c r="L5" s="2"/>
      <c r="M5" s="2"/>
    </row>
    <row r="6" spans="1:13" ht="15.75">
      <c r="A6" s="2"/>
      <c r="B6" s="126"/>
      <c r="C6" s="126"/>
      <c r="D6" s="126"/>
      <c r="E6" s="126"/>
      <c r="F6" s="126"/>
      <c r="G6" s="126"/>
      <c r="H6" s="126"/>
      <c r="I6" s="37">
        <v>42460</v>
      </c>
      <c r="J6" s="2"/>
      <c r="K6" s="2"/>
      <c r="L6" s="2"/>
      <c r="M6" s="2"/>
    </row>
    <row r="7" spans="1:13" ht="15.75">
      <c r="B7" s="127"/>
      <c r="C7" s="127"/>
      <c r="D7" s="127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83" t="s">
        <v>175</v>
      </c>
      <c r="B8" s="183"/>
      <c r="C8" s="183"/>
      <c r="D8" s="183"/>
      <c r="E8" s="183"/>
      <c r="F8" s="183"/>
      <c r="G8" s="183"/>
      <c r="H8" s="183"/>
      <c r="I8" s="183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84" t="s">
        <v>176</v>
      </c>
      <c r="B10" s="184"/>
      <c r="C10" s="184"/>
      <c r="D10" s="184"/>
      <c r="E10" s="184"/>
      <c r="F10" s="184"/>
      <c r="G10" s="184"/>
      <c r="H10" s="184"/>
      <c r="I10" s="184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85" t="s">
        <v>60</v>
      </c>
      <c r="B14" s="185"/>
      <c r="C14" s="185"/>
      <c r="D14" s="185"/>
      <c r="E14" s="185"/>
      <c r="F14" s="185"/>
      <c r="G14" s="185"/>
      <c r="H14" s="185"/>
      <c r="I14" s="185"/>
      <c r="J14" s="8"/>
      <c r="K14" s="8"/>
      <c r="L14" s="8"/>
      <c r="M14" s="8"/>
    </row>
    <row r="15" spans="1:13" ht="15" customHeight="1">
      <c r="A15" s="173" t="s">
        <v>4</v>
      </c>
      <c r="B15" s="173"/>
      <c r="C15" s="173"/>
      <c r="D15" s="173"/>
      <c r="E15" s="173"/>
      <c r="F15" s="173"/>
      <c r="G15" s="173"/>
      <c r="H15" s="173"/>
      <c r="I15" s="173"/>
      <c r="J15" s="8"/>
      <c r="K15" s="8"/>
      <c r="L15" s="8"/>
      <c r="M15" s="8"/>
    </row>
    <row r="16" spans="1:13" ht="31.5" customHeight="1">
      <c r="A16" s="36">
        <v>1</v>
      </c>
      <c r="B16" s="141" t="s">
        <v>97</v>
      </c>
      <c r="C16" s="142" t="s">
        <v>98</v>
      </c>
      <c r="D16" s="141" t="s">
        <v>99</v>
      </c>
      <c r="E16" s="143">
        <v>143.78</v>
      </c>
      <c r="F16" s="144">
        <f>SUM(E16*156/100)</f>
        <v>224.29679999999999</v>
      </c>
      <c r="G16" s="144">
        <v>187.48</v>
      </c>
      <c r="H16" s="145">
        <f t="shared" ref="H16:H25" si="0">SUM(F16*G16/1000)</f>
        <v>42.051164063999998</v>
      </c>
      <c r="I16" s="16">
        <f>F16/12*G16</f>
        <v>3504.2636719999996</v>
      </c>
      <c r="J16" s="28"/>
      <c r="K16" s="8"/>
      <c r="L16" s="8"/>
      <c r="M16" s="8"/>
    </row>
    <row r="17" spans="1:13" ht="31.5" customHeight="1">
      <c r="A17" s="36">
        <v>2</v>
      </c>
      <c r="B17" s="141" t="s">
        <v>133</v>
      </c>
      <c r="C17" s="142" t="s">
        <v>98</v>
      </c>
      <c r="D17" s="141" t="s">
        <v>100</v>
      </c>
      <c r="E17" s="143">
        <v>575.125</v>
      </c>
      <c r="F17" s="144">
        <f>SUM(E17*104/100)</f>
        <v>598.13</v>
      </c>
      <c r="G17" s="144">
        <v>187.48</v>
      </c>
      <c r="H17" s="145">
        <f t="shared" si="0"/>
        <v>112.13741239999999</v>
      </c>
      <c r="I17" s="16">
        <f>F17/12*G17</f>
        <v>9344.7843666666668</v>
      </c>
      <c r="J17" s="29"/>
      <c r="K17" s="8"/>
      <c r="L17" s="8"/>
      <c r="M17" s="8"/>
    </row>
    <row r="18" spans="1:13" ht="31.5" customHeight="1">
      <c r="A18" s="36">
        <v>3</v>
      </c>
      <c r="B18" s="141" t="s">
        <v>134</v>
      </c>
      <c r="C18" s="142" t="s">
        <v>98</v>
      </c>
      <c r="D18" s="141" t="s">
        <v>142</v>
      </c>
      <c r="E18" s="143">
        <v>718.9</v>
      </c>
      <c r="F18" s="144">
        <f>SUM(E18*24/100)</f>
        <v>172.53599999999997</v>
      </c>
      <c r="G18" s="144">
        <v>539.51</v>
      </c>
      <c r="H18" s="145">
        <f t="shared" si="0"/>
        <v>93.084897359999985</v>
      </c>
      <c r="I18" s="16">
        <f>F18/12*G18</f>
        <v>7757.074779999999</v>
      </c>
      <c r="J18" s="29"/>
      <c r="K18" s="8"/>
      <c r="L18" s="8"/>
      <c r="M18" s="8"/>
    </row>
    <row r="19" spans="1:13" ht="15.75" hidden="1" customHeight="1">
      <c r="A19" s="36"/>
      <c r="B19" s="141" t="s">
        <v>107</v>
      </c>
      <c r="C19" s="142" t="s">
        <v>108</v>
      </c>
      <c r="D19" s="141" t="s">
        <v>109</v>
      </c>
      <c r="E19" s="143">
        <v>42.2</v>
      </c>
      <c r="F19" s="144">
        <f>SUM(E19/10)</f>
        <v>4.2200000000000006</v>
      </c>
      <c r="G19" s="144">
        <v>181.91</v>
      </c>
      <c r="H19" s="145">
        <f t="shared" si="0"/>
        <v>0.76766020000000013</v>
      </c>
      <c r="I19" s="16">
        <v>0</v>
      </c>
      <c r="J19" s="29"/>
      <c r="K19" s="8"/>
      <c r="L19" s="8"/>
      <c r="M19" s="8"/>
    </row>
    <row r="20" spans="1:13" ht="15.75" customHeight="1">
      <c r="A20" s="36">
        <v>4</v>
      </c>
      <c r="B20" s="141" t="s">
        <v>110</v>
      </c>
      <c r="C20" s="142" t="s">
        <v>98</v>
      </c>
      <c r="D20" s="141" t="s">
        <v>135</v>
      </c>
      <c r="E20" s="143">
        <v>14</v>
      </c>
      <c r="F20" s="144">
        <f>SUM(E20*12/100)</f>
        <v>1.68</v>
      </c>
      <c r="G20" s="144">
        <v>232.92</v>
      </c>
      <c r="H20" s="145">
        <f t="shared" si="0"/>
        <v>0.39130559999999998</v>
      </c>
      <c r="I20" s="16">
        <f>F20/12*G20</f>
        <v>32.608799999999995</v>
      </c>
      <c r="J20" s="29"/>
      <c r="K20" s="8"/>
      <c r="L20" s="8"/>
      <c r="M20" s="8"/>
    </row>
    <row r="21" spans="1:13" ht="15.75" customHeight="1">
      <c r="A21" s="36">
        <v>5</v>
      </c>
      <c r="B21" s="141" t="s">
        <v>111</v>
      </c>
      <c r="C21" s="142" t="s">
        <v>98</v>
      </c>
      <c r="D21" s="141" t="s">
        <v>184</v>
      </c>
      <c r="E21" s="143">
        <v>4.8</v>
      </c>
      <c r="F21" s="144">
        <f>SUM(E21*6/100)</f>
        <v>0.28799999999999998</v>
      </c>
      <c r="G21" s="144">
        <v>231.03</v>
      </c>
      <c r="H21" s="145">
        <f>SUM(F21*G21/1000)</f>
        <v>6.6536639999999994E-2</v>
      </c>
      <c r="I21" s="16">
        <f>F21/6*G21</f>
        <v>11.089439999999998</v>
      </c>
      <c r="J21" s="29"/>
      <c r="K21" s="8"/>
      <c r="L21" s="8"/>
      <c r="M21" s="8"/>
    </row>
    <row r="22" spans="1:13" ht="15.75" hidden="1" customHeight="1">
      <c r="A22" s="36"/>
      <c r="B22" s="141" t="s">
        <v>112</v>
      </c>
      <c r="C22" s="142" t="s">
        <v>53</v>
      </c>
      <c r="D22" s="141" t="s">
        <v>109</v>
      </c>
      <c r="E22" s="143">
        <v>640</v>
      </c>
      <c r="F22" s="144">
        <f>SUM(E22/100)</f>
        <v>6.4</v>
      </c>
      <c r="G22" s="144">
        <v>287.83999999999997</v>
      </c>
      <c r="H22" s="145">
        <f t="shared" si="0"/>
        <v>1.842176</v>
      </c>
      <c r="I22" s="16">
        <v>0</v>
      </c>
      <c r="J22" s="29"/>
      <c r="K22" s="8"/>
      <c r="L22" s="8"/>
      <c r="M22" s="8"/>
    </row>
    <row r="23" spans="1:13" ht="15.75" hidden="1" customHeight="1">
      <c r="A23" s="36"/>
      <c r="B23" s="141" t="s">
        <v>113</v>
      </c>
      <c r="C23" s="142" t="s">
        <v>53</v>
      </c>
      <c r="D23" s="141" t="s">
        <v>109</v>
      </c>
      <c r="E23" s="146">
        <v>48.3</v>
      </c>
      <c r="F23" s="144">
        <f>SUM(E23/100)</f>
        <v>0.48299999999999998</v>
      </c>
      <c r="G23" s="144">
        <v>47.34</v>
      </c>
      <c r="H23" s="145">
        <f t="shared" si="0"/>
        <v>2.2865220000000002E-2</v>
      </c>
      <c r="I23" s="16">
        <v>0</v>
      </c>
      <c r="J23" s="29"/>
      <c r="K23" s="8"/>
      <c r="L23" s="8"/>
      <c r="M23" s="8"/>
    </row>
    <row r="24" spans="1:13" ht="15.75" hidden="1" customHeight="1">
      <c r="A24" s="36"/>
      <c r="B24" s="141" t="s">
        <v>114</v>
      </c>
      <c r="C24" s="142" t="s">
        <v>53</v>
      </c>
      <c r="D24" s="141" t="s">
        <v>54</v>
      </c>
      <c r="E24" s="143">
        <v>20</v>
      </c>
      <c r="F24" s="144">
        <f>E24/100</f>
        <v>0.2</v>
      </c>
      <c r="G24" s="144">
        <v>416.62</v>
      </c>
      <c r="H24" s="145">
        <f t="shared" si="0"/>
        <v>8.3324000000000009E-2</v>
      </c>
      <c r="I24" s="16">
        <v>0</v>
      </c>
      <c r="J24" s="29"/>
      <c r="K24" s="8"/>
      <c r="L24" s="8"/>
      <c r="M24" s="8"/>
    </row>
    <row r="25" spans="1:13" ht="15.75" hidden="1" customHeight="1">
      <c r="A25" s="36"/>
      <c r="B25" s="141" t="s">
        <v>115</v>
      </c>
      <c r="C25" s="142" t="s">
        <v>53</v>
      </c>
      <c r="D25" s="141" t="s">
        <v>54</v>
      </c>
      <c r="E25" s="143">
        <v>8.5</v>
      </c>
      <c r="F25" s="144">
        <f>SUM(E25/100)</f>
        <v>8.5000000000000006E-2</v>
      </c>
      <c r="G25" s="144">
        <v>556.74</v>
      </c>
      <c r="H25" s="145">
        <f t="shared" si="0"/>
        <v>4.7322900000000001E-2</v>
      </c>
      <c r="I25" s="16">
        <v>0</v>
      </c>
      <c r="J25" s="29"/>
      <c r="K25" s="8"/>
      <c r="L25" s="8"/>
      <c r="M25" s="8"/>
    </row>
    <row r="26" spans="1:13" ht="15.75" hidden="1" customHeight="1">
      <c r="A26" s="36"/>
      <c r="B26" s="141" t="s">
        <v>140</v>
      </c>
      <c r="C26" s="142" t="s">
        <v>53</v>
      </c>
      <c r="D26" s="141" t="s">
        <v>54</v>
      </c>
      <c r="E26" s="143">
        <v>19</v>
      </c>
      <c r="F26" s="144">
        <f>E26/100</f>
        <v>0.19</v>
      </c>
      <c r="G26" s="144">
        <v>231.03</v>
      </c>
      <c r="H26" s="145">
        <f>G26*F26/1000</f>
        <v>4.3895699999999996E-2</v>
      </c>
      <c r="I26" s="16">
        <v>0</v>
      </c>
      <c r="J26" s="29"/>
      <c r="K26" s="8"/>
      <c r="L26" s="8"/>
      <c r="M26" s="8"/>
    </row>
    <row r="27" spans="1:13" ht="15.75" customHeight="1">
      <c r="A27" s="36">
        <v>6</v>
      </c>
      <c r="B27" s="141" t="s">
        <v>66</v>
      </c>
      <c r="C27" s="142" t="s">
        <v>33</v>
      </c>
      <c r="D27" s="141" t="s">
        <v>136</v>
      </c>
      <c r="E27" s="143">
        <v>0.1</v>
      </c>
      <c r="F27" s="144">
        <f>SUM(E27*365)</f>
        <v>36.5</v>
      </c>
      <c r="G27" s="144">
        <v>157.18</v>
      </c>
      <c r="H27" s="145">
        <f>SUM(F27*G27/1000)</f>
        <v>5.737070000000001</v>
      </c>
      <c r="I27" s="16">
        <f>F27/12*G27</f>
        <v>478.08916666666664</v>
      </c>
      <c r="J27" s="30"/>
    </row>
    <row r="28" spans="1:13" ht="15.75" customHeight="1">
      <c r="A28" s="36">
        <v>7</v>
      </c>
      <c r="B28" s="149" t="s">
        <v>23</v>
      </c>
      <c r="C28" s="142" t="s">
        <v>24</v>
      </c>
      <c r="D28" s="149" t="s">
        <v>153</v>
      </c>
      <c r="E28" s="143">
        <v>4731.7</v>
      </c>
      <c r="F28" s="144">
        <f>SUM(E28*12)</f>
        <v>56780.399999999994</v>
      </c>
      <c r="G28" s="144">
        <v>4.72</v>
      </c>
      <c r="H28" s="145">
        <f>SUM(F28*G28/1000)</f>
        <v>268.00348799999995</v>
      </c>
      <c r="I28" s="16">
        <f>F28/12*G28</f>
        <v>22333.623999999996</v>
      </c>
      <c r="J28" s="30"/>
    </row>
    <row r="29" spans="1:13" ht="15" customHeight="1">
      <c r="A29" s="173" t="s">
        <v>93</v>
      </c>
      <c r="B29" s="173"/>
      <c r="C29" s="173"/>
      <c r="D29" s="173"/>
      <c r="E29" s="173"/>
      <c r="F29" s="173"/>
      <c r="G29" s="173"/>
      <c r="H29" s="173"/>
      <c r="I29" s="173"/>
      <c r="J29" s="29"/>
      <c r="K29" s="8"/>
      <c r="L29" s="8"/>
      <c r="M29" s="8"/>
    </row>
    <row r="30" spans="1:13" ht="15.75" hidden="1" customHeight="1">
      <c r="A30" s="36"/>
      <c r="B30" s="189" t="s">
        <v>28</v>
      </c>
      <c r="C30" s="142"/>
      <c r="D30" s="141"/>
      <c r="E30" s="143"/>
      <c r="F30" s="144"/>
      <c r="G30" s="144"/>
      <c r="H30" s="145"/>
      <c r="I30" s="16"/>
      <c r="J30" s="29"/>
      <c r="K30" s="8"/>
      <c r="L30" s="8"/>
      <c r="M30" s="8"/>
    </row>
    <row r="31" spans="1:13" ht="31.5" hidden="1" customHeight="1">
      <c r="A31" s="36">
        <v>8</v>
      </c>
      <c r="B31" s="141" t="s">
        <v>119</v>
      </c>
      <c r="C31" s="142" t="s">
        <v>102</v>
      </c>
      <c r="D31" s="141" t="s">
        <v>116</v>
      </c>
      <c r="E31" s="144">
        <v>512.5</v>
      </c>
      <c r="F31" s="144">
        <f>SUM(E31*52/1000)</f>
        <v>26.65</v>
      </c>
      <c r="G31" s="144">
        <v>166.65</v>
      </c>
      <c r="H31" s="145">
        <f t="shared" ref="H31:H37" si="1">SUM(F31*G31/1000)</f>
        <v>4.4412225000000003</v>
      </c>
      <c r="I31" s="16">
        <f>F31/6*G31</f>
        <v>740.20375000000001</v>
      </c>
      <c r="J31" s="29"/>
      <c r="K31" s="8"/>
      <c r="L31" s="8"/>
      <c r="M31" s="8"/>
    </row>
    <row r="32" spans="1:13" ht="31.5" hidden="1" customHeight="1">
      <c r="A32" s="36">
        <v>9</v>
      </c>
      <c r="B32" s="141" t="s">
        <v>137</v>
      </c>
      <c r="C32" s="142" t="s">
        <v>102</v>
      </c>
      <c r="D32" s="141" t="s">
        <v>117</v>
      </c>
      <c r="E32" s="144">
        <v>316.27</v>
      </c>
      <c r="F32" s="144">
        <f>SUM(E32*78/1000)</f>
        <v>24.669059999999998</v>
      </c>
      <c r="G32" s="144">
        <v>276.48</v>
      </c>
      <c r="H32" s="145">
        <f t="shared" si="1"/>
        <v>6.8205017087999993</v>
      </c>
      <c r="I32" s="16">
        <f t="shared" ref="I32:I35" si="2">F32/6*G32</f>
        <v>1136.7502848000001</v>
      </c>
      <c r="J32" s="29"/>
      <c r="K32" s="8"/>
      <c r="L32" s="8"/>
      <c r="M32" s="8"/>
    </row>
    <row r="33" spans="1:14" ht="15.75" hidden="1" customHeight="1">
      <c r="A33" s="36"/>
      <c r="B33" s="141" t="s">
        <v>27</v>
      </c>
      <c r="C33" s="142" t="s">
        <v>102</v>
      </c>
      <c r="D33" s="141" t="s">
        <v>54</v>
      </c>
      <c r="E33" s="144">
        <v>512.5</v>
      </c>
      <c r="F33" s="144">
        <f>SUM(E33/1000)</f>
        <v>0.51249999999999996</v>
      </c>
      <c r="G33" s="144">
        <v>3228.73</v>
      </c>
      <c r="H33" s="145">
        <f t="shared" si="1"/>
        <v>1.654724125</v>
      </c>
      <c r="I33" s="16">
        <f>F33*G33</f>
        <v>1654.724125</v>
      </c>
      <c r="J33" s="29"/>
      <c r="K33" s="8"/>
      <c r="L33" s="8"/>
      <c r="M33" s="8"/>
    </row>
    <row r="34" spans="1:14" ht="15.75" hidden="1" customHeight="1">
      <c r="A34" s="36">
        <v>10</v>
      </c>
      <c r="B34" s="141" t="s">
        <v>154</v>
      </c>
      <c r="C34" s="142" t="s">
        <v>39</v>
      </c>
      <c r="D34" s="141" t="s">
        <v>65</v>
      </c>
      <c r="E34" s="144">
        <v>4</v>
      </c>
      <c r="F34" s="144">
        <f>E34*155/100</f>
        <v>6.2</v>
      </c>
      <c r="G34" s="144">
        <v>1391.86</v>
      </c>
      <c r="H34" s="145">
        <f>G34*F34/1000</f>
        <v>8.6295319999999993</v>
      </c>
      <c r="I34" s="16">
        <f t="shared" si="2"/>
        <v>1438.2553333333333</v>
      </c>
      <c r="J34" s="29"/>
      <c r="K34" s="8"/>
    </row>
    <row r="35" spans="1:14" ht="15.75" hidden="1" customHeight="1">
      <c r="A35" s="36">
        <v>11</v>
      </c>
      <c r="B35" s="141" t="s">
        <v>118</v>
      </c>
      <c r="C35" s="142" t="s">
        <v>31</v>
      </c>
      <c r="D35" s="141" t="s">
        <v>65</v>
      </c>
      <c r="E35" s="148">
        <v>0.33333333333333331</v>
      </c>
      <c r="F35" s="144">
        <f>155/3</f>
        <v>51.666666666666664</v>
      </c>
      <c r="G35" s="144">
        <v>60.6</v>
      </c>
      <c r="H35" s="145">
        <f>SUM(G35*155/3/1000)</f>
        <v>3.1309999999999998</v>
      </c>
      <c r="I35" s="16">
        <f t="shared" si="2"/>
        <v>521.83333333333337</v>
      </c>
      <c r="J35" s="30"/>
    </row>
    <row r="36" spans="1:14" ht="15.75" hidden="1" customHeight="1">
      <c r="A36" s="36"/>
      <c r="B36" s="141" t="s">
        <v>67</v>
      </c>
      <c r="C36" s="142" t="s">
        <v>33</v>
      </c>
      <c r="D36" s="141" t="s">
        <v>69</v>
      </c>
      <c r="E36" s="143"/>
      <c r="F36" s="144">
        <v>3</v>
      </c>
      <c r="G36" s="144">
        <v>204.52</v>
      </c>
      <c r="H36" s="145">
        <f t="shared" si="1"/>
        <v>0.61356000000000011</v>
      </c>
      <c r="I36" s="16">
        <v>0</v>
      </c>
      <c r="J36" s="30"/>
    </row>
    <row r="37" spans="1:14" ht="15.75" hidden="1" customHeight="1">
      <c r="A37" s="36"/>
      <c r="B37" s="141" t="s">
        <v>68</v>
      </c>
      <c r="C37" s="142" t="s">
        <v>32</v>
      </c>
      <c r="D37" s="141" t="s">
        <v>69</v>
      </c>
      <c r="E37" s="143"/>
      <c r="F37" s="144">
        <v>2</v>
      </c>
      <c r="G37" s="144">
        <v>1214.73</v>
      </c>
      <c r="H37" s="145">
        <f t="shared" si="1"/>
        <v>2.4294600000000002</v>
      </c>
      <c r="I37" s="16">
        <v>0</v>
      </c>
      <c r="J37" s="30"/>
    </row>
    <row r="38" spans="1:14" ht="15.75" customHeight="1">
      <c r="A38" s="36"/>
      <c r="B38" s="189" t="s">
        <v>5</v>
      </c>
      <c r="C38" s="142"/>
      <c r="D38" s="141"/>
      <c r="E38" s="143"/>
      <c r="F38" s="144"/>
      <c r="G38" s="144"/>
      <c r="H38" s="145" t="s">
        <v>153</v>
      </c>
      <c r="I38" s="16"/>
      <c r="J38" s="30"/>
    </row>
    <row r="39" spans="1:14" ht="15.75" customHeight="1">
      <c r="A39" s="36">
        <v>8</v>
      </c>
      <c r="B39" s="141" t="s">
        <v>26</v>
      </c>
      <c r="C39" s="142" t="s">
        <v>32</v>
      </c>
      <c r="D39" s="141"/>
      <c r="E39" s="143"/>
      <c r="F39" s="144">
        <v>5</v>
      </c>
      <c r="G39" s="144">
        <v>1632.6</v>
      </c>
      <c r="H39" s="145">
        <f t="shared" ref="H39:H45" si="3">SUM(F39*G39/1000)</f>
        <v>8.1630000000000003</v>
      </c>
      <c r="I39" s="16">
        <f>F39/6*G39</f>
        <v>1360.5</v>
      </c>
      <c r="J39" s="30"/>
      <c r="L39" s="25"/>
      <c r="M39" s="26"/>
      <c r="N39" s="27"/>
    </row>
    <row r="40" spans="1:14" ht="15.75" customHeight="1">
      <c r="A40" s="36">
        <v>9</v>
      </c>
      <c r="B40" s="141" t="s">
        <v>120</v>
      </c>
      <c r="C40" s="142" t="s">
        <v>29</v>
      </c>
      <c r="D40" s="141" t="s">
        <v>146</v>
      </c>
      <c r="E40" s="143">
        <v>228.38</v>
      </c>
      <c r="F40" s="144">
        <f>E40*30/1000</f>
        <v>6.8513999999999999</v>
      </c>
      <c r="G40" s="144">
        <v>2247.8000000000002</v>
      </c>
      <c r="H40" s="145">
        <f>G40*F40/1000</f>
        <v>15.400576920000001</v>
      </c>
      <c r="I40" s="16">
        <f>F40/6*G40</f>
        <v>2566.7628199999999</v>
      </c>
      <c r="J40" s="30"/>
      <c r="L40" s="25"/>
      <c r="M40" s="26"/>
      <c r="N40" s="27"/>
    </row>
    <row r="41" spans="1:14" ht="15.75" hidden="1" customHeight="1">
      <c r="A41" s="36">
        <v>10</v>
      </c>
      <c r="B41" s="141" t="s">
        <v>144</v>
      </c>
      <c r="C41" s="142" t="s">
        <v>145</v>
      </c>
      <c r="D41" s="141" t="s">
        <v>69</v>
      </c>
      <c r="E41" s="143"/>
      <c r="F41" s="144">
        <v>120</v>
      </c>
      <c r="G41" s="144">
        <v>213.2</v>
      </c>
      <c r="H41" s="145">
        <f>G41*F41/1000</f>
        <v>25.584</v>
      </c>
      <c r="I41" s="16">
        <f>G41*12</f>
        <v>2558.3999999999996</v>
      </c>
      <c r="J41" s="30"/>
      <c r="L41" s="25"/>
      <c r="M41" s="26"/>
      <c r="N41" s="27"/>
    </row>
    <row r="42" spans="1:14" ht="15.75" customHeight="1">
      <c r="A42" s="36">
        <v>10</v>
      </c>
      <c r="B42" s="141" t="s">
        <v>70</v>
      </c>
      <c r="C42" s="142" t="s">
        <v>29</v>
      </c>
      <c r="D42" s="141" t="s">
        <v>101</v>
      </c>
      <c r="E42" s="144">
        <v>233.71</v>
      </c>
      <c r="F42" s="144">
        <f>SUM(E42*155/1000)</f>
        <v>36.225050000000003</v>
      </c>
      <c r="G42" s="144">
        <v>374.95</v>
      </c>
      <c r="H42" s="145">
        <f t="shared" si="3"/>
        <v>13.582582497500001</v>
      </c>
      <c r="I42" s="16">
        <f>F42/6*G42</f>
        <v>2263.7637495833337</v>
      </c>
      <c r="J42" s="30"/>
      <c r="L42" s="25"/>
      <c r="M42" s="26"/>
      <c r="N42" s="27"/>
    </row>
    <row r="43" spans="1:14" ht="47.25" customHeight="1">
      <c r="A43" s="36">
        <v>11</v>
      </c>
      <c r="B43" s="141" t="s">
        <v>88</v>
      </c>
      <c r="C43" s="142" t="s">
        <v>102</v>
      </c>
      <c r="D43" s="141" t="s">
        <v>147</v>
      </c>
      <c r="E43" s="144">
        <v>54.4</v>
      </c>
      <c r="F43" s="144">
        <f>SUM(E43*35/1000)</f>
        <v>1.9039999999999999</v>
      </c>
      <c r="G43" s="144">
        <v>6203.7</v>
      </c>
      <c r="H43" s="145">
        <f t="shared" si="3"/>
        <v>11.811844799999999</v>
      </c>
      <c r="I43" s="16">
        <f>F43/6*G43</f>
        <v>1968.6407999999997</v>
      </c>
      <c r="J43" s="30"/>
      <c r="L43" s="25"/>
      <c r="M43" s="26"/>
      <c r="N43" s="27"/>
    </row>
    <row r="44" spans="1:14" ht="15.75" customHeight="1">
      <c r="A44" s="36">
        <v>12</v>
      </c>
      <c r="B44" s="141" t="s">
        <v>103</v>
      </c>
      <c r="C44" s="142" t="s">
        <v>102</v>
      </c>
      <c r="D44" s="141" t="s">
        <v>71</v>
      </c>
      <c r="E44" s="144">
        <v>228.38</v>
      </c>
      <c r="F44" s="144">
        <f>SUM(E44*45/1000)</f>
        <v>10.277100000000001</v>
      </c>
      <c r="G44" s="144">
        <v>458.28</v>
      </c>
      <c r="H44" s="145">
        <f t="shared" si="3"/>
        <v>4.7097893879999999</v>
      </c>
      <c r="I44" s="16">
        <f>F44/6*G44</f>
        <v>784.96489800000006</v>
      </c>
      <c r="J44" s="30"/>
      <c r="L44" s="25"/>
      <c r="M44" s="26"/>
      <c r="N44" s="27"/>
    </row>
    <row r="45" spans="1:14" ht="15.75" customHeight="1">
      <c r="A45" s="36">
        <v>13</v>
      </c>
      <c r="B45" s="141" t="s">
        <v>72</v>
      </c>
      <c r="C45" s="142" t="s">
        <v>33</v>
      </c>
      <c r="D45" s="141"/>
      <c r="E45" s="143"/>
      <c r="F45" s="144">
        <v>1.8</v>
      </c>
      <c r="G45" s="144">
        <v>853.06</v>
      </c>
      <c r="H45" s="145">
        <f t="shared" si="3"/>
        <v>1.5355080000000001</v>
      </c>
      <c r="I45" s="16">
        <f>F45/6*G45</f>
        <v>255.91799999999998</v>
      </c>
      <c r="J45" s="30"/>
      <c r="L45" s="25"/>
      <c r="M45" s="26"/>
      <c r="N45" s="27"/>
    </row>
    <row r="46" spans="1:14" ht="15" hidden="1" customHeight="1">
      <c r="A46" s="174" t="s">
        <v>177</v>
      </c>
      <c r="B46" s="175"/>
      <c r="C46" s="175"/>
      <c r="D46" s="175"/>
      <c r="E46" s="175"/>
      <c r="F46" s="175"/>
      <c r="G46" s="175"/>
      <c r="H46" s="175"/>
      <c r="I46" s="176"/>
      <c r="J46" s="30"/>
      <c r="L46" s="25"/>
      <c r="M46" s="26"/>
      <c r="N46" s="27"/>
    </row>
    <row r="47" spans="1:14" ht="15.75" hidden="1" customHeight="1">
      <c r="A47" s="36"/>
      <c r="B47" s="141" t="s">
        <v>148</v>
      </c>
      <c r="C47" s="142" t="s">
        <v>102</v>
      </c>
      <c r="D47" s="141" t="s">
        <v>41</v>
      </c>
      <c r="E47" s="143">
        <v>1320.9</v>
      </c>
      <c r="F47" s="144">
        <f>SUM(E47*2/1000)</f>
        <v>2.6418000000000004</v>
      </c>
      <c r="G47" s="16">
        <v>908.11</v>
      </c>
      <c r="H47" s="145">
        <f t="shared" ref="H47:H55" si="4">SUM(F47*G47/1000)</f>
        <v>2.3990449980000004</v>
      </c>
      <c r="I47" s="16">
        <v>0</v>
      </c>
      <c r="J47" s="30"/>
      <c r="L47" s="25"/>
      <c r="M47" s="26"/>
      <c r="N47" s="27"/>
    </row>
    <row r="48" spans="1:14" ht="15.75" hidden="1" customHeight="1">
      <c r="A48" s="36"/>
      <c r="B48" s="141" t="s">
        <v>34</v>
      </c>
      <c r="C48" s="142" t="s">
        <v>102</v>
      </c>
      <c r="D48" s="141" t="s">
        <v>41</v>
      </c>
      <c r="E48" s="143">
        <v>52</v>
      </c>
      <c r="F48" s="144">
        <f>E48*2/1000</f>
        <v>0.104</v>
      </c>
      <c r="G48" s="16">
        <v>619.46</v>
      </c>
      <c r="H48" s="145">
        <f t="shared" si="4"/>
        <v>6.4423839999999996E-2</v>
      </c>
      <c r="I48" s="16">
        <v>0</v>
      </c>
      <c r="J48" s="30"/>
      <c r="L48" s="25"/>
      <c r="M48" s="26"/>
      <c r="N48" s="27"/>
    </row>
    <row r="49" spans="1:22" ht="15.75" hidden="1" customHeight="1">
      <c r="A49" s="36"/>
      <c r="B49" s="141" t="s">
        <v>35</v>
      </c>
      <c r="C49" s="142" t="s">
        <v>102</v>
      </c>
      <c r="D49" s="141" t="s">
        <v>41</v>
      </c>
      <c r="E49" s="143">
        <v>1520.8</v>
      </c>
      <c r="F49" s="144">
        <f>SUM(E49*2/1000)</f>
        <v>3.0415999999999999</v>
      </c>
      <c r="G49" s="16">
        <v>619.46</v>
      </c>
      <c r="H49" s="145">
        <f t="shared" si="4"/>
        <v>1.8841495360000002</v>
      </c>
      <c r="I49" s="16">
        <v>0</v>
      </c>
      <c r="J49" s="30"/>
      <c r="L49" s="25"/>
      <c r="M49" s="26"/>
      <c r="N49" s="27"/>
    </row>
    <row r="50" spans="1:22" ht="15.75" hidden="1" customHeight="1">
      <c r="A50" s="36"/>
      <c r="B50" s="141" t="s">
        <v>36</v>
      </c>
      <c r="C50" s="142" t="s">
        <v>102</v>
      </c>
      <c r="D50" s="141" t="s">
        <v>41</v>
      </c>
      <c r="E50" s="143">
        <v>3433.81</v>
      </c>
      <c r="F50" s="144">
        <f>SUM(E50*2/1000)</f>
        <v>6.8676199999999996</v>
      </c>
      <c r="G50" s="16">
        <v>648.64</v>
      </c>
      <c r="H50" s="145">
        <f t="shared" si="4"/>
        <v>4.4546130367999996</v>
      </c>
      <c r="I50" s="16">
        <v>0</v>
      </c>
      <c r="J50" s="30"/>
      <c r="L50" s="25"/>
      <c r="M50" s="26"/>
      <c r="N50" s="27"/>
    </row>
    <row r="51" spans="1:22" ht="15.75" hidden="1" customHeight="1">
      <c r="A51" s="36">
        <v>15</v>
      </c>
      <c r="B51" s="141" t="s">
        <v>57</v>
      </c>
      <c r="C51" s="142" t="s">
        <v>102</v>
      </c>
      <c r="D51" s="141" t="s">
        <v>225</v>
      </c>
      <c r="E51" s="143">
        <v>2641.8</v>
      </c>
      <c r="F51" s="144">
        <f>SUM(E51*5/1000)</f>
        <v>13.209</v>
      </c>
      <c r="G51" s="16">
        <v>1297.28</v>
      </c>
      <c r="H51" s="145">
        <f t="shared" si="4"/>
        <v>17.135771519999999</v>
      </c>
      <c r="I51" s="16">
        <f>F51/5*G51</f>
        <v>3427.1543039999997</v>
      </c>
      <c r="J51" s="30"/>
      <c r="L51" s="25"/>
      <c r="M51" s="26"/>
      <c r="N51" s="27"/>
    </row>
    <row r="52" spans="1:22" ht="31.5" hidden="1" customHeight="1">
      <c r="A52" s="36"/>
      <c r="B52" s="141" t="s">
        <v>104</v>
      </c>
      <c r="C52" s="142" t="s">
        <v>102</v>
      </c>
      <c r="D52" s="141" t="s">
        <v>41</v>
      </c>
      <c r="E52" s="143">
        <v>2641.8</v>
      </c>
      <c r="F52" s="144">
        <f>SUM(E52*2/1000)</f>
        <v>5.2836000000000007</v>
      </c>
      <c r="G52" s="16">
        <v>1297.28</v>
      </c>
      <c r="H52" s="145">
        <f t="shared" si="4"/>
        <v>6.8543086080000011</v>
      </c>
      <c r="I52" s="16">
        <v>0</v>
      </c>
      <c r="J52" s="30"/>
      <c r="L52" s="25"/>
      <c r="M52" s="26"/>
      <c r="N52" s="27"/>
    </row>
    <row r="53" spans="1:22" ht="31.5" hidden="1" customHeight="1">
      <c r="A53" s="36"/>
      <c r="B53" s="141" t="s">
        <v>105</v>
      </c>
      <c r="C53" s="142" t="s">
        <v>37</v>
      </c>
      <c r="D53" s="141" t="s">
        <v>41</v>
      </c>
      <c r="E53" s="143">
        <v>20</v>
      </c>
      <c r="F53" s="144">
        <f>SUM(E53*2/100)</f>
        <v>0.4</v>
      </c>
      <c r="G53" s="16">
        <v>2918.89</v>
      </c>
      <c r="H53" s="145">
        <f>SUM(F53*G53/1000)</f>
        <v>1.167556</v>
      </c>
      <c r="I53" s="16">
        <v>0</v>
      </c>
      <c r="J53" s="30"/>
      <c r="L53" s="25"/>
      <c r="M53" s="26"/>
      <c r="N53" s="27"/>
    </row>
    <row r="54" spans="1:22" ht="15.75" hidden="1" customHeight="1">
      <c r="A54" s="36"/>
      <c r="B54" s="141" t="s">
        <v>38</v>
      </c>
      <c r="C54" s="142" t="s">
        <v>39</v>
      </c>
      <c r="D54" s="141" t="s">
        <v>41</v>
      </c>
      <c r="E54" s="143">
        <v>1</v>
      </c>
      <c r="F54" s="144">
        <v>0.02</v>
      </c>
      <c r="G54" s="16">
        <v>6042.12</v>
      </c>
      <c r="H54" s="145">
        <f t="shared" si="4"/>
        <v>0.1208424</v>
      </c>
      <c r="I54" s="16">
        <v>0</v>
      </c>
      <c r="J54" s="30"/>
      <c r="L54" s="25"/>
      <c r="M54" s="26"/>
      <c r="N54" s="27"/>
    </row>
    <row r="55" spans="1:22" ht="15.75" hidden="1" customHeight="1">
      <c r="A55" s="36">
        <v>16</v>
      </c>
      <c r="B55" s="141" t="s">
        <v>40</v>
      </c>
      <c r="C55" s="142" t="s">
        <v>122</v>
      </c>
      <c r="D55" s="141" t="s">
        <v>73</v>
      </c>
      <c r="E55" s="143">
        <v>160</v>
      </c>
      <c r="F55" s="144">
        <f>SUM(E55)*3</f>
        <v>480</v>
      </c>
      <c r="G55" s="16">
        <v>70.209999999999994</v>
      </c>
      <c r="H55" s="145">
        <f t="shared" si="4"/>
        <v>33.700799999999994</v>
      </c>
      <c r="I55" s="16">
        <f>E55*G55</f>
        <v>11233.599999999999</v>
      </c>
      <c r="J55" s="30"/>
      <c r="L55" s="25"/>
      <c r="M55" s="26"/>
      <c r="N55" s="27"/>
    </row>
    <row r="56" spans="1:22" ht="15.75" customHeight="1">
      <c r="A56" s="174" t="s">
        <v>181</v>
      </c>
      <c r="B56" s="175"/>
      <c r="C56" s="175"/>
      <c r="D56" s="175"/>
      <c r="E56" s="175"/>
      <c r="F56" s="175"/>
      <c r="G56" s="175"/>
      <c r="H56" s="175"/>
      <c r="I56" s="176"/>
      <c r="J56" s="30"/>
      <c r="L56" s="25"/>
      <c r="M56" s="26"/>
      <c r="N56" s="27"/>
    </row>
    <row r="57" spans="1:22" ht="15.75" customHeight="1">
      <c r="A57" s="36"/>
      <c r="B57" s="189" t="s">
        <v>42</v>
      </c>
      <c r="C57" s="142"/>
      <c r="D57" s="141"/>
      <c r="E57" s="143"/>
      <c r="F57" s="144"/>
      <c r="G57" s="144"/>
      <c r="H57" s="145"/>
      <c r="I57" s="16"/>
      <c r="J57" s="30"/>
      <c r="L57" s="25"/>
      <c r="M57" s="26"/>
      <c r="N57" s="27"/>
    </row>
    <row r="58" spans="1:22" ht="31.5" customHeight="1">
      <c r="A58" s="36">
        <v>14</v>
      </c>
      <c r="B58" s="141" t="s">
        <v>149</v>
      </c>
      <c r="C58" s="142" t="s">
        <v>98</v>
      </c>
      <c r="D58" s="141" t="s">
        <v>123</v>
      </c>
      <c r="E58" s="143">
        <v>155.09</v>
      </c>
      <c r="F58" s="144">
        <f>SUM(E58*6/100)</f>
        <v>9.3053999999999988</v>
      </c>
      <c r="G58" s="16">
        <v>1654.04</v>
      </c>
      <c r="H58" s="145">
        <f>SUM(F58*G58/1000)</f>
        <v>15.391503815999998</v>
      </c>
      <c r="I58" s="16">
        <f>F58/6*G58</f>
        <v>2565.2506359999993</v>
      </c>
      <c r="J58" s="30"/>
      <c r="L58" s="25"/>
      <c r="M58" s="26"/>
      <c r="N58" s="27"/>
    </row>
    <row r="59" spans="1:22" ht="15.75" customHeight="1">
      <c r="A59" s="36">
        <v>15</v>
      </c>
      <c r="B59" s="141" t="s">
        <v>150</v>
      </c>
      <c r="C59" s="142" t="s">
        <v>98</v>
      </c>
      <c r="D59" s="141" t="s">
        <v>123</v>
      </c>
      <c r="E59" s="143">
        <v>3.8</v>
      </c>
      <c r="F59" s="144">
        <f>SUM(E59*6/100)</f>
        <v>0.22799999999999998</v>
      </c>
      <c r="G59" s="16">
        <v>1654.04</v>
      </c>
      <c r="H59" s="145">
        <f>SUM(F59*G59/1000)</f>
        <v>0.37712111999999998</v>
      </c>
      <c r="I59" s="16">
        <f>F59/6*G59</f>
        <v>62.853519999999996</v>
      </c>
      <c r="J59" s="30"/>
      <c r="L59" s="25"/>
    </row>
    <row r="60" spans="1:22" ht="15.75" hidden="1" customHeight="1">
      <c r="A60" s="36">
        <v>19</v>
      </c>
      <c r="B60" s="150" t="s">
        <v>151</v>
      </c>
      <c r="C60" s="151" t="s">
        <v>152</v>
      </c>
      <c r="D60" s="150" t="s">
        <v>41</v>
      </c>
      <c r="E60" s="152">
        <v>4</v>
      </c>
      <c r="F60" s="153">
        <v>0.8</v>
      </c>
      <c r="G60" s="16">
        <v>193.23</v>
      </c>
      <c r="H60" s="145">
        <f t="shared" ref="H60:H61" si="5">SUM(F60*G60/1000)</f>
        <v>0.154584</v>
      </c>
      <c r="I60" s="16">
        <f>F60/2*G60</f>
        <v>77.292000000000002</v>
      </c>
    </row>
    <row r="61" spans="1:22" ht="15.75" hidden="1" customHeight="1">
      <c r="A61" s="36"/>
      <c r="B61" s="150" t="s">
        <v>44</v>
      </c>
      <c r="C61" s="151" t="s">
        <v>53</v>
      </c>
      <c r="D61" s="150" t="s">
        <v>54</v>
      </c>
      <c r="E61" s="152">
        <v>1320.9</v>
      </c>
      <c r="F61" s="153">
        <f>E61/100</f>
        <v>13.209000000000001</v>
      </c>
      <c r="G61" s="16">
        <v>505.2</v>
      </c>
      <c r="H61" s="145">
        <f t="shared" si="5"/>
        <v>6.6731868000000008</v>
      </c>
      <c r="I61" s="16">
        <v>0</v>
      </c>
    </row>
    <row r="62" spans="1:22" ht="15.75" customHeight="1">
      <c r="A62" s="36"/>
      <c r="B62" s="190" t="s">
        <v>43</v>
      </c>
      <c r="C62" s="151"/>
      <c r="D62" s="150"/>
      <c r="E62" s="152"/>
      <c r="F62" s="153"/>
      <c r="G62" s="16"/>
      <c r="H62" s="154"/>
      <c r="I62" s="16"/>
    </row>
    <row r="63" spans="1:22" ht="15.75" hidden="1" customHeight="1">
      <c r="A63" s="36"/>
      <c r="B63" s="150" t="s">
        <v>44</v>
      </c>
      <c r="C63" s="151" t="s">
        <v>53</v>
      </c>
      <c r="D63" s="150" t="s">
        <v>54</v>
      </c>
      <c r="E63" s="152">
        <v>1238</v>
      </c>
      <c r="F63" s="153">
        <f>E63/100</f>
        <v>12.38</v>
      </c>
      <c r="G63" s="16">
        <v>848.37</v>
      </c>
      <c r="H63" s="154">
        <f>F63*G63/1000</f>
        <v>10.502820600000002</v>
      </c>
      <c r="I63" s="16">
        <v>0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.75" customHeight="1">
      <c r="A64" s="36">
        <v>16</v>
      </c>
      <c r="B64" s="150" t="s">
        <v>139</v>
      </c>
      <c r="C64" s="151" t="s">
        <v>25</v>
      </c>
      <c r="D64" s="150" t="s">
        <v>30</v>
      </c>
      <c r="E64" s="152">
        <v>238</v>
      </c>
      <c r="F64" s="155">
        <f>E64*12</f>
        <v>2856</v>
      </c>
      <c r="G64" s="135">
        <v>2.6</v>
      </c>
      <c r="H64" s="153">
        <f>F64*G64/1000</f>
        <v>7.4256000000000002</v>
      </c>
      <c r="I64" s="16">
        <f>F64/12*G64</f>
        <v>618.80000000000007</v>
      </c>
      <c r="J64" s="32"/>
      <c r="K64" s="32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customHeight="1">
      <c r="A65" s="36"/>
      <c r="B65" s="190" t="s">
        <v>45</v>
      </c>
      <c r="C65" s="151"/>
      <c r="D65" s="150"/>
      <c r="E65" s="152"/>
      <c r="F65" s="155"/>
      <c r="G65" s="155"/>
      <c r="H65" s="153" t="s">
        <v>153</v>
      </c>
      <c r="I65" s="16"/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customHeight="1">
      <c r="A66" s="36">
        <v>17</v>
      </c>
      <c r="B66" s="18" t="s">
        <v>46</v>
      </c>
      <c r="C66" s="20" t="s">
        <v>122</v>
      </c>
      <c r="D66" s="18" t="s">
        <v>69</v>
      </c>
      <c r="E66" s="23">
        <v>8</v>
      </c>
      <c r="F66" s="144">
        <v>8</v>
      </c>
      <c r="G66" s="16">
        <v>237.74</v>
      </c>
      <c r="H66" s="156">
        <f t="shared" ref="H66:H79" si="6">SUM(F66*G66/1000)</f>
        <v>1.9019200000000001</v>
      </c>
      <c r="I66" s="16">
        <f>G66*2</f>
        <v>475.48</v>
      </c>
      <c r="J66" s="5"/>
      <c r="K66" s="5"/>
      <c r="L66" s="5"/>
      <c r="M66" s="5"/>
      <c r="N66" s="5"/>
      <c r="O66" s="5"/>
      <c r="P66" s="5"/>
      <c r="Q66" s="5"/>
      <c r="R66" s="167"/>
      <c r="S66" s="167"/>
      <c r="T66" s="167"/>
      <c r="U66" s="167"/>
    </row>
    <row r="67" spans="1:21" ht="15.75" hidden="1" customHeight="1">
      <c r="A67" s="36"/>
      <c r="B67" s="18" t="s">
        <v>47</v>
      </c>
      <c r="C67" s="20" t="s">
        <v>122</v>
      </c>
      <c r="D67" s="18" t="s">
        <v>69</v>
      </c>
      <c r="E67" s="23">
        <v>3</v>
      </c>
      <c r="F67" s="144">
        <v>3</v>
      </c>
      <c r="G67" s="16">
        <v>81.510000000000005</v>
      </c>
      <c r="H67" s="156">
        <f t="shared" si="6"/>
        <v>0.24453000000000003</v>
      </c>
      <c r="I67" s="16">
        <v>0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ht="15.75" hidden="1" customHeight="1">
      <c r="A68" s="36"/>
      <c r="B68" s="18" t="s">
        <v>48</v>
      </c>
      <c r="C68" s="20" t="s">
        <v>124</v>
      </c>
      <c r="D68" s="18" t="s">
        <v>54</v>
      </c>
      <c r="E68" s="143">
        <v>19836</v>
      </c>
      <c r="F68" s="16">
        <f>SUM(E68/100)</f>
        <v>198.36</v>
      </c>
      <c r="G68" s="16">
        <v>226.79</v>
      </c>
      <c r="H68" s="156">
        <f t="shared" si="6"/>
        <v>44.986064400000004</v>
      </c>
      <c r="I68" s="16">
        <f>F68*G68</f>
        <v>44986.064400000003</v>
      </c>
    </row>
    <row r="69" spans="1:21" ht="15.75" hidden="1" customHeight="1">
      <c r="A69" s="36"/>
      <c r="B69" s="18" t="s">
        <v>49</v>
      </c>
      <c r="C69" s="20" t="s">
        <v>125</v>
      </c>
      <c r="D69" s="18"/>
      <c r="E69" s="143">
        <v>19836</v>
      </c>
      <c r="F69" s="16">
        <f>SUM(E69/1000)</f>
        <v>19.835999999999999</v>
      </c>
      <c r="G69" s="16">
        <v>176.61</v>
      </c>
      <c r="H69" s="156">
        <f t="shared" si="6"/>
        <v>3.50323596</v>
      </c>
      <c r="I69" s="16">
        <f t="shared" ref="I69:I73" si="7">F69*G69</f>
        <v>3503.23596</v>
      </c>
    </row>
    <row r="70" spans="1:21" ht="15.75" hidden="1" customHeight="1">
      <c r="A70" s="36"/>
      <c r="B70" s="18" t="s">
        <v>50</v>
      </c>
      <c r="C70" s="20" t="s">
        <v>79</v>
      </c>
      <c r="D70" s="18" t="s">
        <v>54</v>
      </c>
      <c r="E70" s="143">
        <v>3155</v>
      </c>
      <c r="F70" s="16">
        <f>SUM(E70/100)</f>
        <v>31.55</v>
      </c>
      <c r="G70" s="16">
        <v>2217.7800000000002</v>
      </c>
      <c r="H70" s="156">
        <f t="shared" si="6"/>
        <v>69.970959000000008</v>
      </c>
      <c r="I70" s="16">
        <f t="shared" si="7"/>
        <v>69970.959000000003</v>
      </c>
    </row>
    <row r="71" spans="1:21" ht="15.75" hidden="1" customHeight="1">
      <c r="A71" s="36"/>
      <c r="B71" s="157" t="s">
        <v>126</v>
      </c>
      <c r="C71" s="20" t="s">
        <v>33</v>
      </c>
      <c r="D71" s="18"/>
      <c r="E71" s="143">
        <v>17.600000000000001</v>
      </c>
      <c r="F71" s="16">
        <f>SUM(E71)</f>
        <v>17.600000000000001</v>
      </c>
      <c r="G71" s="16">
        <v>42.67</v>
      </c>
      <c r="H71" s="156">
        <f t="shared" si="6"/>
        <v>0.7509920000000001</v>
      </c>
      <c r="I71" s="16">
        <f t="shared" si="7"/>
        <v>750.99200000000008</v>
      </c>
    </row>
    <row r="72" spans="1:21" ht="15.75" hidden="1" customHeight="1">
      <c r="A72" s="36"/>
      <c r="B72" s="157" t="s">
        <v>127</v>
      </c>
      <c r="C72" s="20" t="s">
        <v>33</v>
      </c>
      <c r="D72" s="18"/>
      <c r="E72" s="143">
        <v>17.600000000000001</v>
      </c>
      <c r="F72" s="16">
        <f>SUM(E72)</f>
        <v>17.600000000000001</v>
      </c>
      <c r="G72" s="16">
        <v>39.81</v>
      </c>
      <c r="H72" s="156">
        <f t="shared" si="6"/>
        <v>0.70065600000000006</v>
      </c>
      <c r="I72" s="16">
        <f t="shared" si="7"/>
        <v>700.65600000000006</v>
      </c>
    </row>
    <row r="73" spans="1:21" ht="15.75" hidden="1" customHeight="1">
      <c r="A73" s="36"/>
      <c r="B73" s="18" t="s">
        <v>58</v>
      </c>
      <c r="C73" s="20" t="s">
        <v>59</v>
      </c>
      <c r="D73" s="18" t="s">
        <v>54</v>
      </c>
      <c r="E73" s="23">
        <v>7</v>
      </c>
      <c r="F73" s="144">
        <v>7</v>
      </c>
      <c r="G73" s="16">
        <v>53.32</v>
      </c>
      <c r="H73" s="156">
        <f t="shared" si="6"/>
        <v>0.37324000000000002</v>
      </c>
      <c r="I73" s="16">
        <f t="shared" si="7"/>
        <v>373.24</v>
      </c>
    </row>
    <row r="74" spans="1:21" ht="15.75" hidden="1" customHeight="1">
      <c r="A74" s="36"/>
      <c r="B74" s="125" t="s">
        <v>74</v>
      </c>
      <c r="C74" s="20"/>
      <c r="D74" s="18"/>
      <c r="E74" s="23"/>
      <c r="F74" s="16"/>
      <c r="G74" s="16"/>
      <c r="H74" s="156" t="s">
        <v>153</v>
      </c>
      <c r="I74" s="16"/>
    </row>
    <row r="75" spans="1:21" ht="15.75" hidden="1" customHeight="1">
      <c r="A75" s="36"/>
      <c r="B75" s="18" t="s">
        <v>75</v>
      </c>
      <c r="C75" s="20" t="s">
        <v>77</v>
      </c>
      <c r="D75" s="18"/>
      <c r="E75" s="23">
        <v>2</v>
      </c>
      <c r="F75" s="16">
        <v>0.2</v>
      </c>
      <c r="G75" s="16">
        <v>536.23</v>
      </c>
      <c r="H75" s="156">
        <f t="shared" si="6"/>
        <v>0.10724600000000001</v>
      </c>
      <c r="I75" s="16">
        <v>0</v>
      </c>
    </row>
    <row r="76" spans="1:21" ht="15.75" hidden="1" customHeight="1">
      <c r="A76" s="36"/>
      <c r="B76" s="18" t="s">
        <v>76</v>
      </c>
      <c r="C76" s="20" t="s">
        <v>31</v>
      </c>
      <c r="D76" s="18"/>
      <c r="E76" s="23">
        <v>1</v>
      </c>
      <c r="F76" s="135">
        <v>1</v>
      </c>
      <c r="G76" s="16">
        <v>911.85</v>
      </c>
      <c r="H76" s="156">
        <f>F76*G76/1000</f>
        <v>0.91185000000000005</v>
      </c>
      <c r="I76" s="16">
        <v>0</v>
      </c>
    </row>
    <row r="77" spans="1:21" ht="15.75" hidden="1" customHeight="1">
      <c r="A77" s="36"/>
      <c r="B77" s="18" t="s">
        <v>129</v>
      </c>
      <c r="C77" s="20" t="s">
        <v>31</v>
      </c>
      <c r="D77" s="18"/>
      <c r="E77" s="23">
        <v>1</v>
      </c>
      <c r="F77" s="16">
        <v>1</v>
      </c>
      <c r="G77" s="16">
        <v>383.25</v>
      </c>
      <c r="H77" s="156">
        <f>G77*F77/1000</f>
        <v>0.38324999999999998</v>
      </c>
      <c r="I77" s="16">
        <v>0</v>
      </c>
    </row>
    <row r="78" spans="1:21" ht="15.75" hidden="1" customHeight="1">
      <c r="A78" s="36"/>
      <c r="B78" s="159" t="s">
        <v>78</v>
      </c>
      <c r="C78" s="20"/>
      <c r="D78" s="18"/>
      <c r="E78" s="23"/>
      <c r="F78" s="16"/>
      <c r="G78" s="16" t="s">
        <v>153</v>
      </c>
      <c r="H78" s="156" t="s">
        <v>153</v>
      </c>
      <c r="I78" s="16"/>
    </row>
    <row r="79" spans="1:21" ht="15.75" hidden="1" customHeight="1">
      <c r="A79" s="36"/>
      <c r="B79" s="67" t="s">
        <v>141</v>
      </c>
      <c r="C79" s="20" t="s">
        <v>79</v>
      </c>
      <c r="D79" s="18"/>
      <c r="E79" s="23"/>
      <c r="F79" s="16">
        <v>0.3</v>
      </c>
      <c r="G79" s="16">
        <v>2949.85</v>
      </c>
      <c r="H79" s="156">
        <f t="shared" si="6"/>
        <v>0.88495499999999994</v>
      </c>
      <c r="I79" s="16">
        <v>0</v>
      </c>
    </row>
    <row r="80" spans="1:21" ht="15.75" hidden="1" customHeight="1">
      <c r="A80" s="36"/>
      <c r="B80" s="125" t="s">
        <v>106</v>
      </c>
      <c r="C80" s="159"/>
      <c r="D80" s="38"/>
      <c r="E80" s="39"/>
      <c r="F80" s="147"/>
      <c r="G80" s="147"/>
      <c r="H80" s="160">
        <f>SUM(H58:H79)</f>
        <v>165.24371469600001</v>
      </c>
      <c r="I80" s="147"/>
    </row>
    <row r="81" spans="1:9" ht="15.75" hidden="1" customHeight="1">
      <c r="A81" s="36"/>
      <c r="B81" s="141" t="s">
        <v>128</v>
      </c>
      <c r="C81" s="20"/>
      <c r="D81" s="18"/>
      <c r="E81" s="136"/>
      <c r="F81" s="16">
        <v>1</v>
      </c>
      <c r="G81" s="16">
        <v>17869</v>
      </c>
      <c r="H81" s="156">
        <f>G81*F81/1000</f>
        <v>17.869</v>
      </c>
      <c r="I81" s="16">
        <v>0</v>
      </c>
    </row>
    <row r="82" spans="1:9" ht="15.75" customHeight="1">
      <c r="A82" s="177" t="s">
        <v>182</v>
      </c>
      <c r="B82" s="178"/>
      <c r="C82" s="178"/>
      <c r="D82" s="178"/>
      <c r="E82" s="178"/>
      <c r="F82" s="178"/>
      <c r="G82" s="178"/>
      <c r="H82" s="178"/>
      <c r="I82" s="179"/>
    </row>
    <row r="83" spans="1:9" ht="15.75" customHeight="1">
      <c r="A83" s="36">
        <v>18</v>
      </c>
      <c r="B83" s="141" t="s">
        <v>130</v>
      </c>
      <c r="C83" s="20" t="s">
        <v>55</v>
      </c>
      <c r="D83" s="84" t="s">
        <v>56</v>
      </c>
      <c r="E83" s="16">
        <v>4731.7</v>
      </c>
      <c r="F83" s="16">
        <f>SUM(E83*12)</f>
        <v>56780.399999999994</v>
      </c>
      <c r="G83" s="16">
        <v>2.54</v>
      </c>
      <c r="H83" s="156">
        <f>SUM(F83*G83/1000)</f>
        <v>144.22221599999997</v>
      </c>
      <c r="I83" s="16">
        <f>F83/12*G83</f>
        <v>12018.518</v>
      </c>
    </row>
    <row r="84" spans="1:9" ht="31.5" customHeight="1">
      <c r="A84" s="36">
        <v>19</v>
      </c>
      <c r="B84" s="18" t="s">
        <v>80</v>
      </c>
      <c r="C84" s="20"/>
      <c r="D84" s="84" t="s">
        <v>56</v>
      </c>
      <c r="E84" s="143">
        <f>E83</f>
        <v>4731.7</v>
      </c>
      <c r="F84" s="16">
        <f>E84*12</f>
        <v>56780.399999999994</v>
      </c>
      <c r="G84" s="16">
        <v>3.05</v>
      </c>
      <c r="H84" s="156">
        <f>F84*G84/1000</f>
        <v>173.18021999999996</v>
      </c>
      <c r="I84" s="16">
        <f>F84/12*G84</f>
        <v>14431.684999999999</v>
      </c>
    </row>
    <row r="85" spans="1:9" ht="15.75" customHeight="1">
      <c r="A85" s="36"/>
      <c r="B85" s="54" t="s">
        <v>84</v>
      </c>
      <c r="C85" s="159"/>
      <c r="D85" s="158"/>
      <c r="E85" s="147"/>
      <c r="F85" s="147"/>
      <c r="G85" s="147"/>
      <c r="H85" s="160">
        <f>H84</f>
        <v>173.18021999999996</v>
      </c>
      <c r="I85" s="147">
        <f>I16+I17+I18+I20+I21+I27+I28+I39+I40+I42+I43+I44+I45+I58+I59+I64+I66+I83+I84</f>
        <v>82834.671648916657</v>
      </c>
    </row>
    <row r="86" spans="1:9" ht="15.75" customHeight="1">
      <c r="A86" s="36"/>
      <c r="B86" s="80" t="s">
        <v>61</v>
      </c>
      <c r="C86" s="20"/>
      <c r="D86" s="67"/>
      <c r="E86" s="16"/>
      <c r="F86" s="16"/>
      <c r="G86" s="16"/>
      <c r="H86" s="16"/>
      <c r="I86" s="16"/>
    </row>
    <row r="87" spans="1:9" ht="31.5" customHeight="1">
      <c r="A87" s="36">
        <v>20</v>
      </c>
      <c r="B87" s="81" t="s">
        <v>187</v>
      </c>
      <c r="C87" s="107" t="s">
        <v>188</v>
      </c>
      <c r="D87" s="18"/>
      <c r="E87" s="23"/>
      <c r="F87" s="16">
        <v>2</v>
      </c>
      <c r="G87" s="16">
        <v>51.39</v>
      </c>
      <c r="H87" s="156">
        <f>G87*F87/1000</f>
        <v>0.10278</v>
      </c>
      <c r="I87" s="16">
        <f>G87</f>
        <v>51.39</v>
      </c>
    </row>
    <row r="88" spans="1:9" ht="15.75" customHeight="1">
      <c r="A88" s="36">
        <v>21</v>
      </c>
      <c r="B88" s="81" t="s">
        <v>196</v>
      </c>
      <c r="C88" s="107" t="s">
        <v>197</v>
      </c>
      <c r="D88" s="18"/>
      <c r="E88" s="23"/>
      <c r="F88" s="16">
        <v>1</v>
      </c>
      <c r="G88" s="16">
        <v>28692</v>
      </c>
      <c r="H88" s="156">
        <f t="shared" ref="H88" si="8">G88*F88/1000</f>
        <v>28.692</v>
      </c>
      <c r="I88" s="16">
        <f>G88</f>
        <v>28692</v>
      </c>
    </row>
    <row r="89" spans="1:9">
      <c r="A89" s="36"/>
      <c r="B89" s="61" t="s">
        <v>51</v>
      </c>
      <c r="C89" s="57"/>
      <c r="D89" s="71"/>
      <c r="E89" s="57">
        <v>1</v>
      </c>
      <c r="F89" s="57"/>
      <c r="G89" s="57"/>
      <c r="H89" s="57"/>
      <c r="I89" s="39">
        <f>SUM(I87:I88)</f>
        <v>28743.39</v>
      </c>
    </row>
    <row r="90" spans="1:9" ht="15.75" customHeight="1">
      <c r="A90" s="36"/>
      <c r="B90" s="67" t="s">
        <v>81</v>
      </c>
      <c r="C90" s="19"/>
      <c r="D90" s="19"/>
      <c r="E90" s="58"/>
      <c r="F90" s="58"/>
      <c r="G90" s="59"/>
      <c r="H90" s="59"/>
      <c r="I90" s="22">
        <v>0</v>
      </c>
    </row>
    <row r="91" spans="1:9" ht="15.75" customHeight="1">
      <c r="A91" s="72"/>
      <c r="B91" s="62" t="s">
        <v>52</v>
      </c>
      <c r="C91" s="45"/>
      <c r="D91" s="45"/>
      <c r="E91" s="45"/>
      <c r="F91" s="45"/>
      <c r="G91" s="45"/>
      <c r="H91" s="45"/>
      <c r="I91" s="60">
        <f>I85+I89</f>
        <v>111578.06164891666</v>
      </c>
    </row>
    <row r="92" spans="1:9" ht="15.75" customHeight="1">
      <c r="A92" s="169" t="s">
        <v>234</v>
      </c>
      <c r="B92" s="169"/>
      <c r="C92" s="169"/>
      <c r="D92" s="169"/>
      <c r="E92" s="169"/>
      <c r="F92" s="169"/>
      <c r="G92" s="169"/>
      <c r="H92" s="169"/>
      <c r="I92" s="169"/>
    </row>
    <row r="93" spans="1:9" ht="15.75" customHeight="1">
      <c r="A93" s="121"/>
      <c r="B93" s="170" t="s">
        <v>235</v>
      </c>
      <c r="C93" s="170"/>
      <c r="D93" s="170"/>
      <c r="E93" s="170"/>
      <c r="F93" s="170"/>
      <c r="G93" s="170"/>
      <c r="H93" s="139"/>
      <c r="I93" s="3"/>
    </row>
    <row r="94" spans="1:9" ht="15.75" customHeight="1">
      <c r="A94" s="130"/>
      <c r="B94" s="165" t="s">
        <v>6</v>
      </c>
      <c r="C94" s="165"/>
      <c r="D94" s="165"/>
      <c r="E94" s="165"/>
      <c r="F94" s="165"/>
      <c r="G94" s="165"/>
      <c r="H94" s="31"/>
      <c r="I94" s="5"/>
    </row>
    <row r="95" spans="1:9" ht="15.75" customHeight="1">
      <c r="A95" s="10"/>
      <c r="B95" s="10"/>
      <c r="C95" s="10"/>
      <c r="D95" s="10"/>
      <c r="E95" s="10"/>
      <c r="F95" s="10"/>
      <c r="G95" s="10"/>
      <c r="H95" s="10"/>
      <c r="I95" s="10"/>
    </row>
    <row r="96" spans="1:9" ht="15.75" customHeight="1">
      <c r="A96" s="171" t="s">
        <v>7</v>
      </c>
      <c r="B96" s="171"/>
      <c r="C96" s="171"/>
      <c r="D96" s="171"/>
      <c r="E96" s="171"/>
      <c r="F96" s="171"/>
      <c r="G96" s="171"/>
      <c r="H96" s="171"/>
      <c r="I96" s="171"/>
    </row>
    <row r="97" spans="1:9" ht="15.75" customHeight="1">
      <c r="A97" s="171" t="s">
        <v>8</v>
      </c>
      <c r="B97" s="171"/>
      <c r="C97" s="171"/>
      <c r="D97" s="171"/>
      <c r="E97" s="171"/>
      <c r="F97" s="171"/>
      <c r="G97" s="171"/>
      <c r="H97" s="171"/>
      <c r="I97" s="171"/>
    </row>
    <row r="98" spans="1:9" ht="15.75" customHeight="1">
      <c r="A98" s="172" t="s">
        <v>62</v>
      </c>
      <c r="B98" s="172"/>
      <c r="C98" s="172"/>
      <c r="D98" s="172"/>
      <c r="E98" s="172"/>
      <c r="F98" s="172"/>
      <c r="G98" s="172"/>
      <c r="H98" s="172"/>
      <c r="I98" s="172"/>
    </row>
    <row r="99" spans="1:9" ht="15.75" customHeight="1">
      <c r="A99" s="11"/>
    </row>
    <row r="100" spans="1:9" ht="15.75">
      <c r="A100" s="163" t="s">
        <v>9</v>
      </c>
      <c r="B100" s="163"/>
      <c r="C100" s="163"/>
      <c r="D100" s="163"/>
      <c r="E100" s="163"/>
      <c r="F100" s="163"/>
      <c r="G100" s="163"/>
      <c r="H100" s="163"/>
      <c r="I100" s="163"/>
    </row>
    <row r="101" spans="1:9" ht="15.75">
      <c r="A101" s="4"/>
    </row>
    <row r="102" spans="1:9" ht="15.75" customHeight="1">
      <c r="B102" s="127" t="s">
        <v>10</v>
      </c>
      <c r="C102" s="164" t="s">
        <v>180</v>
      </c>
      <c r="D102" s="164"/>
      <c r="E102" s="164"/>
      <c r="F102" s="137"/>
      <c r="I102" s="129"/>
    </row>
    <row r="103" spans="1:9" ht="15.75" customHeight="1">
      <c r="A103" s="130"/>
      <c r="C103" s="165" t="s">
        <v>11</v>
      </c>
      <c r="D103" s="165"/>
      <c r="E103" s="165"/>
      <c r="F103" s="31"/>
      <c r="I103" s="128" t="s">
        <v>12</v>
      </c>
    </row>
    <row r="104" spans="1:9" ht="15.75" customHeight="1">
      <c r="A104" s="32"/>
      <c r="C104" s="12"/>
      <c r="D104" s="12"/>
      <c r="G104" s="12"/>
      <c r="H104" s="12"/>
    </row>
    <row r="105" spans="1:9" ht="15.75" customHeight="1">
      <c r="B105" s="127" t="s">
        <v>13</v>
      </c>
      <c r="C105" s="166"/>
      <c r="D105" s="166"/>
      <c r="E105" s="166"/>
      <c r="F105" s="138"/>
      <c r="I105" s="129"/>
    </row>
    <row r="106" spans="1:9" ht="15.75" customHeight="1">
      <c r="A106" s="130"/>
      <c r="C106" s="167" t="s">
        <v>11</v>
      </c>
      <c r="D106" s="167"/>
      <c r="E106" s="167"/>
      <c r="F106" s="130"/>
      <c r="I106" s="128" t="s">
        <v>12</v>
      </c>
    </row>
    <row r="107" spans="1:9" ht="15.75">
      <c r="A107" s="4" t="s">
        <v>14</v>
      </c>
    </row>
    <row r="108" spans="1:9">
      <c r="A108" s="168" t="s">
        <v>15</v>
      </c>
      <c r="B108" s="168"/>
      <c r="C108" s="168"/>
      <c r="D108" s="168"/>
      <c r="E108" s="168"/>
      <c r="F108" s="168"/>
      <c r="G108" s="168"/>
      <c r="H108" s="168"/>
      <c r="I108" s="168"/>
    </row>
    <row r="109" spans="1:9" ht="45" customHeight="1">
      <c r="A109" s="162" t="s">
        <v>16</v>
      </c>
      <c r="B109" s="162"/>
      <c r="C109" s="162"/>
      <c r="D109" s="162"/>
      <c r="E109" s="162"/>
      <c r="F109" s="162"/>
      <c r="G109" s="162"/>
      <c r="H109" s="162"/>
      <c r="I109" s="162"/>
    </row>
    <row r="110" spans="1:9" ht="30" customHeight="1">
      <c r="A110" s="162" t="s">
        <v>17</v>
      </c>
      <c r="B110" s="162"/>
      <c r="C110" s="162"/>
      <c r="D110" s="162"/>
      <c r="E110" s="162"/>
      <c r="F110" s="162"/>
      <c r="G110" s="162"/>
      <c r="H110" s="162"/>
      <c r="I110" s="162"/>
    </row>
    <row r="111" spans="1:9" ht="30" customHeight="1">
      <c r="A111" s="162" t="s">
        <v>21</v>
      </c>
      <c r="B111" s="162"/>
      <c r="C111" s="162"/>
      <c r="D111" s="162"/>
      <c r="E111" s="162"/>
      <c r="F111" s="162"/>
      <c r="G111" s="162"/>
      <c r="H111" s="162"/>
      <c r="I111" s="162"/>
    </row>
    <row r="112" spans="1:9" ht="15" customHeight="1">
      <c r="A112" s="162" t="s">
        <v>20</v>
      </c>
      <c r="B112" s="162"/>
      <c r="C112" s="162"/>
      <c r="D112" s="162"/>
      <c r="E112" s="162"/>
      <c r="F112" s="162"/>
      <c r="G112" s="162"/>
      <c r="H112" s="162"/>
      <c r="I112" s="162"/>
    </row>
  </sheetData>
  <autoFilter ref="I12:I61"/>
  <mergeCells count="28">
    <mergeCell ref="A109:I109"/>
    <mergeCell ref="A110:I110"/>
    <mergeCell ref="A111:I111"/>
    <mergeCell ref="A112:I112"/>
    <mergeCell ref="A100:I100"/>
    <mergeCell ref="C102:E102"/>
    <mergeCell ref="C103:E103"/>
    <mergeCell ref="C105:E105"/>
    <mergeCell ref="C106:E106"/>
    <mergeCell ref="A108:I108"/>
    <mergeCell ref="A92:I92"/>
    <mergeCell ref="B93:G93"/>
    <mergeCell ref="B94:G94"/>
    <mergeCell ref="A96:I96"/>
    <mergeCell ref="A97:I97"/>
    <mergeCell ref="A98:I98"/>
    <mergeCell ref="A15:I15"/>
    <mergeCell ref="A29:I29"/>
    <mergeCell ref="A46:I46"/>
    <mergeCell ref="A56:I56"/>
    <mergeCell ref="R66:U66"/>
    <mergeCell ref="A82:I82"/>
    <mergeCell ref="A3:I3"/>
    <mergeCell ref="A4:I4"/>
    <mergeCell ref="A5:I5"/>
    <mergeCell ref="A8:I8"/>
    <mergeCell ref="A10:I10"/>
    <mergeCell ref="A14:I14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V118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4" t="s">
        <v>94</v>
      </c>
      <c r="I1" s="33"/>
      <c r="J1" s="1"/>
      <c r="K1" s="1"/>
      <c r="L1" s="1"/>
      <c r="M1" s="1"/>
    </row>
    <row r="2" spans="1:13" ht="15.75">
      <c r="A2" s="35" t="s">
        <v>64</v>
      </c>
      <c r="J2" s="2"/>
      <c r="K2" s="2"/>
      <c r="L2" s="2"/>
      <c r="M2" s="2"/>
    </row>
    <row r="3" spans="1:13" ht="15.75" customHeight="1">
      <c r="A3" s="180" t="s">
        <v>236</v>
      </c>
      <c r="B3" s="180"/>
      <c r="C3" s="180"/>
      <c r="D3" s="180"/>
      <c r="E3" s="180"/>
      <c r="F3" s="180"/>
      <c r="G3" s="180"/>
      <c r="H3" s="180"/>
      <c r="I3" s="180"/>
      <c r="J3" s="3"/>
      <c r="K3" s="3"/>
      <c r="L3" s="3"/>
    </row>
    <row r="4" spans="1:13" ht="31.5" customHeight="1">
      <c r="A4" s="181" t="s">
        <v>162</v>
      </c>
      <c r="B4" s="181"/>
      <c r="C4" s="181"/>
      <c r="D4" s="181"/>
      <c r="E4" s="181"/>
      <c r="F4" s="181"/>
      <c r="G4" s="181"/>
      <c r="H4" s="181"/>
      <c r="I4" s="181"/>
    </row>
    <row r="5" spans="1:13" ht="15.75">
      <c r="A5" s="180" t="s">
        <v>237</v>
      </c>
      <c r="B5" s="182"/>
      <c r="C5" s="182"/>
      <c r="D5" s="182"/>
      <c r="E5" s="182"/>
      <c r="F5" s="182"/>
      <c r="G5" s="182"/>
      <c r="H5" s="182"/>
      <c r="I5" s="182"/>
      <c r="J5" s="2"/>
      <c r="K5" s="2"/>
      <c r="L5" s="2"/>
      <c r="M5" s="2"/>
    </row>
    <row r="6" spans="1:13" ht="15.75">
      <c r="A6" s="2"/>
      <c r="B6" s="126"/>
      <c r="C6" s="126"/>
      <c r="D6" s="126"/>
      <c r="E6" s="126"/>
      <c r="F6" s="126"/>
      <c r="G6" s="126"/>
      <c r="H6" s="126"/>
      <c r="I6" s="37">
        <v>42490</v>
      </c>
      <c r="J6" s="2"/>
      <c r="K6" s="2"/>
      <c r="L6" s="2"/>
      <c r="M6" s="2"/>
    </row>
    <row r="7" spans="1:13" ht="15.75">
      <c r="B7" s="127"/>
      <c r="C7" s="127"/>
      <c r="D7" s="127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83" t="s">
        <v>175</v>
      </c>
      <c r="B8" s="183"/>
      <c r="C8" s="183"/>
      <c r="D8" s="183"/>
      <c r="E8" s="183"/>
      <c r="F8" s="183"/>
      <c r="G8" s="183"/>
      <c r="H8" s="183"/>
      <c r="I8" s="183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84" t="s">
        <v>176</v>
      </c>
      <c r="B10" s="184"/>
      <c r="C10" s="184"/>
      <c r="D10" s="184"/>
      <c r="E10" s="184"/>
      <c r="F10" s="184"/>
      <c r="G10" s="184"/>
      <c r="H10" s="184"/>
      <c r="I10" s="184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85" t="s">
        <v>60</v>
      </c>
      <c r="B14" s="185"/>
      <c r="C14" s="185"/>
      <c r="D14" s="185"/>
      <c r="E14" s="185"/>
      <c r="F14" s="185"/>
      <c r="G14" s="185"/>
      <c r="H14" s="185"/>
      <c r="I14" s="185"/>
      <c r="J14" s="8"/>
      <c r="K14" s="8"/>
      <c r="L14" s="8"/>
      <c r="M14" s="8"/>
    </row>
    <row r="15" spans="1:13" ht="15" customHeight="1">
      <c r="A15" s="173" t="s">
        <v>4</v>
      </c>
      <c r="B15" s="173"/>
      <c r="C15" s="173"/>
      <c r="D15" s="173"/>
      <c r="E15" s="173"/>
      <c r="F15" s="173"/>
      <c r="G15" s="173"/>
      <c r="H15" s="173"/>
      <c r="I15" s="173"/>
      <c r="J15" s="8"/>
      <c r="K15" s="8"/>
      <c r="L15" s="8"/>
      <c r="M15" s="8"/>
    </row>
    <row r="16" spans="1:13" ht="31.5" customHeight="1">
      <c r="A16" s="36">
        <v>1</v>
      </c>
      <c r="B16" s="141" t="s">
        <v>97</v>
      </c>
      <c r="C16" s="142" t="s">
        <v>98</v>
      </c>
      <c r="D16" s="141" t="s">
        <v>99</v>
      </c>
      <c r="E16" s="143">
        <v>143.78</v>
      </c>
      <c r="F16" s="144">
        <f>SUM(E16*156/100)</f>
        <v>224.29679999999999</v>
      </c>
      <c r="G16" s="144">
        <v>187.48</v>
      </c>
      <c r="H16" s="145">
        <f t="shared" ref="H16:H25" si="0">SUM(F16*G16/1000)</f>
        <v>42.051164063999998</v>
      </c>
      <c r="I16" s="16">
        <f>F16/12*G16</f>
        <v>3504.2636719999996</v>
      </c>
      <c r="J16" s="28"/>
      <c r="K16" s="8"/>
      <c r="L16" s="8"/>
      <c r="M16" s="8"/>
    </row>
    <row r="17" spans="1:13" ht="31.5" customHeight="1">
      <c r="A17" s="36">
        <v>2</v>
      </c>
      <c r="B17" s="141" t="s">
        <v>133</v>
      </c>
      <c r="C17" s="142" t="s">
        <v>98</v>
      </c>
      <c r="D17" s="141" t="s">
        <v>100</v>
      </c>
      <c r="E17" s="143">
        <v>575.125</v>
      </c>
      <c r="F17" s="144">
        <f>SUM(E17*104/100)</f>
        <v>598.13</v>
      </c>
      <c r="G17" s="144">
        <v>187.48</v>
      </c>
      <c r="H17" s="145">
        <f t="shared" si="0"/>
        <v>112.13741239999999</v>
      </c>
      <c r="I17" s="16">
        <f>F17/12*G17</f>
        <v>9344.7843666666668</v>
      </c>
      <c r="J17" s="29"/>
      <c r="K17" s="8"/>
      <c r="L17" s="8"/>
      <c r="M17" s="8"/>
    </row>
    <row r="18" spans="1:13" ht="31.5" customHeight="1">
      <c r="A18" s="36">
        <v>3</v>
      </c>
      <c r="B18" s="141" t="s">
        <v>134</v>
      </c>
      <c r="C18" s="142" t="s">
        <v>98</v>
      </c>
      <c r="D18" s="141" t="s">
        <v>142</v>
      </c>
      <c r="E18" s="143">
        <v>718.9</v>
      </c>
      <c r="F18" s="144">
        <f>SUM(E18*24/100)</f>
        <v>172.53599999999997</v>
      </c>
      <c r="G18" s="144">
        <v>539.51</v>
      </c>
      <c r="H18" s="145">
        <f t="shared" si="0"/>
        <v>93.084897359999985</v>
      </c>
      <c r="I18" s="16">
        <f>F18/12*G18</f>
        <v>7757.074779999999</v>
      </c>
      <c r="J18" s="29"/>
      <c r="K18" s="8"/>
      <c r="L18" s="8"/>
      <c r="M18" s="8"/>
    </row>
    <row r="19" spans="1:13" ht="15.75" hidden="1" customHeight="1">
      <c r="A19" s="36"/>
      <c r="B19" s="141" t="s">
        <v>107</v>
      </c>
      <c r="C19" s="142" t="s">
        <v>108</v>
      </c>
      <c r="D19" s="141" t="s">
        <v>109</v>
      </c>
      <c r="E19" s="143">
        <v>42.2</v>
      </c>
      <c r="F19" s="144">
        <f>SUM(E19/10)</f>
        <v>4.2200000000000006</v>
      </c>
      <c r="G19" s="144">
        <v>181.91</v>
      </c>
      <c r="H19" s="145">
        <f t="shared" si="0"/>
        <v>0.76766020000000013</v>
      </c>
      <c r="I19" s="16">
        <v>0</v>
      </c>
      <c r="J19" s="29"/>
      <c r="K19" s="8"/>
      <c r="L19" s="8"/>
      <c r="M19" s="8"/>
    </row>
    <row r="20" spans="1:13" ht="15.75" customHeight="1">
      <c r="A20" s="36">
        <v>4</v>
      </c>
      <c r="B20" s="141" t="s">
        <v>110</v>
      </c>
      <c r="C20" s="142" t="s">
        <v>98</v>
      </c>
      <c r="D20" s="141" t="s">
        <v>135</v>
      </c>
      <c r="E20" s="143">
        <v>14</v>
      </c>
      <c r="F20" s="144">
        <f>SUM(E20*12/100)</f>
        <v>1.68</v>
      </c>
      <c r="G20" s="144">
        <v>232.92</v>
      </c>
      <c r="H20" s="145">
        <f t="shared" si="0"/>
        <v>0.39130559999999998</v>
      </c>
      <c r="I20" s="16">
        <f>F20/12*G20</f>
        <v>32.608799999999995</v>
      </c>
      <c r="J20" s="29"/>
      <c r="K20" s="8"/>
      <c r="L20" s="8"/>
      <c r="M20" s="8"/>
    </row>
    <row r="21" spans="1:13" ht="15.75" hidden="1" customHeight="1">
      <c r="A21" s="36">
        <v>5</v>
      </c>
      <c r="B21" s="141" t="s">
        <v>111</v>
      </c>
      <c r="C21" s="142" t="s">
        <v>98</v>
      </c>
      <c r="D21" s="141" t="s">
        <v>184</v>
      </c>
      <c r="E21" s="143">
        <v>4.8</v>
      </c>
      <c r="F21" s="144">
        <f>SUM(E21*6/100)</f>
        <v>0.28799999999999998</v>
      </c>
      <c r="G21" s="144">
        <v>231.03</v>
      </c>
      <c r="H21" s="145">
        <f>SUM(F21*G21/1000)</f>
        <v>6.6536639999999994E-2</v>
      </c>
      <c r="I21" s="16">
        <f>F21/6*G21</f>
        <v>11.089439999999998</v>
      </c>
      <c r="J21" s="29"/>
      <c r="K21" s="8"/>
      <c r="L21" s="8"/>
      <c r="M21" s="8"/>
    </row>
    <row r="22" spans="1:13" ht="15.75" hidden="1" customHeight="1">
      <c r="A22" s="36"/>
      <c r="B22" s="141" t="s">
        <v>112</v>
      </c>
      <c r="C22" s="142" t="s">
        <v>53</v>
      </c>
      <c r="D22" s="141" t="s">
        <v>109</v>
      </c>
      <c r="E22" s="143">
        <v>640</v>
      </c>
      <c r="F22" s="144">
        <f>SUM(E22/100)</f>
        <v>6.4</v>
      </c>
      <c r="G22" s="144">
        <v>287.83999999999997</v>
      </c>
      <c r="H22" s="145">
        <f t="shared" si="0"/>
        <v>1.842176</v>
      </c>
      <c r="I22" s="16">
        <v>0</v>
      </c>
      <c r="J22" s="29"/>
      <c r="K22" s="8"/>
      <c r="L22" s="8"/>
      <c r="M22" s="8"/>
    </row>
    <row r="23" spans="1:13" ht="15.75" hidden="1" customHeight="1">
      <c r="A23" s="36"/>
      <c r="B23" s="141" t="s">
        <v>113</v>
      </c>
      <c r="C23" s="142" t="s">
        <v>53</v>
      </c>
      <c r="D23" s="141" t="s">
        <v>109</v>
      </c>
      <c r="E23" s="146">
        <v>48.3</v>
      </c>
      <c r="F23" s="144">
        <f>SUM(E23/100)</f>
        <v>0.48299999999999998</v>
      </c>
      <c r="G23" s="144">
        <v>47.34</v>
      </c>
      <c r="H23" s="145">
        <f t="shared" si="0"/>
        <v>2.2865220000000002E-2</v>
      </c>
      <c r="I23" s="16">
        <v>0</v>
      </c>
      <c r="J23" s="29"/>
      <c r="K23" s="8"/>
      <c r="L23" s="8"/>
      <c r="M23" s="8"/>
    </row>
    <row r="24" spans="1:13" ht="15.75" hidden="1" customHeight="1">
      <c r="A24" s="36"/>
      <c r="B24" s="141" t="s">
        <v>114</v>
      </c>
      <c r="C24" s="142" t="s">
        <v>53</v>
      </c>
      <c r="D24" s="141" t="s">
        <v>54</v>
      </c>
      <c r="E24" s="143">
        <v>20</v>
      </c>
      <c r="F24" s="144">
        <f>E24/100</f>
        <v>0.2</v>
      </c>
      <c r="G24" s="144">
        <v>416.62</v>
      </c>
      <c r="H24" s="145">
        <f t="shared" si="0"/>
        <v>8.3324000000000009E-2</v>
      </c>
      <c r="I24" s="16">
        <v>0</v>
      </c>
      <c r="J24" s="29"/>
      <c r="K24" s="8"/>
      <c r="L24" s="8"/>
      <c r="M24" s="8"/>
    </row>
    <row r="25" spans="1:13" ht="15.75" hidden="1" customHeight="1">
      <c r="A25" s="36"/>
      <c r="B25" s="141" t="s">
        <v>115</v>
      </c>
      <c r="C25" s="142" t="s">
        <v>53</v>
      </c>
      <c r="D25" s="141" t="s">
        <v>54</v>
      </c>
      <c r="E25" s="143">
        <v>8.5</v>
      </c>
      <c r="F25" s="144">
        <f>SUM(E25/100)</f>
        <v>8.5000000000000006E-2</v>
      </c>
      <c r="G25" s="144">
        <v>556.74</v>
      </c>
      <c r="H25" s="145">
        <f t="shared" si="0"/>
        <v>4.7322900000000001E-2</v>
      </c>
      <c r="I25" s="16">
        <v>0</v>
      </c>
      <c r="J25" s="29"/>
      <c r="K25" s="8"/>
      <c r="L25" s="8"/>
      <c r="M25" s="8"/>
    </row>
    <row r="26" spans="1:13" ht="15.75" hidden="1" customHeight="1">
      <c r="A26" s="36"/>
      <c r="B26" s="141" t="s">
        <v>140</v>
      </c>
      <c r="C26" s="142" t="s">
        <v>53</v>
      </c>
      <c r="D26" s="141" t="s">
        <v>54</v>
      </c>
      <c r="E26" s="143">
        <v>19</v>
      </c>
      <c r="F26" s="144">
        <f>E26/100</f>
        <v>0.19</v>
      </c>
      <c r="G26" s="144">
        <v>231.03</v>
      </c>
      <c r="H26" s="145">
        <f>G26*F26/1000</f>
        <v>4.3895699999999996E-2</v>
      </c>
      <c r="I26" s="16">
        <v>0</v>
      </c>
      <c r="J26" s="29"/>
      <c r="K26" s="8"/>
      <c r="L26" s="8"/>
      <c r="M26" s="8"/>
    </row>
    <row r="27" spans="1:13" ht="15.75" customHeight="1">
      <c r="A27" s="36">
        <v>5</v>
      </c>
      <c r="B27" s="141" t="s">
        <v>66</v>
      </c>
      <c r="C27" s="142" t="s">
        <v>33</v>
      </c>
      <c r="D27" s="141" t="s">
        <v>136</v>
      </c>
      <c r="E27" s="143">
        <v>0.1</v>
      </c>
      <c r="F27" s="144">
        <f>SUM(E27*365)</f>
        <v>36.5</v>
      </c>
      <c r="G27" s="144">
        <v>157.18</v>
      </c>
      <c r="H27" s="145">
        <f>SUM(F27*G27/1000)</f>
        <v>5.737070000000001</v>
      </c>
      <c r="I27" s="16">
        <f>F27/12*G27</f>
        <v>478.08916666666664</v>
      </c>
      <c r="J27" s="30"/>
    </row>
    <row r="28" spans="1:13" ht="15.75" customHeight="1">
      <c r="A28" s="36">
        <v>6</v>
      </c>
      <c r="B28" s="149" t="s">
        <v>23</v>
      </c>
      <c r="C28" s="142" t="s">
        <v>24</v>
      </c>
      <c r="D28" s="149" t="s">
        <v>153</v>
      </c>
      <c r="E28" s="143">
        <v>4731.7</v>
      </c>
      <c r="F28" s="144">
        <f>SUM(E28*12)</f>
        <v>56780.399999999994</v>
      </c>
      <c r="G28" s="144">
        <v>4.72</v>
      </c>
      <c r="H28" s="145">
        <f>SUM(F28*G28/1000)</f>
        <v>268.00348799999995</v>
      </c>
      <c r="I28" s="16">
        <f>F28/12*G28</f>
        <v>22333.623999999996</v>
      </c>
      <c r="J28" s="30"/>
    </row>
    <row r="29" spans="1:13" ht="15" customHeight="1">
      <c r="A29" s="173" t="s">
        <v>93</v>
      </c>
      <c r="B29" s="173"/>
      <c r="C29" s="173"/>
      <c r="D29" s="173"/>
      <c r="E29" s="173"/>
      <c r="F29" s="173"/>
      <c r="G29" s="173"/>
      <c r="H29" s="173"/>
      <c r="I29" s="173"/>
      <c r="J29" s="29"/>
      <c r="K29" s="8"/>
      <c r="L29" s="8"/>
      <c r="M29" s="8"/>
    </row>
    <row r="30" spans="1:13" ht="15.75" hidden="1" customHeight="1">
      <c r="A30" s="36"/>
      <c r="B30" s="189" t="s">
        <v>28</v>
      </c>
      <c r="C30" s="142"/>
      <c r="D30" s="141"/>
      <c r="E30" s="143"/>
      <c r="F30" s="144"/>
      <c r="G30" s="144"/>
      <c r="H30" s="145"/>
      <c r="I30" s="16"/>
      <c r="J30" s="29"/>
      <c r="K30" s="8"/>
      <c r="L30" s="8"/>
      <c r="M30" s="8"/>
    </row>
    <row r="31" spans="1:13" ht="31.5" hidden="1" customHeight="1">
      <c r="A31" s="36">
        <v>8</v>
      </c>
      <c r="B31" s="141" t="s">
        <v>119</v>
      </c>
      <c r="C31" s="142" t="s">
        <v>102</v>
      </c>
      <c r="D31" s="141" t="s">
        <v>116</v>
      </c>
      <c r="E31" s="144">
        <v>512.5</v>
      </c>
      <c r="F31" s="144">
        <f>SUM(E31*52/1000)</f>
        <v>26.65</v>
      </c>
      <c r="G31" s="144">
        <v>166.65</v>
      </c>
      <c r="H31" s="145">
        <f t="shared" ref="H31:H37" si="1">SUM(F31*G31/1000)</f>
        <v>4.4412225000000003</v>
      </c>
      <c r="I31" s="16">
        <f>F31/6*G31</f>
        <v>740.20375000000001</v>
      </c>
      <c r="J31" s="29"/>
      <c r="K31" s="8"/>
      <c r="L31" s="8"/>
      <c r="M31" s="8"/>
    </row>
    <row r="32" spans="1:13" ht="31.5" hidden="1" customHeight="1">
      <c r="A32" s="36">
        <v>9</v>
      </c>
      <c r="B32" s="141" t="s">
        <v>137</v>
      </c>
      <c r="C32" s="142" t="s">
        <v>102</v>
      </c>
      <c r="D32" s="141" t="s">
        <v>117</v>
      </c>
      <c r="E32" s="144">
        <v>316.27</v>
      </c>
      <c r="F32" s="144">
        <f>SUM(E32*78/1000)</f>
        <v>24.669059999999998</v>
      </c>
      <c r="G32" s="144">
        <v>276.48</v>
      </c>
      <c r="H32" s="145">
        <f t="shared" si="1"/>
        <v>6.8205017087999993</v>
      </c>
      <c r="I32" s="16">
        <f t="shared" ref="I32:I35" si="2">F32/6*G32</f>
        <v>1136.7502848000001</v>
      </c>
      <c r="J32" s="29"/>
      <c r="K32" s="8"/>
      <c r="L32" s="8"/>
      <c r="M32" s="8"/>
    </row>
    <row r="33" spans="1:14" ht="15.75" hidden="1" customHeight="1">
      <c r="A33" s="36"/>
      <c r="B33" s="141" t="s">
        <v>27</v>
      </c>
      <c r="C33" s="142" t="s">
        <v>102</v>
      </c>
      <c r="D33" s="141" t="s">
        <v>54</v>
      </c>
      <c r="E33" s="144">
        <v>512.5</v>
      </c>
      <c r="F33" s="144">
        <f>SUM(E33/1000)</f>
        <v>0.51249999999999996</v>
      </c>
      <c r="G33" s="144">
        <v>3228.73</v>
      </c>
      <c r="H33" s="145">
        <f t="shared" si="1"/>
        <v>1.654724125</v>
      </c>
      <c r="I33" s="16">
        <f>F33*G33</f>
        <v>1654.724125</v>
      </c>
      <c r="J33" s="29"/>
      <c r="K33" s="8"/>
      <c r="L33" s="8"/>
      <c r="M33" s="8"/>
    </row>
    <row r="34" spans="1:14" ht="15.75" hidden="1" customHeight="1">
      <c r="A34" s="36">
        <v>10</v>
      </c>
      <c r="B34" s="141" t="s">
        <v>154</v>
      </c>
      <c r="C34" s="142" t="s">
        <v>39</v>
      </c>
      <c r="D34" s="141" t="s">
        <v>65</v>
      </c>
      <c r="E34" s="144">
        <v>4</v>
      </c>
      <c r="F34" s="144">
        <f>E34*155/100</f>
        <v>6.2</v>
      </c>
      <c r="G34" s="144">
        <v>1391.86</v>
      </c>
      <c r="H34" s="145">
        <f>G34*F34/1000</f>
        <v>8.6295319999999993</v>
      </c>
      <c r="I34" s="16">
        <f t="shared" si="2"/>
        <v>1438.2553333333333</v>
      </c>
      <c r="J34" s="29"/>
      <c r="K34" s="8"/>
    </row>
    <row r="35" spans="1:14" ht="15.75" hidden="1" customHeight="1">
      <c r="A35" s="36">
        <v>11</v>
      </c>
      <c r="B35" s="141" t="s">
        <v>118</v>
      </c>
      <c r="C35" s="142" t="s">
        <v>31</v>
      </c>
      <c r="D35" s="141" t="s">
        <v>65</v>
      </c>
      <c r="E35" s="148">
        <v>0.33333333333333331</v>
      </c>
      <c r="F35" s="144">
        <f>155/3</f>
        <v>51.666666666666664</v>
      </c>
      <c r="G35" s="144">
        <v>60.6</v>
      </c>
      <c r="H35" s="145">
        <f>SUM(G35*155/3/1000)</f>
        <v>3.1309999999999998</v>
      </c>
      <c r="I35" s="16">
        <f t="shared" si="2"/>
        <v>521.83333333333337</v>
      </c>
      <c r="J35" s="30"/>
    </row>
    <row r="36" spans="1:14" ht="15.75" hidden="1" customHeight="1">
      <c r="A36" s="36"/>
      <c r="B36" s="141" t="s">
        <v>67</v>
      </c>
      <c r="C36" s="142" t="s">
        <v>33</v>
      </c>
      <c r="D36" s="141" t="s">
        <v>69</v>
      </c>
      <c r="E36" s="143"/>
      <c r="F36" s="144">
        <v>3</v>
      </c>
      <c r="G36" s="144">
        <v>204.52</v>
      </c>
      <c r="H36" s="145">
        <f t="shared" si="1"/>
        <v>0.61356000000000011</v>
      </c>
      <c r="I36" s="16">
        <v>0</v>
      </c>
      <c r="J36" s="30"/>
    </row>
    <row r="37" spans="1:14" ht="15.75" hidden="1" customHeight="1">
      <c r="A37" s="36"/>
      <c r="B37" s="141" t="s">
        <v>68</v>
      </c>
      <c r="C37" s="142" t="s">
        <v>32</v>
      </c>
      <c r="D37" s="141" t="s">
        <v>69</v>
      </c>
      <c r="E37" s="143"/>
      <c r="F37" s="144">
        <v>2</v>
      </c>
      <c r="G37" s="144">
        <v>1214.73</v>
      </c>
      <c r="H37" s="145">
        <f t="shared" si="1"/>
        <v>2.4294600000000002</v>
      </c>
      <c r="I37" s="16">
        <v>0</v>
      </c>
      <c r="J37" s="30"/>
    </row>
    <row r="38" spans="1:14" ht="15.75" customHeight="1">
      <c r="A38" s="36"/>
      <c r="B38" s="189" t="s">
        <v>5</v>
      </c>
      <c r="C38" s="142"/>
      <c r="D38" s="141"/>
      <c r="E38" s="143"/>
      <c r="F38" s="144"/>
      <c r="G38" s="144"/>
      <c r="H38" s="145" t="s">
        <v>153</v>
      </c>
      <c r="I38" s="16"/>
      <c r="J38" s="30"/>
    </row>
    <row r="39" spans="1:14" ht="15.75" customHeight="1">
      <c r="A39" s="36">
        <v>7</v>
      </c>
      <c r="B39" s="141" t="s">
        <v>26</v>
      </c>
      <c r="C39" s="142" t="s">
        <v>32</v>
      </c>
      <c r="D39" s="141"/>
      <c r="E39" s="143"/>
      <c r="F39" s="144">
        <v>5</v>
      </c>
      <c r="G39" s="144">
        <v>1632.6</v>
      </c>
      <c r="H39" s="145">
        <f t="shared" ref="H39:H45" si="3">SUM(F39*G39/1000)</f>
        <v>8.1630000000000003</v>
      </c>
      <c r="I39" s="16">
        <f>F39/6*G39</f>
        <v>1360.5</v>
      </c>
      <c r="J39" s="30"/>
      <c r="L39" s="25"/>
      <c r="M39" s="26"/>
      <c r="N39" s="27"/>
    </row>
    <row r="40" spans="1:14" ht="15.75" customHeight="1">
      <c r="A40" s="36">
        <v>8</v>
      </c>
      <c r="B40" s="141" t="s">
        <v>120</v>
      </c>
      <c r="C40" s="142" t="s">
        <v>29</v>
      </c>
      <c r="D40" s="141" t="s">
        <v>146</v>
      </c>
      <c r="E40" s="143">
        <v>228.38</v>
      </c>
      <c r="F40" s="144">
        <f>E40*30/1000</f>
        <v>6.8513999999999999</v>
      </c>
      <c r="G40" s="144">
        <v>2247.8000000000002</v>
      </c>
      <c r="H40" s="145">
        <f>G40*F40/1000</f>
        <v>15.400576920000001</v>
      </c>
      <c r="I40" s="16">
        <f>F40/6*G40</f>
        <v>2566.7628199999999</v>
      </c>
      <c r="J40" s="30"/>
      <c r="L40" s="25"/>
      <c r="M40" s="26"/>
      <c r="N40" s="27"/>
    </row>
    <row r="41" spans="1:14" ht="15.75" hidden="1" customHeight="1">
      <c r="A41" s="36">
        <v>10</v>
      </c>
      <c r="B41" s="141" t="s">
        <v>144</v>
      </c>
      <c r="C41" s="142" t="s">
        <v>145</v>
      </c>
      <c r="D41" s="141" t="s">
        <v>69</v>
      </c>
      <c r="E41" s="143"/>
      <c r="F41" s="144">
        <v>120</v>
      </c>
      <c r="G41" s="144">
        <v>213.2</v>
      </c>
      <c r="H41" s="145">
        <f>G41*F41/1000</f>
        <v>25.584</v>
      </c>
      <c r="I41" s="16">
        <f>G41*12</f>
        <v>2558.3999999999996</v>
      </c>
      <c r="J41" s="30"/>
      <c r="L41" s="25"/>
      <c r="M41" s="26"/>
      <c r="N41" s="27"/>
    </row>
    <row r="42" spans="1:14" ht="15.75" customHeight="1">
      <c r="A42" s="36">
        <v>9</v>
      </c>
      <c r="B42" s="141" t="s">
        <v>70</v>
      </c>
      <c r="C42" s="142" t="s">
        <v>29</v>
      </c>
      <c r="D42" s="141" t="s">
        <v>101</v>
      </c>
      <c r="E42" s="144">
        <v>233.71</v>
      </c>
      <c r="F42" s="144">
        <f>SUM(E42*155/1000)</f>
        <v>36.225050000000003</v>
      </c>
      <c r="G42" s="144">
        <v>374.95</v>
      </c>
      <c r="H42" s="145">
        <f t="shared" si="3"/>
        <v>13.582582497500001</v>
      </c>
      <c r="I42" s="16">
        <f>F42/6*G42</f>
        <v>2263.7637495833337</v>
      </c>
      <c r="J42" s="30"/>
      <c r="L42" s="25"/>
      <c r="M42" s="26"/>
      <c r="N42" s="27"/>
    </row>
    <row r="43" spans="1:14" ht="47.25" customHeight="1">
      <c r="A43" s="36">
        <v>10</v>
      </c>
      <c r="B43" s="141" t="s">
        <v>88</v>
      </c>
      <c r="C43" s="142" t="s">
        <v>102</v>
      </c>
      <c r="D43" s="141" t="s">
        <v>147</v>
      </c>
      <c r="E43" s="144">
        <v>54.4</v>
      </c>
      <c r="F43" s="144">
        <f>SUM(E43*35/1000)</f>
        <v>1.9039999999999999</v>
      </c>
      <c r="G43" s="144">
        <v>6203.7</v>
      </c>
      <c r="H43" s="145">
        <f t="shared" si="3"/>
        <v>11.811844799999999</v>
      </c>
      <c r="I43" s="16">
        <f>F43/6*G43</f>
        <v>1968.6407999999997</v>
      </c>
      <c r="J43" s="30"/>
      <c r="L43" s="25"/>
      <c r="M43" s="26"/>
      <c r="N43" s="27"/>
    </row>
    <row r="44" spans="1:14" ht="15.75" customHeight="1">
      <c r="A44" s="36">
        <v>11</v>
      </c>
      <c r="B44" s="141" t="s">
        <v>103</v>
      </c>
      <c r="C44" s="142" t="s">
        <v>102</v>
      </c>
      <c r="D44" s="141" t="s">
        <v>71</v>
      </c>
      <c r="E44" s="144">
        <v>228.38</v>
      </c>
      <c r="F44" s="144">
        <f>SUM(E44*45/1000)</f>
        <v>10.277100000000001</v>
      </c>
      <c r="G44" s="144">
        <v>458.28</v>
      </c>
      <c r="H44" s="145">
        <f t="shared" si="3"/>
        <v>4.7097893879999999</v>
      </c>
      <c r="I44" s="16">
        <f>F44/6*G44</f>
        <v>784.96489800000006</v>
      </c>
      <c r="J44" s="30"/>
      <c r="L44" s="25"/>
      <c r="M44" s="26"/>
      <c r="N44" s="27"/>
    </row>
    <row r="45" spans="1:14" ht="15.75" customHeight="1">
      <c r="A45" s="36">
        <v>12</v>
      </c>
      <c r="B45" s="141" t="s">
        <v>72</v>
      </c>
      <c r="C45" s="142" t="s">
        <v>33</v>
      </c>
      <c r="D45" s="141"/>
      <c r="E45" s="143"/>
      <c r="F45" s="144">
        <v>1.8</v>
      </c>
      <c r="G45" s="144">
        <v>853.06</v>
      </c>
      <c r="H45" s="145">
        <f t="shared" si="3"/>
        <v>1.5355080000000001</v>
      </c>
      <c r="I45" s="16">
        <f>F45/6*G45</f>
        <v>255.91799999999998</v>
      </c>
      <c r="J45" s="30"/>
      <c r="L45" s="25"/>
      <c r="M45" s="26"/>
      <c r="N45" s="27"/>
    </row>
    <row r="46" spans="1:14" ht="15" customHeight="1">
      <c r="A46" s="174" t="s">
        <v>177</v>
      </c>
      <c r="B46" s="175"/>
      <c r="C46" s="175"/>
      <c r="D46" s="175"/>
      <c r="E46" s="175"/>
      <c r="F46" s="175"/>
      <c r="G46" s="175"/>
      <c r="H46" s="175"/>
      <c r="I46" s="176"/>
      <c r="J46" s="30"/>
      <c r="L46" s="25"/>
      <c r="M46" s="26"/>
      <c r="N46" s="27"/>
    </row>
    <row r="47" spans="1:14" ht="15.75" hidden="1" customHeight="1">
      <c r="A47" s="36"/>
      <c r="B47" s="141" t="s">
        <v>148</v>
      </c>
      <c r="C47" s="142" t="s">
        <v>102</v>
      </c>
      <c r="D47" s="141" t="s">
        <v>41</v>
      </c>
      <c r="E47" s="143">
        <v>1320.9</v>
      </c>
      <c r="F47" s="144">
        <f>SUM(E47*2/1000)</f>
        <v>2.6418000000000004</v>
      </c>
      <c r="G47" s="16">
        <v>908.11</v>
      </c>
      <c r="H47" s="145">
        <f t="shared" ref="H47:H55" si="4">SUM(F47*G47/1000)</f>
        <v>2.3990449980000004</v>
      </c>
      <c r="I47" s="16">
        <v>0</v>
      </c>
      <c r="J47" s="30"/>
      <c r="L47" s="25"/>
      <c r="M47" s="26"/>
      <c r="N47" s="27"/>
    </row>
    <row r="48" spans="1:14" ht="15.75" hidden="1" customHeight="1">
      <c r="A48" s="36"/>
      <c r="B48" s="141" t="s">
        <v>34</v>
      </c>
      <c r="C48" s="142" t="s">
        <v>102</v>
      </c>
      <c r="D48" s="141" t="s">
        <v>41</v>
      </c>
      <c r="E48" s="143">
        <v>52</v>
      </c>
      <c r="F48" s="144">
        <f>E48*2/1000</f>
        <v>0.104</v>
      </c>
      <c r="G48" s="16">
        <v>619.46</v>
      </c>
      <c r="H48" s="145">
        <f t="shared" si="4"/>
        <v>6.4423839999999996E-2</v>
      </c>
      <c r="I48" s="16">
        <v>0</v>
      </c>
      <c r="J48" s="30"/>
      <c r="L48" s="25"/>
      <c r="M48" s="26"/>
      <c r="N48" s="27"/>
    </row>
    <row r="49" spans="1:22" ht="15.75" hidden="1" customHeight="1">
      <c r="A49" s="36"/>
      <c r="B49" s="141" t="s">
        <v>35</v>
      </c>
      <c r="C49" s="142" t="s">
        <v>102</v>
      </c>
      <c r="D49" s="141" t="s">
        <v>41</v>
      </c>
      <c r="E49" s="143">
        <v>1520.8</v>
      </c>
      <c r="F49" s="144">
        <f>SUM(E49*2/1000)</f>
        <v>3.0415999999999999</v>
      </c>
      <c r="G49" s="16">
        <v>619.46</v>
      </c>
      <c r="H49" s="145">
        <f t="shared" si="4"/>
        <v>1.8841495360000002</v>
      </c>
      <c r="I49" s="16">
        <v>0</v>
      </c>
      <c r="J49" s="30"/>
      <c r="L49" s="25"/>
      <c r="M49" s="26"/>
      <c r="N49" s="27"/>
    </row>
    <row r="50" spans="1:22" ht="15.75" hidden="1" customHeight="1">
      <c r="A50" s="36"/>
      <c r="B50" s="141" t="s">
        <v>36</v>
      </c>
      <c r="C50" s="142" t="s">
        <v>102</v>
      </c>
      <c r="D50" s="141" t="s">
        <v>41</v>
      </c>
      <c r="E50" s="143">
        <v>3433.81</v>
      </c>
      <c r="F50" s="144">
        <f>SUM(E50*2/1000)</f>
        <v>6.8676199999999996</v>
      </c>
      <c r="G50" s="16">
        <v>648.64</v>
      </c>
      <c r="H50" s="145">
        <f t="shared" si="4"/>
        <v>4.4546130367999996</v>
      </c>
      <c r="I50" s="16">
        <v>0</v>
      </c>
      <c r="J50" s="30"/>
      <c r="L50" s="25"/>
      <c r="M50" s="26"/>
      <c r="N50" s="27"/>
    </row>
    <row r="51" spans="1:22" ht="15.75" hidden="1" customHeight="1">
      <c r="A51" s="36">
        <v>15</v>
      </c>
      <c r="B51" s="141" t="s">
        <v>57</v>
      </c>
      <c r="C51" s="142" t="s">
        <v>102</v>
      </c>
      <c r="D51" s="141" t="s">
        <v>225</v>
      </c>
      <c r="E51" s="143">
        <v>2641.8</v>
      </c>
      <c r="F51" s="144">
        <f>SUM(E51*5/1000)</f>
        <v>13.209</v>
      </c>
      <c r="G51" s="16">
        <v>1297.28</v>
      </c>
      <c r="H51" s="145">
        <f t="shared" si="4"/>
        <v>17.135771519999999</v>
      </c>
      <c r="I51" s="16">
        <f>F51/5*G51</f>
        <v>3427.1543039999997</v>
      </c>
      <c r="J51" s="30"/>
      <c r="L51" s="25"/>
      <c r="M51" s="26"/>
      <c r="N51" s="27"/>
    </row>
    <row r="52" spans="1:22" ht="31.5" customHeight="1">
      <c r="A52" s="36">
        <v>13</v>
      </c>
      <c r="B52" s="141" t="s">
        <v>104</v>
      </c>
      <c r="C52" s="142" t="s">
        <v>102</v>
      </c>
      <c r="D52" s="141" t="s">
        <v>41</v>
      </c>
      <c r="E52" s="143">
        <v>2641.8</v>
      </c>
      <c r="F52" s="144">
        <f>SUM(E52*2/1000)</f>
        <v>5.2836000000000007</v>
      </c>
      <c r="G52" s="16">
        <v>1297.28</v>
      </c>
      <c r="H52" s="145">
        <f t="shared" si="4"/>
        <v>6.8543086080000011</v>
      </c>
      <c r="I52" s="16">
        <f>F52/2*G52</f>
        <v>3427.1543040000006</v>
      </c>
      <c r="J52" s="30"/>
      <c r="L52" s="25"/>
      <c r="M52" s="26"/>
      <c r="N52" s="27"/>
    </row>
    <row r="53" spans="1:22" ht="31.5" customHeight="1">
      <c r="A53" s="36">
        <v>14</v>
      </c>
      <c r="B53" s="141" t="s">
        <v>105</v>
      </c>
      <c r="C53" s="142" t="s">
        <v>37</v>
      </c>
      <c r="D53" s="141" t="s">
        <v>41</v>
      </c>
      <c r="E53" s="143">
        <v>20</v>
      </c>
      <c r="F53" s="144">
        <f>SUM(E53*2/100)</f>
        <v>0.4</v>
      </c>
      <c r="G53" s="16">
        <v>2918.89</v>
      </c>
      <c r="H53" s="145">
        <f>SUM(F53*G53/1000)</f>
        <v>1.167556</v>
      </c>
      <c r="I53" s="16">
        <f>F53/2*G53</f>
        <v>583.77800000000002</v>
      </c>
      <c r="J53" s="30"/>
      <c r="L53" s="25"/>
      <c r="M53" s="26"/>
      <c r="N53" s="27"/>
    </row>
    <row r="54" spans="1:22" ht="15.75" hidden="1" customHeight="1">
      <c r="A54" s="36"/>
      <c r="B54" s="141" t="s">
        <v>38</v>
      </c>
      <c r="C54" s="142" t="s">
        <v>39</v>
      </c>
      <c r="D54" s="141" t="s">
        <v>41</v>
      </c>
      <c r="E54" s="143">
        <v>1</v>
      </c>
      <c r="F54" s="144">
        <v>0.02</v>
      </c>
      <c r="G54" s="16">
        <v>6042.12</v>
      </c>
      <c r="H54" s="145">
        <f t="shared" si="4"/>
        <v>0.1208424</v>
      </c>
      <c r="I54" s="16">
        <v>0</v>
      </c>
      <c r="J54" s="30"/>
      <c r="L54" s="25"/>
      <c r="M54" s="26"/>
      <c r="N54" s="27"/>
    </row>
    <row r="55" spans="1:22" ht="15.75" customHeight="1">
      <c r="A55" s="36">
        <v>15</v>
      </c>
      <c r="B55" s="141" t="s">
        <v>40</v>
      </c>
      <c r="C55" s="142" t="s">
        <v>122</v>
      </c>
      <c r="D55" s="141" t="s">
        <v>73</v>
      </c>
      <c r="E55" s="143">
        <v>160</v>
      </c>
      <c r="F55" s="144">
        <f>SUM(E55)*3</f>
        <v>480</v>
      </c>
      <c r="G55" s="16">
        <v>70.209999999999994</v>
      </c>
      <c r="H55" s="145">
        <f t="shared" si="4"/>
        <v>33.700799999999994</v>
      </c>
      <c r="I55" s="16">
        <f>E55*G55</f>
        <v>11233.599999999999</v>
      </c>
      <c r="J55" s="30"/>
      <c r="L55" s="25"/>
      <c r="M55" s="26"/>
      <c r="N55" s="27"/>
    </row>
    <row r="56" spans="1:22" ht="15.75" customHeight="1">
      <c r="A56" s="174" t="s">
        <v>178</v>
      </c>
      <c r="B56" s="175"/>
      <c r="C56" s="175"/>
      <c r="D56" s="175"/>
      <c r="E56" s="175"/>
      <c r="F56" s="175"/>
      <c r="G56" s="175"/>
      <c r="H56" s="175"/>
      <c r="I56" s="176"/>
      <c r="J56" s="30"/>
      <c r="L56" s="25"/>
      <c r="M56" s="26"/>
      <c r="N56" s="27"/>
    </row>
    <row r="57" spans="1:22" ht="15.75" customHeight="1">
      <c r="A57" s="36"/>
      <c r="B57" s="189" t="s">
        <v>42</v>
      </c>
      <c r="C57" s="142"/>
      <c r="D57" s="141"/>
      <c r="E57" s="143"/>
      <c r="F57" s="144"/>
      <c r="G57" s="144"/>
      <c r="H57" s="145"/>
      <c r="I57" s="16"/>
      <c r="J57" s="30"/>
      <c r="L57" s="25"/>
      <c r="M57" s="26"/>
      <c r="N57" s="27"/>
    </row>
    <row r="58" spans="1:22" ht="31.5" customHeight="1">
      <c r="A58" s="36">
        <v>16</v>
      </c>
      <c r="B58" s="141" t="s">
        <v>149</v>
      </c>
      <c r="C58" s="142" t="s">
        <v>98</v>
      </c>
      <c r="D58" s="141" t="s">
        <v>123</v>
      </c>
      <c r="E58" s="143">
        <v>155.09</v>
      </c>
      <c r="F58" s="144">
        <f>SUM(E58*6/100)</f>
        <v>9.3053999999999988</v>
      </c>
      <c r="G58" s="16">
        <v>1654.04</v>
      </c>
      <c r="H58" s="145">
        <f>SUM(F58*G58/1000)</f>
        <v>15.391503815999998</v>
      </c>
      <c r="I58" s="16">
        <f>F58/6*G58</f>
        <v>2565.2506359999993</v>
      </c>
      <c r="J58" s="30"/>
      <c r="L58" s="25"/>
      <c r="M58" s="26"/>
      <c r="N58" s="27"/>
    </row>
    <row r="59" spans="1:22" ht="15.75" customHeight="1">
      <c r="A59" s="36">
        <v>17</v>
      </c>
      <c r="B59" s="141" t="s">
        <v>150</v>
      </c>
      <c r="C59" s="142" t="s">
        <v>98</v>
      </c>
      <c r="D59" s="141" t="s">
        <v>123</v>
      </c>
      <c r="E59" s="143">
        <v>3.8</v>
      </c>
      <c r="F59" s="144">
        <f>SUM(E59*6/100)</f>
        <v>0.22799999999999998</v>
      </c>
      <c r="G59" s="16">
        <v>1654.04</v>
      </c>
      <c r="H59" s="145">
        <f>SUM(F59*G59/1000)</f>
        <v>0.37712111999999998</v>
      </c>
      <c r="I59" s="16">
        <f>F59/6*G59</f>
        <v>62.853519999999996</v>
      </c>
      <c r="J59" s="30"/>
      <c r="L59" s="25"/>
    </row>
    <row r="60" spans="1:22" ht="15.75" hidden="1" customHeight="1">
      <c r="A60" s="36">
        <v>19</v>
      </c>
      <c r="B60" s="150" t="s">
        <v>151</v>
      </c>
      <c r="C60" s="151" t="s">
        <v>152</v>
      </c>
      <c r="D60" s="150" t="s">
        <v>41</v>
      </c>
      <c r="E60" s="152">
        <v>4</v>
      </c>
      <c r="F60" s="153">
        <v>0.8</v>
      </c>
      <c r="G60" s="16">
        <v>193.23</v>
      </c>
      <c r="H60" s="145">
        <f t="shared" ref="H60:H61" si="5">SUM(F60*G60/1000)</f>
        <v>0.154584</v>
      </c>
      <c r="I60" s="16">
        <f>F60/2*G60</f>
        <v>77.292000000000002</v>
      </c>
    </row>
    <row r="61" spans="1:22" ht="15.75" hidden="1" customHeight="1">
      <c r="A61" s="36"/>
      <c r="B61" s="150" t="s">
        <v>44</v>
      </c>
      <c r="C61" s="151" t="s">
        <v>53</v>
      </c>
      <c r="D61" s="150" t="s">
        <v>54</v>
      </c>
      <c r="E61" s="152">
        <v>1320.9</v>
      </c>
      <c r="F61" s="153">
        <f>E61/100</f>
        <v>13.209000000000001</v>
      </c>
      <c r="G61" s="16">
        <v>505.2</v>
      </c>
      <c r="H61" s="145">
        <f t="shared" si="5"/>
        <v>6.6731868000000008</v>
      </c>
      <c r="I61" s="16">
        <v>0</v>
      </c>
    </row>
    <row r="62" spans="1:22" ht="15.75" customHeight="1">
      <c r="A62" s="36"/>
      <c r="B62" s="190" t="s">
        <v>43</v>
      </c>
      <c r="C62" s="151"/>
      <c r="D62" s="150"/>
      <c r="E62" s="152"/>
      <c r="F62" s="153"/>
      <c r="G62" s="16"/>
      <c r="H62" s="154"/>
      <c r="I62" s="16"/>
    </row>
    <row r="63" spans="1:22" ht="15.75" hidden="1" customHeight="1">
      <c r="A63" s="36"/>
      <c r="B63" s="150" t="s">
        <v>44</v>
      </c>
      <c r="C63" s="151" t="s">
        <v>53</v>
      </c>
      <c r="D63" s="150" t="s">
        <v>54</v>
      </c>
      <c r="E63" s="152">
        <v>1238</v>
      </c>
      <c r="F63" s="153">
        <f>E63/100</f>
        <v>12.38</v>
      </c>
      <c r="G63" s="16">
        <v>848.37</v>
      </c>
      <c r="H63" s="154">
        <f>F63*G63/1000</f>
        <v>10.502820600000002</v>
      </c>
      <c r="I63" s="16">
        <v>0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.75" customHeight="1">
      <c r="A64" s="36">
        <v>18</v>
      </c>
      <c r="B64" s="150" t="s">
        <v>139</v>
      </c>
      <c r="C64" s="151" t="s">
        <v>25</v>
      </c>
      <c r="D64" s="150" t="s">
        <v>30</v>
      </c>
      <c r="E64" s="152">
        <v>238</v>
      </c>
      <c r="F64" s="155">
        <f>E64*12</f>
        <v>2856</v>
      </c>
      <c r="G64" s="135">
        <v>2.6</v>
      </c>
      <c r="H64" s="153">
        <f>F64*G64/1000</f>
        <v>7.4256000000000002</v>
      </c>
      <c r="I64" s="16">
        <f>F64/12*G64</f>
        <v>618.80000000000007</v>
      </c>
      <c r="J64" s="32"/>
      <c r="K64" s="32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hidden="1" customHeight="1">
      <c r="A65" s="36"/>
      <c r="B65" s="190" t="s">
        <v>45</v>
      </c>
      <c r="C65" s="151"/>
      <c r="D65" s="150"/>
      <c r="E65" s="152"/>
      <c r="F65" s="155"/>
      <c r="G65" s="155"/>
      <c r="H65" s="153" t="s">
        <v>153</v>
      </c>
      <c r="I65" s="16"/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hidden="1" customHeight="1">
      <c r="A66" s="36"/>
      <c r="B66" s="18" t="s">
        <v>46</v>
      </c>
      <c r="C66" s="20" t="s">
        <v>122</v>
      </c>
      <c r="D66" s="18" t="s">
        <v>69</v>
      </c>
      <c r="E66" s="23">
        <v>8</v>
      </c>
      <c r="F66" s="144">
        <v>8</v>
      </c>
      <c r="G66" s="16">
        <v>237.74</v>
      </c>
      <c r="H66" s="156">
        <f t="shared" ref="H66:H79" si="6">SUM(F66*G66/1000)</f>
        <v>1.9019200000000001</v>
      </c>
      <c r="I66" s="16">
        <v>0</v>
      </c>
      <c r="J66" s="5"/>
      <c r="K66" s="5"/>
      <c r="L66" s="5"/>
      <c r="M66" s="5"/>
      <c r="N66" s="5"/>
      <c r="O66" s="5"/>
      <c r="P66" s="5"/>
      <c r="Q66" s="5"/>
      <c r="R66" s="167"/>
      <c r="S66" s="167"/>
      <c r="T66" s="167"/>
      <c r="U66" s="167"/>
    </row>
    <row r="67" spans="1:21" ht="15.75" hidden="1" customHeight="1">
      <c r="A67" s="36"/>
      <c r="B67" s="18" t="s">
        <v>47</v>
      </c>
      <c r="C67" s="20" t="s">
        <v>122</v>
      </c>
      <c r="D67" s="18" t="s">
        <v>69</v>
      </c>
      <c r="E67" s="23">
        <v>3</v>
      </c>
      <c r="F67" s="144">
        <v>3</v>
      </c>
      <c r="G67" s="16">
        <v>81.510000000000005</v>
      </c>
      <c r="H67" s="156">
        <f t="shared" si="6"/>
        <v>0.24453000000000003</v>
      </c>
      <c r="I67" s="16">
        <v>0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ht="15.75" hidden="1" customHeight="1">
      <c r="A68" s="36"/>
      <c r="B68" s="18" t="s">
        <v>48</v>
      </c>
      <c r="C68" s="20" t="s">
        <v>124</v>
      </c>
      <c r="D68" s="18" t="s">
        <v>54</v>
      </c>
      <c r="E68" s="143">
        <v>19836</v>
      </c>
      <c r="F68" s="16">
        <f>SUM(E68/100)</f>
        <v>198.36</v>
      </c>
      <c r="G68" s="16">
        <v>226.79</v>
      </c>
      <c r="H68" s="156">
        <f t="shared" si="6"/>
        <v>44.986064400000004</v>
      </c>
      <c r="I68" s="16">
        <f>F68*G68</f>
        <v>44986.064400000003</v>
      </c>
    </row>
    <row r="69" spans="1:21" ht="15.75" hidden="1" customHeight="1">
      <c r="A69" s="36"/>
      <c r="B69" s="18" t="s">
        <v>49</v>
      </c>
      <c r="C69" s="20" t="s">
        <v>125</v>
      </c>
      <c r="D69" s="18"/>
      <c r="E69" s="143">
        <v>19836</v>
      </c>
      <c r="F69" s="16">
        <f>SUM(E69/1000)</f>
        <v>19.835999999999999</v>
      </c>
      <c r="G69" s="16">
        <v>176.61</v>
      </c>
      <c r="H69" s="156">
        <f t="shared" si="6"/>
        <v>3.50323596</v>
      </c>
      <c r="I69" s="16">
        <f t="shared" ref="I69:I73" si="7">F69*G69</f>
        <v>3503.23596</v>
      </c>
    </row>
    <row r="70" spans="1:21" ht="15.75" hidden="1" customHeight="1">
      <c r="A70" s="36"/>
      <c r="B70" s="18" t="s">
        <v>50</v>
      </c>
      <c r="C70" s="20" t="s">
        <v>79</v>
      </c>
      <c r="D70" s="18" t="s">
        <v>54</v>
      </c>
      <c r="E70" s="143">
        <v>3155</v>
      </c>
      <c r="F70" s="16">
        <f>SUM(E70/100)</f>
        <v>31.55</v>
      </c>
      <c r="G70" s="16">
        <v>2217.7800000000002</v>
      </c>
      <c r="H70" s="156">
        <f t="shared" si="6"/>
        <v>69.970959000000008</v>
      </c>
      <c r="I70" s="16">
        <f t="shared" si="7"/>
        <v>69970.959000000003</v>
      </c>
    </row>
    <row r="71" spans="1:21" ht="15.75" hidden="1" customHeight="1">
      <c r="A71" s="36"/>
      <c r="B71" s="157" t="s">
        <v>126</v>
      </c>
      <c r="C71" s="20" t="s">
        <v>33</v>
      </c>
      <c r="D71" s="18"/>
      <c r="E71" s="143">
        <v>17.600000000000001</v>
      </c>
      <c r="F71" s="16">
        <f>SUM(E71)</f>
        <v>17.600000000000001</v>
      </c>
      <c r="G71" s="16">
        <v>42.67</v>
      </c>
      <c r="H71" s="156">
        <f t="shared" si="6"/>
        <v>0.7509920000000001</v>
      </c>
      <c r="I71" s="16">
        <f t="shared" si="7"/>
        <v>750.99200000000008</v>
      </c>
    </row>
    <row r="72" spans="1:21" ht="15.75" hidden="1" customHeight="1">
      <c r="A72" s="36"/>
      <c r="B72" s="157" t="s">
        <v>127</v>
      </c>
      <c r="C72" s="20" t="s">
        <v>33</v>
      </c>
      <c r="D72" s="18"/>
      <c r="E72" s="143">
        <v>17.600000000000001</v>
      </c>
      <c r="F72" s="16">
        <f>SUM(E72)</f>
        <v>17.600000000000001</v>
      </c>
      <c r="G72" s="16">
        <v>39.81</v>
      </c>
      <c r="H72" s="156">
        <f t="shared" si="6"/>
        <v>0.70065600000000006</v>
      </c>
      <c r="I72" s="16">
        <f t="shared" si="7"/>
        <v>700.65600000000006</v>
      </c>
    </row>
    <row r="73" spans="1:21" ht="15.75" hidden="1" customHeight="1">
      <c r="A73" s="36"/>
      <c r="B73" s="18" t="s">
        <v>58</v>
      </c>
      <c r="C73" s="20" t="s">
        <v>59</v>
      </c>
      <c r="D73" s="18" t="s">
        <v>54</v>
      </c>
      <c r="E73" s="23">
        <v>7</v>
      </c>
      <c r="F73" s="144">
        <v>7</v>
      </c>
      <c r="G73" s="16">
        <v>53.32</v>
      </c>
      <c r="H73" s="156">
        <f t="shared" si="6"/>
        <v>0.37324000000000002</v>
      </c>
      <c r="I73" s="16">
        <f t="shared" si="7"/>
        <v>373.24</v>
      </c>
    </row>
    <row r="74" spans="1:21" ht="15.75" hidden="1" customHeight="1">
      <c r="A74" s="36"/>
      <c r="B74" s="125" t="s">
        <v>74</v>
      </c>
      <c r="C74" s="20"/>
      <c r="D74" s="18"/>
      <c r="E74" s="23"/>
      <c r="F74" s="16"/>
      <c r="G74" s="16"/>
      <c r="H74" s="156" t="s">
        <v>153</v>
      </c>
      <c r="I74" s="16"/>
    </row>
    <row r="75" spans="1:21" ht="15.75" hidden="1" customHeight="1">
      <c r="A75" s="36"/>
      <c r="B75" s="18" t="s">
        <v>75</v>
      </c>
      <c r="C75" s="20" t="s">
        <v>77</v>
      </c>
      <c r="D75" s="18"/>
      <c r="E75" s="23">
        <v>2</v>
      </c>
      <c r="F75" s="16">
        <v>0.2</v>
      </c>
      <c r="G75" s="16">
        <v>536.23</v>
      </c>
      <c r="H75" s="156">
        <f t="shared" si="6"/>
        <v>0.10724600000000001</v>
      </c>
      <c r="I75" s="16">
        <v>0</v>
      </c>
    </row>
    <row r="76" spans="1:21" ht="15.75" hidden="1" customHeight="1">
      <c r="A76" s="36"/>
      <c r="B76" s="18" t="s">
        <v>76</v>
      </c>
      <c r="C76" s="20" t="s">
        <v>31</v>
      </c>
      <c r="D76" s="18"/>
      <c r="E76" s="23">
        <v>1</v>
      </c>
      <c r="F76" s="135">
        <v>1</v>
      </c>
      <c r="G76" s="16">
        <v>911.85</v>
      </c>
      <c r="H76" s="156">
        <f>F76*G76/1000</f>
        <v>0.91185000000000005</v>
      </c>
      <c r="I76" s="16">
        <v>0</v>
      </c>
    </row>
    <row r="77" spans="1:21" ht="15.75" hidden="1" customHeight="1">
      <c r="A77" s="36"/>
      <c r="B77" s="18" t="s">
        <v>129</v>
      </c>
      <c r="C77" s="20" t="s">
        <v>31</v>
      </c>
      <c r="D77" s="18"/>
      <c r="E77" s="23">
        <v>1</v>
      </c>
      <c r="F77" s="16">
        <v>1</v>
      </c>
      <c r="G77" s="16">
        <v>383.25</v>
      </c>
      <c r="H77" s="156">
        <f>G77*F77/1000</f>
        <v>0.38324999999999998</v>
      </c>
      <c r="I77" s="16">
        <v>0</v>
      </c>
    </row>
    <row r="78" spans="1:21" ht="15.75" hidden="1" customHeight="1">
      <c r="A78" s="36"/>
      <c r="B78" s="159" t="s">
        <v>78</v>
      </c>
      <c r="C78" s="20"/>
      <c r="D78" s="18"/>
      <c r="E78" s="23"/>
      <c r="F78" s="16"/>
      <c r="G78" s="16" t="s">
        <v>153</v>
      </c>
      <c r="H78" s="156" t="s">
        <v>153</v>
      </c>
      <c r="I78" s="16"/>
    </row>
    <row r="79" spans="1:21" ht="15.75" hidden="1" customHeight="1">
      <c r="A79" s="36"/>
      <c r="B79" s="67" t="s">
        <v>141</v>
      </c>
      <c r="C79" s="20" t="s">
        <v>79</v>
      </c>
      <c r="D79" s="18"/>
      <c r="E79" s="23"/>
      <c r="F79" s="16">
        <v>0.3</v>
      </c>
      <c r="G79" s="16">
        <v>2949.85</v>
      </c>
      <c r="H79" s="156">
        <f t="shared" si="6"/>
        <v>0.88495499999999994</v>
      </c>
      <c r="I79" s="16">
        <v>0</v>
      </c>
    </row>
    <row r="80" spans="1:21" ht="15.75" hidden="1" customHeight="1">
      <c r="A80" s="36"/>
      <c r="B80" s="125" t="s">
        <v>106</v>
      </c>
      <c r="C80" s="159"/>
      <c r="D80" s="38"/>
      <c r="E80" s="39"/>
      <c r="F80" s="147"/>
      <c r="G80" s="147"/>
      <c r="H80" s="160">
        <f>SUM(H58:H79)</f>
        <v>165.24371469600001</v>
      </c>
      <c r="I80" s="147"/>
    </row>
    <row r="81" spans="1:9" ht="15.75" hidden="1" customHeight="1">
      <c r="A81" s="36"/>
      <c r="B81" s="141" t="s">
        <v>128</v>
      </c>
      <c r="C81" s="20"/>
      <c r="D81" s="18"/>
      <c r="E81" s="136"/>
      <c r="F81" s="16">
        <v>1</v>
      </c>
      <c r="G81" s="16">
        <v>17869</v>
      </c>
      <c r="H81" s="156">
        <f>G81*F81/1000</f>
        <v>17.869</v>
      </c>
      <c r="I81" s="16">
        <v>0</v>
      </c>
    </row>
    <row r="82" spans="1:9" ht="15.75" customHeight="1">
      <c r="A82" s="177" t="s">
        <v>179</v>
      </c>
      <c r="B82" s="178"/>
      <c r="C82" s="178"/>
      <c r="D82" s="178"/>
      <c r="E82" s="178"/>
      <c r="F82" s="178"/>
      <c r="G82" s="178"/>
      <c r="H82" s="178"/>
      <c r="I82" s="179"/>
    </row>
    <row r="83" spans="1:9" ht="15.75" customHeight="1">
      <c r="A83" s="36">
        <v>19</v>
      </c>
      <c r="B83" s="141" t="s">
        <v>130</v>
      </c>
      <c r="C83" s="20" t="s">
        <v>55</v>
      </c>
      <c r="D83" s="84" t="s">
        <v>56</v>
      </c>
      <c r="E83" s="16">
        <v>4731.7</v>
      </c>
      <c r="F83" s="16">
        <f>SUM(E83*12)</f>
        <v>56780.399999999994</v>
      </c>
      <c r="G83" s="16">
        <v>2.54</v>
      </c>
      <c r="H83" s="156">
        <f>SUM(F83*G83/1000)</f>
        <v>144.22221599999997</v>
      </c>
      <c r="I83" s="16">
        <f>F83/12*G83</f>
        <v>12018.518</v>
      </c>
    </row>
    <row r="84" spans="1:9" ht="31.5" customHeight="1">
      <c r="A84" s="36">
        <v>20</v>
      </c>
      <c r="B84" s="18" t="s">
        <v>80</v>
      </c>
      <c r="C84" s="20"/>
      <c r="D84" s="84" t="s">
        <v>56</v>
      </c>
      <c r="E84" s="143">
        <f>E83</f>
        <v>4731.7</v>
      </c>
      <c r="F84" s="16">
        <f>E84*12</f>
        <v>56780.399999999994</v>
      </c>
      <c r="G84" s="16">
        <v>3.05</v>
      </c>
      <c r="H84" s="156">
        <f>F84*G84/1000</f>
        <v>173.18021999999996</v>
      </c>
      <c r="I84" s="16">
        <f>F84/12*G84</f>
        <v>14431.684999999999</v>
      </c>
    </row>
    <row r="85" spans="1:9" ht="15.75" customHeight="1">
      <c r="A85" s="36"/>
      <c r="B85" s="54" t="s">
        <v>84</v>
      </c>
      <c r="C85" s="159"/>
      <c r="D85" s="158"/>
      <c r="E85" s="147"/>
      <c r="F85" s="147"/>
      <c r="G85" s="147"/>
      <c r="H85" s="160">
        <f>H84</f>
        <v>173.18021999999996</v>
      </c>
      <c r="I85" s="147">
        <f>I16+I17+I18+I20+I27+I28+I39+I40+I42+I43+I44+I45+I52+I53+I55+I58+I59+I64+I83+I84</f>
        <v>97592.634512916658</v>
      </c>
    </row>
    <row r="86" spans="1:9" ht="15.75" customHeight="1">
      <c r="A86" s="36"/>
      <c r="B86" s="80" t="s">
        <v>61</v>
      </c>
      <c r="C86" s="20"/>
      <c r="D86" s="67"/>
      <c r="E86" s="16"/>
      <c r="F86" s="16"/>
      <c r="G86" s="16"/>
      <c r="H86" s="16"/>
      <c r="I86" s="16"/>
    </row>
    <row r="87" spans="1:9" ht="31.5" customHeight="1">
      <c r="A87" s="36">
        <v>21</v>
      </c>
      <c r="B87" s="140" t="s">
        <v>185</v>
      </c>
      <c r="C87" s="36" t="s">
        <v>186</v>
      </c>
      <c r="D87" s="18"/>
      <c r="E87" s="23"/>
      <c r="F87" s="16">
        <v>2</v>
      </c>
      <c r="G87" s="16">
        <v>1835.8</v>
      </c>
      <c r="H87" s="156">
        <f t="shared" ref="H87:H94" si="8">G87*F87/1000</f>
        <v>3.6715999999999998</v>
      </c>
      <c r="I87" s="16">
        <f>G87</f>
        <v>1835.8</v>
      </c>
    </row>
    <row r="88" spans="1:9" ht="31.5" customHeight="1">
      <c r="A88" s="36">
        <v>22</v>
      </c>
      <c r="B88" s="81" t="s">
        <v>198</v>
      </c>
      <c r="C88" s="107" t="s">
        <v>85</v>
      </c>
      <c r="D88" s="18"/>
      <c r="E88" s="23"/>
      <c r="F88" s="16">
        <v>2</v>
      </c>
      <c r="G88" s="16">
        <v>960.74</v>
      </c>
      <c r="H88" s="156">
        <f t="shared" si="8"/>
        <v>1.9214800000000001</v>
      </c>
      <c r="I88" s="16">
        <f>G88*2</f>
        <v>1921.48</v>
      </c>
    </row>
    <row r="89" spans="1:9" ht="15.75" customHeight="1">
      <c r="A89" s="36">
        <v>23</v>
      </c>
      <c r="B89" s="81" t="s">
        <v>199</v>
      </c>
      <c r="C89" s="107" t="s">
        <v>122</v>
      </c>
      <c r="D89" s="67"/>
      <c r="E89" s="16"/>
      <c r="F89" s="16">
        <v>1</v>
      </c>
      <c r="G89" s="16">
        <v>27.36</v>
      </c>
      <c r="H89" s="156">
        <f t="shared" si="8"/>
        <v>2.7359999999999999E-2</v>
      </c>
      <c r="I89" s="16">
        <f>G89</f>
        <v>27.36</v>
      </c>
    </row>
    <row r="90" spans="1:9" ht="15.75" customHeight="1">
      <c r="A90" s="36">
        <v>24</v>
      </c>
      <c r="B90" s="81" t="s">
        <v>200</v>
      </c>
      <c r="C90" s="107" t="s">
        <v>122</v>
      </c>
      <c r="D90" s="67"/>
      <c r="E90" s="16"/>
      <c r="F90" s="16">
        <v>1</v>
      </c>
      <c r="G90" s="16">
        <v>109.73</v>
      </c>
      <c r="H90" s="156">
        <f t="shared" si="8"/>
        <v>0.10973000000000001</v>
      </c>
      <c r="I90" s="16">
        <f t="shared" ref="I90:I91" si="9">G90</f>
        <v>109.73</v>
      </c>
    </row>
    <row r="91" spans="1:9" ht="15.75" customHeight="1">
      <c r="A91" s="36">
        <v>25</v>
      </c>
      <c r="B91" s="81" t="s">
        <v>201</v>
      </c>
      <c r="C91" s="108" t="s">
        <v>202</v>
      </c>
      <c r="D91" s="67"/>
      <c r="E91" s="16"/>
      <c r="F91" s="16">
        <v>1.5</v>
      </c>
      <c r="G91" s="16">
        <v>286.55</v>
      </c>
      <c r="H91" s="156">
        <f>G91*F91/1000</f>
        <v>0.42982500000000007</v>
      </c>
      <c r="I91" s="16">
        <f t="shared" si="9"/>
        <v>286.55</v>
      </c>
    </row>
    <row r="92" spans="1:9" ht="31.5" customHeight="1">
      <c r="A92" s="36">
        <v>26</v>
      </c>
      <c r="B92" s="81" t="s">
        <v>87</v>
      </c>
      <c r="C92" s="107" t="s">
        <v>37</v>
      </c>
      <c r="D92" s="18"/>
      <c r="E92" s="23"/>
      <c r="F92" s="16">
        <v>0.05</v>
      </c>
      <c r="G92" s="16">
        <v>3397.65</v>
      </c>
      <c r="H92" s="156">
        <f t="shared" si="8"/>
        <v>0.16988250000000002</v>
      </c>
      <c r="I92" s="16">
        <f>G92*0.01</f>
        <v>33.976500000000001</v>
      </c>
    </row>
    <row r="93" spans="1:9" ht="15.75" customHeight="1">
      <c r="A93" s="36">
        <v>27</v>
      </c>
      <c r="B93" s="81" t="s">
        <v>158</v>
      </c>
      <c r="C93" s="107" t="s">
        <v>122</v>
      </c>
      <c r="D93" s="18"/>
      <c r="E93" s="23"/>
      <c r="F93" s="16">
        <v>729</v>
      </c>
      <c r="G93" s="16">
        <v>50.68</v>
      </c>
      <c r="H93" s="156">
        <f t="shared" si="8"/>
        <v>36.945720000000001</v>
      </c>
      <c r="I93" s="16">
        <f>G93*81</f>
        <v>4105.08</v>
      </c>
    </row>
    <row r="94" spans="1:9" ht="15.75" customHeight="1">
      <c r="A94" s="36">
        <v>28</v>
      </c>
      <c r="B94" s="81" t="s">
        <v>203</v>
      </c>
      <c r="C94" s="107" t="s">
        <v>197</v>
      </c>
      <c r="D94" s="18"/>
      <c r="E94" s="23"/>
      <c r="F94" s="16">
        <v>1</v>
      </c>
      <c r="G94" s="16">
        <v>38699</v>
      </c>
      <c r="H94" s="156">
        <f t="shared" si="8"/>
        <v>38.698999999999998</v>
      </c>
      <c r="I94" s="16">
        <f>G94</f>
        <v>38699</v>
      </c>
    </row>
    <row r="95" spans="1:9">
      <c r="A95" s="36"/>
      <c r="B95" s="61" t="s">
        <v>51</v>
      </c>
      <c r="C95" s="57"/>
      <c r="D95" s="71"/>
      <c r="E95" s="57">
        <v>1</v>
      </c>
      <c r="F95" s="57"/>
      <c r="G95" s="57"/>
      <c r="H95" s="57"/>
      <c r="I95" s="39">
        <f>SUM(I87:I94)</f>
        <v>47018.976500000004</v>
      </c>
    </row>
    <row r="96" spans="1:9" ht="15.75" customHeight="1">
      <c r="A96" s="36"/>
      <c r="B96" s="67" t="s">
        <v>81</v>
      </c>
      <c r="C96" s="19"/>
      <c r="D96" s="19"/>
      <c r="E96" s="58"/>
      <c r="F96" s="58"/>
      <c r="G96" s="59"/>
      <c r="H96" s="59"/>
      <c r="I96" s="22">
        <v>0</v>
      </c>
    </row>
    <row r="97" spans="1:9" ht="15.75" customHeight="1">
      <c r="A97" s="72"/>
      <c r="B97" s="62" t="s">
        <v>52</v>
      </c>
      <c r="C97" s="45"/>
      <c r="D97" s="45"/>
      <c r="E97" s="45"/>
      <c r="F97" s="45"/>
      <c r="G97" s="45"/>
      <c r="H97" s="45"/>
      <c r="I97" s="60">
        <f>I85+I95</f>
        <v>144611.61101291666</v>
      </c>
    </row>
    <row r="98" spans="1:9" ht="15.75" customHeight="1">
      <c r="A98" s="169" t="s">
        <v>238</v>
      </c>
      <c r="B98" s="169"/>
      <c r="C98" s="169"/>
      <c r="D98" s="169"/>
      <c r="E98" s="169"/>
      <c r="F98" s="169"/>
      <c r="G98" s="169"/>
      <c r="H98" s="169"/>
      <c r="I98" s="169"/>
    </row>
    <row r="99" spans="1:9" ht="15.75" customHeight="1">
      <c r="A99" s="121"/>
      <c r="B99" s="170" t="s">
        <v>239</v>
      </c>
      <c r="C99" s="170"/>
      <c r="D99" s="170"/>
      <c r="E99" s="170"/>
      <c r="F99" s="170"/>
      <c r="G99" s="170"/>
      <c r="H99" s="139"/>
      <c r="I99" s="3"/>
    </row>
    <row r="100" spans="1:9" ht="15.75" customHeight="1">
      <c r="A100" s="130"/>
      <c r="B100" s="165" t="s">
        <v>6</v>
      </c>
      <c r="C100" s="165"/>
      <c r="D100" s="165"/>
      <c r="E100" s="165"/>
      <c r="F100" s="165"/>
      <c r="G100" s="165"/>
      <c r="H100" s="31"/>
      <c r="I100" s="5"/>
    </row>
    <row r="101" spans="1:9" ht="15.75" customHeight="1">
      <c r="A101" s="10"/>
      <c r="B101" s="10"/>
      <c r="C101" s="10"/>
      <c r="D101" s="10"/>
      <c r="E101" s="10"/>
      <c r="F101" s="10"/>
      <c r="G101" s="10"/>
      <c r="H101" s="10"/>
      <c r="I101" s="10"/>
    </row>
    <row r="102" spans="1:9" ht="15.75" customHeight="1">
      <c r="A102" s="171" t="s">
        <v>7</v>
      </c>
      <c r="B102" s="171"/>
      <c r="C102" s="171"/>
      <c r="D102" s="171"/>
      <c r="E102" s="171"/>
      <c r="F102" s="171"/>
      <c r="G102" s="171"/>
      <c r="H102" s="171"/>
      <c r="I102" s="171"/>
    </row>
    <row r="103" spans="1:9" ht="15.75" customHeight="1">
      <c r="A103" s="171" t="s">
        <v>8</v>
      </c>
      <c r="B103" s="171"/>
      <c r="C103" s="171"/>
      <c r="D103" s="171"/>
      <c r="E103" s="171"/>
      <c r="F103" s="171"/>
      <c r="G103" s="171"/>
      <c r="H103" s="171"/>
      <c r="I103" s="171"/>
    </row>
    <row r="104" spans="1:9" ht="15.75" customHeight="1">
      <c r="A104" s="172" t="s">
        <v>62</v>
      </c>
      <c r="B104" s="172"/>
      <c r="C104" s="172"/>
      <c r="D104" s="172"/>
      <c r="E104" s="172"/>
      <c r="F104" s="172"/>
      <c r="G104" s="172"/>
      <c r="H104" s="172"/>
      <c r="I104" s="172"/>
    </row>
    <row r="105" spans="1:9" ht="23.25" customHeight="1">
      <c r="A105" s="11"/>
    </row>
    <row r="106" spans="1:9" ht="15.75">
      <c r="A106" s="163" t="s">
        <v>9</v>
      </c>
      <c r="B106" s="163"/>
      <c r="C106" s="163"/>
      <c r="D106" s="163"/>
      <c r="E106" s="163"/>
      <c r="F106" s="163"/>
      <c r="G106" s="163"/>
      <c r="H106" s="163"/>
      <c r="I106" s="163"/>
    </row>
    <row r="107" spans="1:9" ht="15.75">
      <c r="A107" s="4"/>
    </row>
    <row r="108" spans="1:9" ht="15.75" customHeight="1">
      <c r="B108" s="127" t="s">
        <v>10</v>
      </c>
      <c r="C108" s="164" t="s">
        <v>180</v>
      </c>
      <c r="D108" s="164"/>
      <c r="E108" s="164"/>
      <c r="F108" s="137"/>
      <c r="I108" s="129"/>
    </row>
    <row r="109" spans="1:9" ht="15.75" customHeight="1">
      <c r="A109" s="130"/>
      <c r="C109" s="165" t="s">
        <v>11</v>
      </c>
      <c r="D109" s="165"/>
      <c r="E109" s="165"/>
      <c r="F109" s="31"/>
      <c r="I109" s="128" t="s">
        <v>12</v>
      </c>
    </row>
    <row r="110" spans="1:9" ht="15.75" customHeight="1">
      <c r="A110" s="32"/>
      <c r="C110" s="12"/>
      <c r="D110" s="12"/>
      <c r="G110" s="12"/>
      <c r="H110" s="12"/>
    </row>
    <row r="111" spans="1:9" ht="15.75" customHeight="1">
      <c r="B111" s="127" t="s">
        <v>13</v>
      </c>
      <c r="C111" s="166"/>
      <c r="D111" s="166"/>
      <c r="E111" s="166"/>
      <c r="F111" s="138"/>
      <c r="I111" s="129"/>
    </row>
    <row r="112" spans="1:9" ht="15.75" customHeight="1">
      <c r="A112" s="130"/>
      <c r="C112" s="167" t="s">
        <v>11</v>
      </c>
      <c r="D112" s="167"/>
      <c r="E112" s="167"/>
      <c r="F112" s="130"/>
      <c r="I112" s="128" t="s">
        <v>12</v>
      </c>
    </row>
    <row r="113" spans="1:9" ht="15.75">
      <c r="A113" s="4" t="s">
        <v>14</v>
      </c>
    </row>
    <row r="114" spans="1:9">
      <c r="A114" s="168" t="s">
        <v>15</v>
      </c>
      <c r="B114" s="168"/>
      <c r="C114" s="168"/>
      <c r="D114" s="168"/>
      <c r="E114" s="168"/>
      <c r="F114" s="168"/>
      <c r="G114" s="168"/>
      <c r="H114" s="168"/>
      <c r="I114" s="168"/>
    </row>
    <row r="115" spans="1:9" ht="45" customHeight="1">
      <c r="A115" s="162" t="s">
        <v>16</v>
      </c>
      <c r="B115" s="162"/>
      <c r="C115" s="162"/>
      <c r="D115" s="162"/>
      <c r="E115" s="162"/>
      <c r="F115" s="162"/>
      <c r="G115" s="162"/>
      <c r="H115" s="162"/>
      <c r="I115" s="162"/>
    </row>
    <row r="116" spans="1:9" ht="30" customHeight="1">
      <c r="A116" s="162" t="s">
        <v>17</v>
      </c>
      <c r="B116" s="162"/>
      <c r="C116" s="162"/>
      <c r="D116" s="162"/>
      <c r="E116" s="162"/>
      <c r="F116" s="162"/>
      <c r="G116" s="162"/>
      <c r="H116" s="162"/>
      <c r="I116" s="162"/>
    </row>
    <row r="117" spans="1:9" ht="30" customHeight="1">
      <c r="A117" s="162" t="s">
        <v>21</v>
      </c>
      <c r="B117" s="162"/>
      <c r="C117" s="162"/>
      <c r="D117" s="162"/>
      <c r="E117" s="162"/>
      <c r="F117" s="162"/>
      <c r="G117" s="162"/>
      <c r="H117" s="162"/>
      <c r="I117" s="162"/>
    </row>
    <row r="118" spans="1:9" ht="15" customHeight="1">
      <c r="A118" s="162" t="s">
        <v>20</v>
      </c>
      <c r="B118" s="162"/>
      <c r="C118" s="162"/>
      <c r="D118" s="162"/>
      <c r="E118" s="162"/>
      <c r="F118" s="162"/>
      <c r="G118" s="162"/>
      <c r="H118" s="162"/>
      <c r="I118" s="162"/>
    </row>
  </sheetData>
  <autoFilter ref="I12:I61"/>
  <mergeCells count="28">
    <mergeCell ref="A115:I115"/>
    <mergeCell ref="A116:I116"/>
    <mergeCell ref="A117:I117"/>
    <mergeCell ref="A118:I118"/>
    <mergeCell ref="A106:I106"/>
    <mergeCell ref="C108:E108"/>
    <mergeCell ref="C109:E109"/>
    <mergeCell ref="C111:E111"/>
    <mergeCell ref="C112:E112"/>
    <mergeCell ref="A114:I114"/>
    <mergeCell ref="A98:I98"/>
    <mergeCell ref="B99:G99"/>
    <mergeCell ref="B100:G100"/>
    <mergeCell ref="A102:I102"/>
    <mergeCell ref="A103:I103"/>
    <mergeCell ref="A104:I104"/>
    <mergeCell ref="A15:I15"/>
    <mergeCell ref="A29:I29"/>
    <mergeCell ref="A46:I46"/>
    <mergeCell ref="A56:I56"/>
    <mergeCell ref="R66:U66"/>
    <mergeCell ref="A82:I82"/>
    <mergeCell ref="A3:I3"/>
    <mergeCell ref="A4:I4"/>
    <mergeCell ref="A5:I5"/>
    <mergeCell ref="A8:I8"/>
    <mergeCell ref="A10:I10"/>
    <mergeCell ref="A14:I14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V107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4" t="s">
        <v>94</v>
      </c>
      <c r="I1" s="33"/>
      <c r="J1" s="1"/>
      <c r="K1" s="1"/>
      <c r="L1" s="1"/>
      <c r="M1" s="1"/>
    </row>
    <row r="2" spans="1:13" ht="15.75">
      <c r="A2" s="35" t="s">
        <v>64</v>
      </c>
      <c r="J2" s="2"/>
      <c r="K2" s="2"/>
      <c r="L2" s="2"/>
      <c r="M2" s="2"/>
    </row>
    <row r="3" spans="1:13" ht="15.75" customHeight="1">
      <c r="A3" s="180" t="s">
        <v>240</v>
      </c>
      <c r="B3" s="180"/>
      <c r="C3" s="180"/>
      <c r="D3" s="180"/>
      <c r="E3" s="180"/>
      <c r="F3" s="180"/>
      <c r="G3" s="180"/>
      <c r="H3" s="180"/>
      <c r="I3" s="180"/>
      <c r="J3" s="3"/>
      <c r="K3" s="3"/>
      <c r="L3" s="3"/>
    </row>
    <row r="4" spans="1:13" ht="31.5" customHeight="1">
      <c r="A4" s="181" t="s">
        <v>162</v>
      </c>
      <c r="B4" s="181"/>
      <c r="C4" s="181"/>
      <c r="D4" s="181"/>
      <c r="E4" s="181"/>
      <c r="F4" s="181"/>
      <c r="G4" s="181"/>
      <c r="H4" s="181"/>
      <c r="I4" s="181"/>
    </row>
    <row r="5" spans="1:13" ht="15.75">
      <c r="A5" s="180" t="s">
        <v>241</v>
      </c>
      <c r="B5" s="182"/>
      <c r="C5" s="182"/>
      <c r="D5" s="182"/>
      <c r="E5" s="182"/>
      <c r="F5" s="182"/>
      <c r="G5" s="182"/>
      <c r="H5" s="182"/>
      <c r="I5" s="182"/>
      <c r="J5" s="2"/>
      <c r="K5" s="2"/>
      <c r="L5" s="2"/>
      <c r="M5" s="2"/>
    </row>
    <row r="6" spans="1:13" ht="15.75">
      <c r="A6" s="2"/>
      <c r="B6" s="126"/>
      <c r="C6" s="126"/>
      <c r="D6" s="126"/>
      <c r="E6" s="126"/>
      <c r="F6" s="126"/>
      <c r="G6" s="126"/>
      <c r="H6" s="126"/>
      <c r="I6" s="37">
        <v>42521</v>
      </c>
      <c r="J6" s="2"/>
      <c r="K6" s="2"/>
      <c r="L6" s="2"/>
      <c r="M6" s="2"/>
    </row>
    <row r="7" spans="1:13" ht="15.75">
      <c r="B7" s="127"/>
      <c r="C7" s="127"/>
      <c r="D7" s="127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83" t="s">
        <v>175</v>
      </c>
      <c r="B8" s="183"/>
      <c r="C8" s="183"/>
      <c r="D8" s="183"/>
      <c r="E8" s="183"/>
      <c r="F8" s="183"/>
      <c r="G8" s="183"/>
      <c r="H8" s="183"/>
      <c r="I8" s="183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84" t="s">
        <v>176</v>
      </c>
      <c r="B10" s="184"/>
      <c r="C10" s="184"/>
      <c r="D10" s="184"/>
      <c r="E10" s="184"/>
      <c r="F10" s="184"/>
      <c r="G10" s="184"/>
      <c r="H10" s="184"/>
      <c r="I10" s="184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85" t="s">
        <v>60</v>
      </c>
      <c r="B14" s="185"/>
      <c r="C14" s="185"/>
      <c r="D14" s="185"/>
      <c r="E14" s="185"/>
      <c r="F14" s="185"/>
      <c r="G14" s="185"/>
      <c r="H14" s="185"/>
      <c r="I14" s="185"/>
      <c r="J14" s="8"/>
      <c r="K14" s="8"/>
      <c r="L14" s="8"/>
      <c r="M14" s="8"/>
    </row>
    <row r="15" spans="1:13" ht="15" customHeight="1">
      <c r="A15" s="173" t="s">
        <v>4</v>
      </c>
      <c r="B15" s="173"/>
      <c r="C15" s="173"/>
      <c r="D15" s="173"/>
      <c r="E15" s="173"/>
      <c r="F15" s="173"/>
      <c r="G15" s="173"/>
      <c r="H15" s="173"/>
      <c r="I15" s="173"/>
      <c r="J15" s="8"/>
      <c r="K15" s="8"/>
      <c r="L15" s="8"/>
      <c r="M15" s="8"/>
    </row>
    <row r="16" spans="1:13" ht="31.5" customHeight="1">
      <c r="A16" s="36">
        <v>1</v>
      </c>
      <c r="B16" s="141" t="s">
        <v>97</v>
      </c>
      <c r="C16" s="142" t="s">
        <v>98</v>
      </c>
      <c r="D16" s="141" t="s">
        <v>99</v>
      </c>
      <c r="E16" s="143">
        <v>143.78</v>
      </c>
      <c r="F16" s="144">
        <f>SUM(E16*156/100)</f>
        <v>224.29679999999999</v>
      </c>
      <c r="G16" s="144">
        <v>187.48</v>
      </c>
      <c r="H16" s="145">
        <f t="shared" ref="H16:H25" si="0">SUM(F16*G16/1000)</f>
        <v>42.051164063999998</v>
      </c>
      <c r="I16" s="16">
        <f>F16/12*G16</f>
        <v>3504.2636719999996</v>
      </c>
      <c r="J16" s="28"/>
      <c r="K16" s="8"/>
      <c r="L16" s="8"/>
      <c r="M16" s="8"/>
    </row>
    <row r="17" spans="1:13" ht="31.5" customHeight="1">
      <c r="A17" s="36">
        <v>2</v>
      </c>
      <c r="B17" s="141" t="s">
        <v>133</v>
      </c>
      <c r="C17" s="142" t="s">
        <v>98</v>
      </c>
      <c r="D17" s="141" t="s">
        <v>100</v>
      </c>
      <c r="E17" s="143">
        <v>575.125</v>
      </c>
      <c r="F17" s="144">
        <f>SUM(E17*104/100)</f>
        <v>598.13</v>
      </c>
      <c r="G17" s="144">
        <v>187.48</v>
      </c>
      <c r="H17" s="145">
        <f t="shared" si="0"/>
        <v>112.13741239999999</v>
      </c>
      <c r="I17" s="16">
        <f>F17/12*G17</f>
        <v>9344.7843666666668</v>
      </c>
      <c r="J17" s="29"/>
      <c r="K17" s="8"/>
      <c r="L17" s="8"/>
      <c r="M17" s="8"/>
    </row>
    <row r="18" spans="1:13" ht="31.5" customHeight="1">
      <c r="A18" s="36">
        <v>3</v>
      </c>
      <c r="B18" s="141" t="s">
        <v>134</v>
      </c>
      <c r="C18" s="142" t="s">
        <v>98</v>
      </c>
      <c r="D18" s="141" t="s">
        <v>142</v>
      </c>
      <c r="E18" s="143">
        <v>718.9</v>
      </c>
      <c r="F18" s="144">
        <f>SUM(E18*24/100)</f>
        <v>172.53599999999997</v>
      </c>
      <c r="G18" s="144">
        <v>539.51</v>
      </c>
      <c r="H18" s="145">
        <f t="shared" si="0"/>
        <v>93.084897359999985</v>
      </c>
      <c r="I18" s="16">
        <f>F18/12*G18</f>
        <v>7757.074779999999</v>
      </c>
      <c r="J18" s="29"/>
      <c r="K18" s="8"/>
      <c r="L18" s="8"/>
      <c r="M18" s="8"/>
    </row>
    <row r="19" spans="1:13" ht="15.75" customHeight="1">
      <c r="A19" s="36">
        <v>4</v>
      </c>
      <c r="B19" s="141" t="s">
        <v>107</v>
      </c>
      <c r="C19" s="142" t="s">
        <v>108</v>
      </c>
      <c r="D19" s="141" t="s">
        <v>109</v>
      </c>
      <c r="E19" s="143">
        <v>42.2</v>
      </c>
      <c r="F19" s="144">
        <f>SUM(E19/10)</f>
        <v>4.2200000000000006</v>
      </c>
      <c r="G19" s="144">
        <v>181.91</v>
      </c>
      <c r="H19" s="145">
        <f t="shared" si="0"/>
        <v>0.76766020000000013</v>
      </c>
      <c r="I19" s="16">
        <f>F19/2*G19</f>
        <v>383.83010000000007</v>
      </c>
      <c r="J19" s="29"/>
      <c r="K19" s="8"/>
      <c r="L19" s="8"/>
      <c r="M19" s="8"/>
    </row>
    <row r="20" spans="1:13" ht="15.75" customHeight="1">
      <c r="A20" s="36">
        <v>5</v>
      </c>
      <c r="B20" s="141" t="s">
        <v>110</v>
      </c>
      <c r="C20" s="142" t="s">
        <v>98</v>
      </c>
      <c r="D20" s="141" t="s">
        <v>135</v>
      </c>
      <c r="E20" s="143">
        <v>14</v>
      </c>
      <c r="F20" s="144">
        <f>SUM(E20*12/100)</f>
        <v>1.68</v>
      </c>
      <c r="G20" s="144">
        <v>232.92</v>
      </c>
      <c r="H20" s="145">
        <f t="shared" si="0"/>
        <v>0.39130559999999998</v>
      </c>
      <c r="I20" s="16">
        <f>F20/12*G20</f>
        <v>32.608799999999995</v>
      </c>
      <c r="J20" s="29"/>
      <c r="K20" s="8"/>
      <c r="L20" s="8"/>
      <c r="M20" s="8"/>
    </row>
    <row r="21" spans="1:13" ht="15.75" customHeight="1">
      <c r="A21" s="36">
        <v>6</v>
      </c>
      <c r="B21" s="141" t="s">
        <v>111</v>
      </c>
      <c r="C21" s="142" t="s">
        <v>98</v>
      </c>
      <c r="D21" s="141" t="s">
        <v>184</v>
      </c>
      <c r="E21" s="143">
        <v>4.8</v>
      </c>
      <c r="F21" s="144">
        <f>SUM(E21*6/100)</f>
        <v>0.28799999999999998</v>
      </c>
      <c r="G21" s="144">
        <v>231.03</v>
      </c>
      <c r="H21" s="145">
        <f>SUM(F21*G21/1000)</f>
        <v>6.6536639999999994E-2</v>
      </c>
      <c r="I21" s="16">
        <f>F21/6*G21</f>
        <v>11.089439999999998</v>
      </c>
      <c r="J21" s="29"/>
      <c r="K21" s="8"/>
      <c r="L21" s="8"/>
      <c r="M21" s="8"/>
    </row>
    <row r="22" spans="1:13" ht="15.75" customHeight="1">
      <c r="A22" s="36">
        <v>7</v>
      </c>
      <c r="B22" s="141" t="s">
        <v>112</v>
      </c>
      <c r="C22" s="142" t="s">
        <v>53</v>
      </c>
      <c r="D22" s="141" t="s">
        <v>109</v>
      </c>
      <c r="E22" s="143">
        <v>640</v>
      </c>
      <c r="F22" s="144">
        <f>SUM(E22/100)</f>
        <v>6.4</v>
      </c>
      <c r="G22" s="144">
        <v>287.83999999999997</v>
      </c>
      <c r="H22" s="145">
        <f t="shared" si="0"/>
        <v>1.842176</v>
      </c>
      <c r="I22" s="16">
        <f>F22*G22</f>
        <v>1842.1759999999999</v>
      </c>
      <c r="J22" s="29"/>
      <c r="K22" s="8"/>
      <c r="L22" s="8"/>
      <c r="M22" s="8"/>
    </row>
    <row r="23" spans="1:13" ht="15.75" customHeight="1">
      <c r="A23" s="36">
        <v>8</v>
      </c>
      <c r="B23" s="141" t="s">
        <v>113</v>
      </c>
      <c r="C23" s="142" t="s">
        <v>53</v>
      </c>
      <c r="D23" s="141" t="s">
        <v>109</v>
      </c>
      <c r="E23" s="146">
        <v>48.3</v>
      </c>
      <c r="F23" s="144">
        <f>SUM(E23/100)</f>
        <v>0.48299999999999998</v>
      </c>
      <c r="G23" s="144">
        <v>47.34</v>
      </c>
      <c r="H23" s="145">
        <f t="shared" si="0"/>
        <v>2.2865220000000002E-2</v>
      </c>
      <c r="I23" s="16">
        <f t="shared" ref="I23:I26" si="1">F23*G23</f>
        <v>22.865220000000001</v>
      </c>
      <c r="J23" s="29"/>
      <c r="K23" s="8"/>
      <c r="L23" s="8"/>
      <c r="M23" s="8"/>
    </row>
    <row r="24" spans="1:13" ht="15.75" customHeight="1">
      <c r="A24" s="36">
        <v>9</v>
      </c>
      <c r="B24" s="141" t="s">
        <v>114</v>
      </c>
      <c r="C24" s="142" t="s">
        <v>53</v>
      </c>
      <c r="D24" s="141" t="s">
        <v>54</v>
      </c>
      <c r="E24" s="143">
        <v>20</v>
      </c>
      <c r="F24" s="144">
        <f>E24/100</f>
        <v>0.2</v>
      </c>
      <c r="G24" s="144">
        <v>416.62</v>
      </c>
      <c r="H24" s="145">
        <f t="shared" si="0"/>
        <v>8.3324000000000009E-2</v>
      </c>
      <c r="I24" s="16">
        <f t="shared" si="1"/>
        <v>83.324000000000012</v>
      </c>
      <c r="J24" s="29"/>
      <c r="K24" s="8"/>
      <c r="L24" s="8"/>
      <c r="M24" s="8"/>
    </row>
    <row r="25" spans="1:13" ht="15.75" customHeight="1">
      <c r="A25" s="36">
        <v>10</v>
      </c>
      <c r="B25" s="141" t="s">
        <v>115</v>
      </c>
      <c r="C25" s="142" t="s">
        <v>53</v>
      </c>
      <c r="D25" s="141" t="s">
        <v>54</v>
      </c>
      <c r="E25" s="143">
        <v>8.5</v>
      </c>
      <c r="F25" s="144">
        <f>SUM(E25/100)</f>
        <v>8.5000000000000006E-2</v>
      </c>
      <c r="G25" s="144">
        <v>556.74</v>
      </c>
      <c r="H25" s="145">
        <f t="shared" si="0"/>
        <v>4.7322900000000001E-2</v>
      </c>
      <c r="I25" s="16">
        <f t="shared" si="1"/>
        <v>47.322900000000004</v>
      </c>
      <c r="J25" s="29"/>
      <c r="K25" s="8"/>
      <c r="L25" s="8"/>
      <c r="M25" s="8"/>
    </row>
    <row r="26" spans="1:13" ht="15.75" customHeight="1">
      <c r="A26" s="36">
        <v>11</v>
      </c>
      <c r="B26" s="141" t="s">
        <v>140</v>
      </c>
      <c r="C26" s="142" t="s">
        <v>53</v>
      </c>
      <c r="D26" s="141" t="s">
        <v>54</v>
      </c>
      <c r="E26" s="143">
        <v>19</v>
      </c>
      <c r="F26" s="144">
        <f>E26/100</f>
        <v>0.19</v>
      </c>
      <c r="G26" s="144">
        <v>231.03</v>
      </c>
      <c r="H26" s="145">
        <f>G26*F26/1000</f>
        <v>4.3895699999999996E-2</v>
      </c>
      <c r="I26" s="16">
        <f t="shared" si="1"/>
        <v>43.895699999999998</v>
      </c>
      <c r="J26" s="29"/>
      <c r="K26" s="8"/>
      <c r="L26" s="8"/>
      <c r="M26" s="8"/>
    </row>
    <row r="27" spans="1:13" ht="15.75" customHeight="1">
      <c r="A27" s="36">
        <v>12</v>
      </c>
      <c r="B27" s="141" t="s">
        <v>66</v>
      </c>
      <c r="C27" s="142" t="s">
        <v>33</v>
      </c>
      <c r="D27" s="141" t="s">
        <v>136</v>
      </c>
      <c r="E27" s="143">
        <v>0.1</v>
      </c>
      <c r="F27" s="144">
        <f>SUM(E27*365)</f>
        <v>36.5</v>
      </c>
      <c r="G27" s="144">
        <v>157.18</v>
      </c>
      <c r="H27" s="145">
        <f>SUM(F27*G27/1000)</f>
        <v>5.737070000000001</v>
      </c>
      <c r="I27" s="16">
        <f>F27/12*G27</f>
        <v>478.08916666666664</v>
      </c>
      <c r="J27" s="30"/>
    </row>
    <row r="28" spans="1:13" ht="15.75" customHeight="1">
      <c r="A28" s="36">
        <v>13</v>
      </c>
      <c r="B28" s="149" t="s">
        <v>23</v>
      </c>
      <c r="C28" s="142" t="s">
        <v>24</v>
      </c>
      <c r="D28" s="149" t="s">
        <v>153</v>
      </c>
      <c r="E28" s="143">
        <v>4731.7</v>
      </c>
      <c r="F28" s="144">
        <f>SUM(E28*12)</f>
        <v>56780.399999999994</v>
      </c>
      <c r="G28" s="144">
        <v>4.72</v>
      </c>
      <c r="H28" s="145">
        <f>SUM(F28*G28/1000)</f>
        <v>268.00348799999995</v>
      </c>
      <c r="I28" s="16">
        <f>F28/12*G28</f>
        <v>22333.623999999996</v>
      </c>
      <c r="J28" s="30"/>
    </row>
    <row r="29" spans="1:13" ht="15" customHeight="1">
      <c r="A29" s="173" t="s">
        <v>93</v>
      </c>
      <c r="B29" s="173"/>
      <c r="C29" s="173"/>
      <c r="D29" s="173"/>
      <c r="E29" s="173"/>
      <c r="F29" s="173"/>
      <c r="G29" s="173"/>
      <c r="H29" s="173"/>
      <c r="I29" s="173"/>
      <c r="J29" s="29"/>
      <c r="K29" s="8"/>
      <c r="L29" s="8"/>
      <c r="M29" s="8"/>
    </row>
    <row r="30" spans="1:13" ht="15.75" customHeight="1">
      <c r="A30" s="36"/>
      <c r="B30" s="189" t="s">
        <v>28</v>
      </c>
      <c r="C30" s="142"/>
      <c r="D30" s="141"/>
      <c r="E30" s="143"/>
      <c r="F30" s="144"/>
      <c r="G30" s="144"/>
      <c r="H30" s="145"/>
      <c r="I30" s="16"/>
      <c r="J30" s="29"/>
      <c r="K30" s="8"/>
      <c r="L30" s="8"/>
      <c r="M30" s="8"/>
    </row>
    <row r="31" spans="1:13" ht="31.5" customHeight="1">
      <c r="A31" s="36">
        <v>14</v>
      </c>
      <c r="B31" s="141" t="s">
        <v>119</v>
      </c>
      <c r="C31" s="142" t="s">
        <v>102</v>
      </c>
      <c r="D31" s="141" t="s">
        <v>116</v>
      </c>
      <c r="E31" s="144">
        <v>512.5</v>
      </c>
      <c r="F31" s="144">
        <f>SUM(E31*52/1000)</f>
        <v>26.65</v>
      </c>
      <c r="G31" s="144">
        <v>166.65</v>
      </c>
      <c r="H31" s="145">
        <f t="shared" ref="H31:H33" si="2">SUM(F31*G31/1000)</f>
        <v>4.4412225000000003</v>
      </c>
      <c r="I31" s="16">
        <f>F31/6*G31</f>
        <v>740.20375000000001</v>
      </c>
      <c r="J31" s="29"/>
      <c r="K31" s="8"/>
      <c r="L31" s="8"/>
      <c r="M31" s="8"/>
    </row>
    <row r="32" spans="1:13" ht="31.5" customHeight="1">
      <c r="A32" s="36">
        <v>15</v>
      </c>
      <c r="B32" s="141" t="s">
        <v>137</v>
      </c>
      <c r="C32" s="142" t="s">
        <v>102</v>
      </c>
      <c r="D32" s="141" t="s">
        <v>117</v>
      </c>
      <c r="E32" s="144">
        <v>316.27</v>
      </c>
      <c r="F32" s="144">
        <f>SUM(E32*78/1000)</f>
        <v>24.669059999999998</v>
      </c>
      <c r="G32" s="144">
        <v>276.48</v>
      </c>
      <c r="H32" s="145">
        <f t="shared" si="2"/>
        <v>6.8205017087999993</v>
      </c>
      <c r="I32" s="16">
        <f t="shared" ref="I32:I35" si="3">F32/6*G32</f>
        <v>1136.7502848000001</v>
      </c>
      <c r="J32" s="29"/>
      <c r="K32" s="8"/>
      <c r="L32" s="8"/>
      <c r="M32" s="8"/>
    </row>
    <row r="33" spans="1:14" ht="15.75" customHeight="1">
      <c r="A33" s="36">
        <v>16</v>
      </c>
      <c r="B33" s="141" t="s">
        <v>27</v>
      </c>
      <c r="C33" s="142" t="s">
        <v>102</v>
      </c>
      <c r="D33" s="141" t="s">
        <v>54</v>
      </c>
      <c r="E33" s="144">
        <v>512.5</v>
      </c>
      <c r="F33" s="144">
        <f>SUM(E33/1000)</f>
        <v>0.51249999999999996</v>
      </c>
      <c r="G33" s="144">
        <v>3228.73</v>
      </c>
      <c r="H33" s="145">
        <f t="shared" si="2"/>
        <v>1.654724125</v>
      </c>
      <c r="I33" s="16">
        <f>F33*G33</f>
        <v>1654.724125</v>
      </c>
      <c r="J33" s="29"/>
      <c r="K33" s="8"/>
      <c r="L33" s="8"/>
      <c r="M33" s="8"/>
    </row>
    <row r="34" spans="1:14" ht="15.75" customHeight="1">
      <c r="A34" s="36">
        <v>17</v>
      </c>
      <c r="B34" s="141" t="s">
        <v>154</v>
      </c>
      <c r="C34" s="142" t="s">
        <v>39</v>
      </c>
      <c r="D34" s="141" t="s">
        <v>65</v>
      </c>
      <c r="E34" s="144">
        <v>4</v>
      </c>
      <c r="F34" s="144">
        <f>E34*155/100</f>
        <v>6.2</v>
      </c>
      <c r="G34" s="144">
        <v>1391.86</v>
      </c>
      <c r="H34" s="145">
        <f>G34*F34/1000</f>
        <v>8.6295319999999993</v>
      </c>
      <c r="I34" s="16">
        <f t="shared" si="3"/>
        <v>1438.2553333333333</v>
      </c>
      <c r="J34" s="29"/>
      <c r="K34" s="8"/>
    </row>
    <row r="35" spans="1:14" ht="15.75" customHeight="1">
      <c r="A35" s="36">
        <v>18</v>
      </c>
      <c r="B35" s="141" t="s">
        <v>118</v>
      </c>
      <c r="C35" s="142" t="s">
        <v>31</v>
      </c>
      <c r="D35" s="141" t="s">
        <v>65</v>
      </c>
      <c r="E35" s="148">
        <v>0.33333333333333331</v>
      </c>
      <c r="F35" s="144">
        <f>155/3</f>
        <v>51.666666666666664</v>
      </c>
      <c r="G35" s="144">
        <v>60.6</v>
      </c>
      <c r="H35" s="145">
        <f>SUM(G35*155/3/1000)</f>
        <v>3.1309999999999998</v>
      </c>
      <c r="I35" s="16">
        <f t="shared" si="3"/>
        <v>521.83333333333337</v>
      </c>
      <c r="J35" s="30"/>
    </row>
    <row r="36" spans="1:14" ht="15" customHeight="1">
      <c r="A36" s="174" t="s">
        <v>177</v>
      </c>
      <c r="B36" s="175"/>
      <c r="C36" s="175"/>
      <c r="D36" s="175"/>
      <c r="E36" s="175"/>
      <c r="F36" s="175"/>
      <c r="G36" s="175"/>
      <c r="H36" s="175"/>
      <c r="I36" s="176"/>
      <c r="J36" s="30"/>
      <c r="L36" s="25"/>
      <c r="M36" s="26"/>
      <c r="N36" s="27"/>
    </row>
    <row r="37" spans="1:14" ht="15.75" customHeight="1">
      <c r="A37" s="36">
        <v>19</v>
      </c>
      <c r="B37" s="141" t="s">
        <v>148</v>
      </c>
      <c r="C37" s="142" t="s">
        <v>102</v>
      </c>
      <c r="D37" s="141" t="s">
        <v>41</v>
      </c>
      <c r="E37" s="143">
        <v>1320.9</v>
      </c>
      <c r="F37" s="144">
        <f>SUM(E37*2/1000)</f>
        <v>2.6418000000000004</v>
      </c>
      <c r="G37" s="16">
        <v>908.11</v>
      </c>
      <c r="H37" s="145">
        <f t="shared" ref="H37:H45" si="4">SUM(F37*G37/1000)</f>
        <v>2.3990449980000004</v>
      </c>
      <c r="I37" s="16">
        <f>F37/2*G37</f>
        <v>1199.5224990000002</v>
      </c>
      <c r="J37" s="30"/>
      <c r="L37" s="25"/>
      <c r="M37" s="26"/>
      <c r="N37" s="27"/>
    </row>
    <row r="38" spans="1:14" ht="15.75" customHeight="1">
      <c r="A38" s="36">
        <v>20</v>
      </c>
      <c r="B38" s="141" t="s">
        <v>34</v>
      </c>
      <c r="C38" s="142" t="s">
        <v>102</v>
      </c>
      <c r="D38" s="141" t="s">
        <v>41</v>
      </c>
      <c r="E38" s="143">
        <v>52</v>
      </c>
      <c r="F38" s="144">
        <f>E38*2/1000</f>
        <v>0.104</v>
      </c>
      <c r="G38" s="16">
        <v>619.46</v>
      </c>
      <c r="H38" s="145">
        <f t="shared" si="4"/>
        <v>6.4423839999999996E-2</v>
      </c>
      <c r="I38" s="16">
        <f t="shared" ref="I38:I40" si="5">F38/2*G38</f>
        <v>32.211919999999999</v>
      </c>
      <c r="J38" s="30"/>
      <c r="L38" s="25"/>
      <c r="M38" s="26"/>
      <c r="N38" s="27"/>
    </row>
    <row r="39" spans="1:14" ht="15.75" customHeight="1">
      <c r="A39" s="36">
        <v>21</v>
      </c>
      <c r="B39" s="141" t="s">
        <v>35</v>
      </c>
      <c r="C39" s="142" t="s">
        <v>102</v>
      </c>
      <c r="D39" s="141" t="s">
        <v>41</v>
      </c>
      <c r="E39" s="143">
        <v>1520.8</v>
      </c>
      <c r="F39" s="144">
        <f>SUM(E39*2/1000)</f>
        <v>3.0415999999999999</v>
      </c>
      <c r="G39" s="16">
        <v>619.46</v>
      </c>
      <c r="H39" s="145">
        <f t="shared" si="4"/>
        <v>1.8841495360000002</v>
      </c>
      <c r="I39" s="16">
        <f t="shared" si="5"/>
        <v>942.07476800000006</v>
      </c>
      <c r="J39" s="30"/>
      <c r="L39" s="25"/>
      <c r="M39" s="26"/>
      <c r="N39" s="27"/>
    </row>
    <row r="40" spans="1:14" ht="15.75" customHeight="1">
      <c r="A40" s="36">
        <v>22</v>
      </c>
      <c r="B40" s="141" t="s">
        <v>36</v>
      </c>
      <c r="C40" s="142" t="s">
        <v>102</v>
      </c>
      <c r="D40" s="141" t="s">
        <v>41</v>
      </c>
      <c r="E40" s="143">
        <v>3433.81</v>
      </c>
      <c r="F40" s="144">
        <f>SUM(E40*2/1000)</f>
        <v>6.8676199999999996</v>
      </c>
      <c r="G40" s="16">
        <v>648.64</v>
      </c>
      <c r="H40" s="145">
        <f t="shared" si="4"/>
        <v>4.4546130367999996</v>
      </c>
      <c r="I40" s="16">
        <f t="shared" si="5"/>
        <v>2227.3065183999997</v>
      </c>
      <c r="J40" s="30"/>
      <c r="L40" s="25"/>
      <c r="M40" s="26"/>
      <c r="N40" s="27"/>
    </row>
    <row r="41" spans="1:14" ht="15.75" customHeight="1">
      <c r="A41" s="36">
        <v>23</v>
      </c>
      <c r="B41" s="141" t="s">
        <v>57</v>
      </c>
      <c r="C41" s="142" t="s">
        <v>102</v>
      </c>
      <c r="D41" s="141" t="s">
        <v>225</v>
      </c>
      <c r="E41" s="143">
        <v>2641.8</v>
      </c>
      <c r="F41" s="144">
        <f>SUM(E41*5/1000)</f>
        <v>13.209</v>
      </c>
      <c r="G41" s="16">
        <v>1297.28</v>
      </c>
      <c r="H41" s="145">
        <f t="shared" si="4"/>
        <v>17.135771519999999</v>
      </c>
      <c r="I41" s="16">
        <f>F41/5*G41</f>
        <v>3427.1543039999997</v>
      </c>
      <c r="J41" s="30"/>
      <c r="L41" s="25"/>
      <c r="M41" s="26"/>
      <c r="N41" s="27"/>
    </row>
    <row r="42" spans="1:14" ht="31.5" hidden="1" customHeight="1">
      <c r="A42" s="36"/>
      <c r="B42" s="141" t="s">
        <v>104</v>
      </c>
      <c r="C42" s="142" t="s">
        <v>102</v>
      </c>
      <c r="D42" s="141" t="s">
        <v>41</v>
      </c>
      <c r="E42" s="143">
        <v>2641.8</v>
      </c>
      <c r="F42" s="144">
        <f>SUM(E42*2/1000)</f>
        <v>5.2836000000000007</v>
      </c>
      <c r="G42" s="16">
        <v>1297.28</v>
      </c>
      <c r="H42" s="145">
        <f t="shared" si="4"/>
        <v>6.8543086080000011</v>
      </c>
      <c r="I42" s="16">
        <v>0</v>
      </c>
      <c r="J42" s="30"/>
      <c r="L42" s="25"/>
      <c r="M42" s="26"/>
      <c r="N42" s="27"/>
    </row>
    <row r="43" spans="1:14" ht="31.5" hidden="1" customHeight="1">
      <c r="A43" s="36"/>
      <c r="B43" s="141" t="s">
        <v>105</v>
      </c>
      <c r="C43" s="142" t="s">
        <v>37</v>
      </c>
      <c r="D43" s="141" t="s">
        <v>41</v>
      </c>
      <c r="E43" s="143">
        <v>20</v>
      </c>
      <c r="F43" s="144">
        <f>SUM(E43*2/100)</f>
        <v>0.4</v>
      </c>
      <c r="G43" s="16">
        <v>2918.89</v>
      </c>
      <c r="H43" s="145">
        <f>SUM(F43*G43/1000)</f>
        <v>1.167556</v>
      </c>
      <c r="I43" s="16">
        <v>0</v>
      </c>
      <c r="J43" s="30"/>
      <c r="L43" s="25"/>
      <c r="M43" s="26"/>
      <c r="N43" s="27"/>
    </row>
    <row r="44" spans="1:14" ht="15.75" hidden="1" customHeight="1">
      <c r="A44" s="36"/>
      <c r="B44" s="141" t="s">
        <v>38</v>
      </c>
      <c r="C44" s="142" t="s">
        <v>39</v>
      </c>
      <c r="D44" s="141" t="s">
        <v>41</v>
      </c>
      <c r="E44" s="143">
        <v>1</v>
      </c>
      <c r="F44" s="144">
        <v>0.02</v>
      </c>
      <c r="G44" s="16">
        <v>6042.12</v>
      </c>
      <c r="H44" s="145">
        <f t="shared" si="4"/>
        <v>0.1208424</v>
      </c>
      <c r="I44" s="16">
        <v>0</v>
      </c>
      <c r="J44" s="30"/>
      <c r="L44" s="25"/>
      <c r="M44" s="26"/>
      <c r="N44" s="27"/>
    </row>
    <row r="45" spans="1:14" ht="15.75" hidden="1" customHeight="1">
      <c r="A45" s="36">
        <v>16</v>
      </c>
      <c r="B45" s="141" t="s">
        <v>40</v>
      </c>
      <c r="C45" s="142" t="s">
        <v>122</v>
      </c>
      <c r="D45" s="141" t="s">
        <v>73</v>
      </c>
      <c r="E45" s="143">
        <v>160</v>
      </c>
      <c r="F45" s="144">
        <f>SUM(E45)*3</f>
        <v>480</v>
      </c>
      <c r="G45" s="16">
        <v>70.209999999999994</v>
      </c>
      <c r="H45" s="145">
        <f t="shared" si="4"/>
        <v>33.700799999999994</v>
      </c>
      <c r="I45" s="16">
        <f>E45*G45</f>
        <v>11233.599999999999</v>
      </c>
      <c r="J45" s="30"/>
      <c r="L45" s="25"/>
      <c r="M45" s="26"/>
      <c r="N45" s="27"/>
    </row>
    <row r="46" spans="1:14" ht="15.75" customHeight="1">
      <c r="A46" s="174" t="s">
        <v>178</v>
      </c>
      <c r="B46" s="175"/>
      <c r="C46" s="175"/>
      <c r="D46" s="175"/>
      <c r="E46" s="175"/>
      <c r="F46" s="175"/>
      <c r="G46" s="175"/>
      <c r="H46" s="175"/>
      <c r="I46" s="176"/>
      <c r="J46" s="30"/>
      <c r="L46" s="25"/>
      <c r="M46" s="26"/>
      <c r="N46" s="27"/>
    </row>
    <row r="47" spans="1:14" ht="15.75" hidden="1" customHeight="1">
      <c r="A47" s="36"/>
      <c r="B47" s="189" t="s">
        <v>42</v>
      </c>
      <c r="C47" s="142"/>
      <c r="D47" s="141"/>
      <c r="E47" s="143"/>
      <c r="F47" s="144"/>
      <c r="G47" s="144"/>
      <c r="H47" s="145"/>
      <c r="I47" s="16"/>
      <c r="J47" s="30"/>
      <c r="L47" s="25"/>
      <c r="M47" s="26"/>
      <c r="N47" s="27"/>
    </row>
    <row r="48" spans="1:14" ht="31.5" hidden="1" customHeight="1">
      <c r="A48" s="36">
        <v>17</v>
      </c>
      <c r="B48" s="141" t="s">
        <v>149</v>
      </c>
      <c r="C48" s="142" t="s">
        <v>98</v>
      </c>
      <c r="D48" s="141" t="s">
        <v>123</v>
      </c>
      <c r="E48" s="143">
        <v>155.09</v>
      </c>
      <c r="F48" s="144">
        <f>SUM(E48*6/100)</f>
        <v>9.3053999999999988</v>
      </c>
      <c r="G48" s="16">
        <v>1654.04</v>
      </c>
      <c r="H48" s="145">
        <f>SUM(F48*G48/1000)</f>
        <v>15.391503815999998</v>
      </c>
      <c r="I48" s="16">
        <f>F48/6*G48</f>
        <v>2565.2506359999993</v>
      </c>
      <c r="J48" s="30"/>
      <c r="L48" s="25"/>
      <c r="M48" s="26"/>
      <c r="N48" s="27"/>
    </row>
    <row r="49" spans="1:22" ht="15.75" hidden="1" customHeight="1">
      <c r="A49" s="36">
        <v>18</v>
      </c>
      <c r="B49" s="141" t="s">
        <v>150</v>
      </c>
      <c r="C49" s="142" t="s">
        <v>98</v>
      </c>
      <c r="D49" s="141" t="s">
        <v>123</v>
      </c>
      <c r="E49" s="143">
        <v>3.8</v>
      </c>
      <c r="F49" s="144">
        <f>SUM(E49*6/100)</f>
        <v>0.22799999999999998</v>
      </c>
      <c r="G49" s="16">
        <v>1654.04</v>
      </c>
      <c r="H49" s="145">
        <f>SUM(F49*G49/1000)</f>
        <v>0.37712111999999998</v>
      </c>
      <c r="I49" s="16">
        <f>F49/6*G49</f>
        <v>62.853519999999996</v>
      </c>
      <c r="J49" s="30"/>
      <c r="L49" s="25"/>
    </row>
    <row r="50" spans="1:22" ht="15.75" hidden="1" customHeight="1">
      <c r="A50" s="36">
        <v>19</v>
      </c>
      <c r="B50" s="150" t="s">
        <v>151</v>
      </c>
      <c r="C50" s="151" t="s">
        <v>152</v>
      </c>
      <c r="D50" s="150" t="s">
        <v>41</v>
      </c>
      <c r="E50" s="152">
        <v>4</v>
      </c>
      <c r="F50" s="153">
        <v>0.8</v>
      </c>
      <c r="G50" s="16">
        <v>193.23</v>
      </c>
      <c r="H50" s="145">
        <f t="shared" ref="H50:H51" si="6">SUM(F50*G50/1000)</f>
        <v>0.154584</v>
      </c>
      <c r="I50" s="16">
        <f>F50/2*G50</f>
        <v>77.292000000000002</v>
      </c>
    </row>
    <row r="51" spans="1:22" ht="15.75" hidden="1" customHeight="1">
      <c r="A51" s="36"/>
      <c r="B51" s="150" t="s">
        <v>44</v>
      </c>
      <c r="C51" s="151" t="s">
        <v>53</v>
      </c>
      <c r="D51" s="150" t="s">
        <v>54</v>
      </c>
      <c r="E51" s="152">
        <v>1320.9</v>
      </c>
      <c r="F51" s="153">
        <f>E51/100</f>
        <v>13.209000000000001</v>
      </c>
      <c r="G51" s="16">
        <v>505.2</v>
      </c>
      <c r="H51" s="145">
        <f t="shared" si="6"/>
        <v>6.6731868000000008</v>
      </c>
      <c r="I51" s="16">
        <v>0</v>
      </c>
    </row>
    <row r="52" spans="1:22" ht="15.75" customHeight="1">
      <c r="A52" s="36"/>
      <c r="B52" s="190" t="s">
        <v>43</v>
      </c>
      <c r="C52" s="151"/>
      <c r="D52" s="150"/>
      <c r="E52" s="152"/>
      <c r="F52" s="153"/>
      <c r="G52" s="16"/>
      <c r="H52" s="154"/>
      <c r="I52" s="16"/>
    </row>
    <row r="53" spans="1:22" ht="15.75" hidden="1" customHeight="1">
      <c r="A53" s="36"/>
      <c r="B53" s="150" t="s">
        <v>44</v>
      </c>
      <c r="C53" s="151" t="s">
        <v>53</v>
      </c>
      <c r="D53" s="150" t="s">
        <v>54</v>
      </c>
      <c r="E53" s="152">
        <v>1238</v>
      </c>
      <c r="F53" s="153">
        <f>E53/100</f>
        <v>12.38</v>
      </c>
      <c r="G53" s="16">
        <v>848.37</v>
      </c>
      <c r="H53" s="154">
        <f>F53*G53/1000</f>
        <v>10.502820600000002</v>
      </c>
      <c r="I53" s="16">
        <v>0</v>
      </c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9"/>
    </row>
    <row r="54" spans="1:22" ht="15.75" customHeight="1">
      <c r="A54" s="36">
        <v>24</v>
      </c>
      <c r="B54" s="150" t="s">
        <v>139</v>
      </c>
      <c r="C54" s="151" t="s">
        <v>25</v>
      </c>
      <c r="D54" s="150" t="s">
        <v>30</v>
      </c>
      <c r="E54" s="152">
        <v>238</v>
      </c>
      <c r="F54" s="155">
        <f>E54*12</f>
        <v>2856</v>
      </c>
      <c r="G54" s="135">
        <v>2.6</v>
      </c>
      <c r="H54" s="153">
        <f>F54*G54/1000</f>
        <v>7.4256000000000002</v>
      </c>
      <c r="I54" s="16">
        <f>F54/12*G54</f>
        <v>618.80000000000007</v>
      </c>
      <c r="J54" s="32"/>
      <c r="K54" s="32"/>
      <c r="L54" s="3"/>
      <c r="M54" s="3"/>
      <c r="N54" s="3"/>
      <c r="O54" s="3"/>
      <c r="P54" s="3"/>
      <c r="Q54" s="3"/>
      <c r="R54" s="3"/>
      <c r="S54" s="3"/>
      <c r="T54" s="3"/>
      <c r="U54" s="3"/>
    </row>
    <row r="55" spans="1:22" ht="15.75" customHeight="1">
      <c r="A55" s="36"/>
      <c r="B55" s="190" t="s">
        <v>45</v>
      </c>
      <c r="C55" s="151"/>
      <c r="D55" s="150"/>
      <c r="E55" s="152"/>
      <c r="F55" s="155"/>
      <c r="G55" s="155"/>
      <c r="H55" s="153" t="s">
        <v>153</v>
      </c>
      <c r="I55" s="16"/>
      <c r="J55" s="3"/>
      <c r="K55" s="3"/>
      <c r="L55" s="3"/>
      <c r="M55" s="3"/>
      <c r="N55" s="3"/>
      <c r="O55" s="3"/>
      <c r="P55" s="3"/>
      <c r="Q55" s="3"/>
      <c r="S55" s="3"/>
      <c r="T55" s="3"/>
      <c r="U55" s="3"/>
    </row>
    <row r="56" spans="1:22" ht="15.75" hidden="1" customHeight="1">
      <c r="A56" s="36"/>
      <c r="B56" s="18" t="s">
        <v>46</v>
      </c>
      <c r="C56" s="20" t="s">
        <v>122</v>
      </c>
      <c r="D56" s="18" t="s">
        <v>69</v>
      </c>
      <c r="E56" s="23">
        <v>8</v>
      </c>
      <c r="F56" s="144">
        <v>8</v>
      </c>
      <c r="G56" s="16">
        <v>237.74</v>
      </c>
      <c r="H56" s="156">
        <f t="shared" ref="H56:H69" si="7">SUM(F56*G56/1000)</f>
        <v>1.9019200000000001</v>
      </c>
      <c r="I56" s="16">
        <v>0</v>
      </c>
      <c r="J56" s="5"/>
      <c r="K56" s="5"/>
      <c r="L56" s="5"/>
      <c r="M56" s="5"/>
      <c r="N56" s="5"/>
      <c r="O56" s="5"/>
      <c r="P56" s="5"/>
      <c r="Q56" s="5"/>
      <c r="R56" s="167"/>
      <c r="S56" s="167"/>
      <c r="T56" s="167"/>
      <c r="U56" s="167"/>
    </row>
    <row r="57" spans="1:22" ht="15.75" hidden="1" customHeight="1">
      <c r="A57" s="36"/>
      <c r="B57" s="18" t="s">
        <v>47</v>
      </c>
      <c r="C57" s="20" t="s">
        <v>122</v>
      </c>
      <c r="D57" s="18" t="s">
        <v>69</v>
      </c>
      <c r="E57" s="23">
        <v>3</v>
      </c>
      <c r="F57" s="144">
        <v>3</v>
      </c>
      <c r="G57" s="16">
        <v>81.510000000000005</v>
      </c>
      <c r="H57" s="156">
        <f t="shared" si="7"/>
        <v>0.24453000000000003</v>
      </c>
      <c r="I57" s="16">
        <v>0</v>
      </c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</row>
    <row r="58" spans="1:22" ht="15.75" customHeight="1">
      <c r="A58" s="36">
        <v>25</v>
      </c>
      <c r="B58" s="18" t="s">
        <v>48</v>
      </c>
      <c r="C58" s="20" t="s">
        <v>124</v>
      </c>
      <c r="D58" s="18" t="s">
        <v>54</v>
      </c>
      <c r="E58" s="143">
        <v>19836</v>
      </c>
      <c r="F58" s="16">
        <f>SUM(E58/100)</f>
        <v>198.36</v>
      </c>
      <c r="G58" s="16">
        <v>226.79</v>
      </c>
      <c r="H58" s="156">
        <f t="shared" si="7"/>
        <v>44.986064400000004</v>
      </c>
      <c r="I58" s="16">
        <f>F58*G58</f>
        <v>44986.064400000003</v>
      </c>
    </row>
    <row r="59" spans="1:22" ht="15.75" customHeight="1">
      <c r="A59" s="36">
        <v>26</v>
      </c>
      <c r="B59" s="18" t="s">
        <v>49</v>
      </c>
      <c r="C59" s="20" t="s">
        <v>125</v>
      </c>
      <c r="D59" s="18"/>
      <c r="E59" s="143">
        <v>19836</v>
      </c>
      <c r="F59" s="16">
        <f>SUM(E59/1000)</f>
        <v>19.835999999999999</v>
      </c>
      <c r="G59" s="16">
        <v>176.61</v>
      </c>
      <c r="H59" s="156">
        <f t="shared" si="7"/>
        <v>3.50323596</v>
      </c>
      <c r="I59" s="16">
        <f t="shared" ref="I59:I63" si="8">F59*G59</f>
        <v>3503.23596</v>
      </c>
    </row>
    <row r="60" spans="1:22" ht="15.75" customHeight="1">
      <c r="A60" s="36">
        <v>27</v>
      </c>
      <c r="B60" s="18" t="s">
        <v>50</v>
      </c>
      <c r="C60" s="20" t="s">
        <v>79</v>
      </c>
      <c r="D60" s="18" t="s">
        <v>54</v>
      </c>
      <c r="E60" s="143">
        <v>3155</v>
      </c>
      <c r="F60" s="16">
        <f>SUM(E60/100)</f>
        <v>31.55</v>
      </c>
      <c r="G60" s="16">
        <v>2217.7800000000002</v>
      </c>
      <c r="H60" s="156">
        <f t="shared" si="7"/>
        <v>69.970959000000008</v>
      </c>
      <c r="I60" s="16">
        <f t="shared" si="8"/>
        <v>69970.959000000003</v>
      </c>
    </row>
    <row r="61" spans="1:22" ht="15.75" customHeight="1">
      <c r="A61" s="36">
        <v>28</v>
      </c>
      <c r="B61" s="157" t="s">
        <v>126</v>
      </c>
      <c r="C61" s="20" t="s">
        <v>33</v>
      </c>
      <c r="D61" s="18"/>
      <c r="E61" s="143">
        <v>17.600000000000001</v>
      </c>
      <c r="F61" s="16">
        <f>SUM(E61)</f>
        <v>17.600000000000001</v>
      </c>
      <c r="G61" s="16">
        <v>42.67</v>
      </c>
      <c r="H61" s="156">
        <f t="shared" si="7"/>
        <v>0.7509920000000001</v>
      </c>
      <c r="I61" s="16">
        <f t="shared" si="8"/>
        <v>750.99200000000008</v>
      </c>
    </row>
    <row r="62" spans="1:22" ht="15.75" customHeight="1">
      <c r="A62" s="36">
        <v>29</v>
      </c>
      <c r="B62" s="157" t="s">
        <v>127</v>
      </c>
      <c r="C62" s="20" t="s">
        <v>33</v>
      </c>
      <c r="D62" s="18"/>
      <c r="E62" s="143">
        <v>17.600000000000001</v>
      </c>
      <c r="F62" s="16">
        <f>SUM(E62)</f>
        <v>17.600000000000001</v>
      </c>
      <c r="G62" s="16">
        <v>39.81</v>
      </c>
      <c r="H62" s="156">
        <f t="shared" si="7"/>
        <v>0.70065600000000006</v>
      </c>
      <c r="I62" s="16">
        <f t="shared" si="8"/>
        <v>700.65600000000006</v>
      </c>
    </row>
    <row r="63" spans="1:22" ht="15.75" hidden="1" customHeight="1">
      <c r="A63" s="36"/>
      <c r="B63" s="18" t="s">
        <v>58</v>
      </c>
      <c r="C63" s="20" t="s">
        <v>59</v>
      </c>
      <c r="D63" s="18" t="s">
        <v>54</v>
      </c>
      <c r="E63" s="23">
        <v>7</v>
      </c>
      <c r="F63" s="144">
        <v>7</v>
      </c>
      <c r="G63" s="16">
        <v>53.32</v>
      </c>
      <c r="H63" s="156">
        <f t="shared" si="7"/>
        <v>0.37324000000000002</v>
      </c>
      <c r="I63" s="16">
        <f t="shared" si="8"/>
        <v>373.24</v>
      </c>
    </row>
    <row r="64" spans="1:22" ht="15.75" hidden="1" customHeight="1">
      <c r="A64" s="36"/>
      <c r="B64" s="125" t="s">
        <v>74</v>
      </c>
      <c r="C64" s="20"/>
      <c r="D64" s="18"/>
      <c r="E64" s="23"/>
      <c r="F64" s="16"/>
      <c r="G64" s="16"/>
      <c r="H64" s="156" t="s">
        <v>153</v>
      </c>
      <c r="I64" s="16"/>
    </row>
    <row r="65" spans="1:9" ht="15.75" hidden="1" customHeight="1">
      <c r="A65" s="36"/>
      <c r="B65" s="18" t="s">
        <v>75</v>
      </c>
      <c r="C65" s="20" t="s">
        <v>77</v>
      </c>
      <c r="D65" s="18"/>
      <c r="E65" s="23">
        <v>2</v>
      </c>
      <c r="F65" s="16">
        <v>0.2</v>
      </c>
      <c r="G65" s="16">
        <v>536.23</v>
      </c>
      <c r="H65" s="156">
        <f t="shared" si="7"/>
        <v>0.10724600000000001</v>
      </c>
      <c r="I65" s="16">
        <v>0</v>
      </c>
    </row>
    <row r="66" spans="1:9" ht="15.75" hidden="1" customHeight="1">
      <c r="A66" s="36"/>
      <c r="B66" s="18" t="s">
        <v>76</v>
      </c>
      <c r="C66" s="20" t="s">
        <v>31</v>
      </c>
      <c r="D66" s="18"/>
      <c r="E66" s="23">
        <v>1</v>
      </c>
      <c r="F66" s="135">
        <v>1</v>
      </c>
      <c r="G66" s="16">
        <v>911.85</v>
      </c>
      <c r="H66" s="156">
        <f>F66*G66/1000</f>
        <v>0.91185000000000005</v>
      </c>
      <c r="I66" s="16">
        <v>0</v>
      </c>
    </row>
    <row r="67" spans="1:9" ht="15.75" hidden="1" customHeight="1">
      <c r="A67" s="36"/>
      <c r="B67" s="18" t="s">
        <v>129</v>
      </c>
      <c r="C67" s="20" t="s">
        <v>31</v>
      </c>
      <c r="D67" s="18"/>
      <c r="E67" s="23">
        <v>1</v>
      </c>
      <c r="F67" s="16">
        <v>1</v>
      </c>
      <c r="G67" s="16">
        <v>383.25</v>
      </c>
      <c r="H67" s="156">
        <f>G67*F67/1000</f>
        <v>0.38324999999999998</v>
      </c>
      <c r="I67" s="16">
        <v>0</v>
      </c>
    </row>
    <row r="68" spans="1:9" ht="15.75" hidden="1" customHeight="1">
      <c r="A68" s="36"/>
      <c r="B68" s="159" t="s">
        <v>78</v>
      </c>
      <c r="C68" s="20"/>
      <c r="D68" s="18"/>
      <c r="E68" s="23"/>
      <c r="F68" s="16"/>
      <c r="G68" s="16" t="s">
        <v>153</v>
      </c>
      <c r="H68" s="156" t="s">
        <v>153</v>
      </c>
      <c r="I68" s="16"/>
    </row>
    <row r="69" spans="1:9" ht="15.75" hidden="1" customHeight="1">
      <c r="A69" s="36"/>
      <c r="B69" s="67" t="s">
        <v>141</v>
      </c>
      <c r="C69" s="20" t="s">
        <v>79</v>
      </c>
      <c r="D69" s="18"/>
      <c r="E69" s="23"/>
      <c r="F69" s="16">
        <v>0.3</v>
      </c>
      <c r="G69" s="16">
        <v>2949.85</v>
      </c>
      <c r="H69" s="156">
        <f t="shared" si="7"/>
        <v>0.88495499999999994</v>
      </c>
      <c r="I69" s="16">
        <v>0</v>
      </c>
    </row>
    <row r="70" spans="1:9" ht="15.75" hidden="1" customHeight="1">
      <c r="A70" s="36"/>
      <c r="B70" s="125" t="s">
        <v>106</v>
      </c>
      <c r="C70" s="159"/>
      <c r="D70" s="38"/>
      <c r="E70" s="39"/>
      <c r="F70" s="147"/>
      <c r="G70" s="147"/>
      <c r="H70" s="160">
        <f>SUM(H48:H69)</f>
        <v>165.24371469600001</v>
      </c>
      <c r="I70" s="147"/>
    </row>
    <row r="71" spans="1:9" ht="15.75" hidden="1" customHeight="1">
      <c r="A71" s="36"/>
      <c r="B71" s="141" t="s">
        <v>128</v>
      </c>
      <c r="C71" s="20"/>
      <c r="D71" s="18"/>
      <c r="E71" s="136"/>
      <c r="F71" s="16">
        <v>1</v>
      </c>
      <c r="G71" s="16">
        <v>17869</v>
      </c>
      <c r="H71" s="156">
        <f>G71*F71/1000</f>
        <v>17.869</v>
      </c>
      <c r="I71" s="16">
        <v>0</v>
      </c>
    </row>
    <row r="72" spans="1:9" ht="15.75" customHeight="1">
      <c r="A72" s="177" t="s">
        <v>179</v>
      </c>
      <c r="B72" s="178"/>
      <c r="C72" s="178"/>
      <c r="D72" s="178"/>
      <c r="E72" s="178"/>
      <c r="F72" s="178"/>
      <c r="G72" s="178"/>
      <c r="H72" s="178"/>
      <c r="I72" s="179"/>
    </row>
    <row r="73" spans="1:9" ht="15.75" customHeight="1">
      <c r="A73" s="36">
        <v>30</v>
      </c>
      <c r="B73" s="141" t="s">
        <v>130</v>
      </c>
      <c r="C73" s="20" t="s">
        <v>55</v>
      </c>
      <c r="D73" s="84" t="s">
        <v>56</v>
      </c>
      <c r="E73" s="16">
        <v>4731.7</v>
      </c>
      <c r="F73" s="16">
        <f>SUM(E73*12)</f>
        <v>56780.399999999994</v>
      </c>
      <c r="G73" s="16">
        <v>2.54</v>
      </c>
      <c r="H73" s="156">
        <f>SUM(F73*G73/1000)</f>
        <v>144.22221599999997</v>
      </c>
      <c r="I73" s="16">
        <f>F73/12*G73</f>
        <v>12018.518</v>
      </c>
    </row>
    <row r="74" spans="1:9" ht="31.5" customHeight="1">
      <c r="A74" s="36">
        <v>31</v>
      </c>
      <c r="B74" s="18" t="s">
        <v>80</v>
      </c>
      <c r="C74" s="20"/>
      <c r="D74" s="84" t="s">
        <v>56</v>
      </c>
      <c r="E74" s="143">
        <f>E73</f>
        <v>4731.7</v>
      </c>
      <c r="F74" s="16">
        <f>E74*12</f>
        <v>56780.399999999994</v>
      </c>
      <c r="G74" s="16">
        <v>3.05</v>
      </c>
      <c r="H74" s="156">
        <f>F74*G74/1000</f>
        <v>173.18021999999996</v>
      </c>
      <c r="I74" s="16">
        <f>F74/12*G74</f>
        <v>14431.684999999999</v>
      </c>
    </row>
    <row r="75" spans="1:9" ht="15.75" customHeight="1">
      <c r="A75" s="36"/>
      <c r="B75" s="54" t="s">
        <v>84</v>
      </c>
      <c r="C75" s="159"/>
      <c r="D75" s="158"/>
      <c r="E75" s="147"/>
      <c r="F75" s="147"/>
      <c r="G75" s="147"/>
      <c r="H75" s="160">
        <f>H74</f>
        <v>173.18021999999996</v>
      </c>
      <c r="I75" s="147">
        <f>I16+I17+I18+I19+I20+I21+I22+I23+I24+I25+I26+I27+I28+I31+I32+I33+I34+I35+I37+I38+I39+I40+I41+I54+I58+I59+I60+I61+I62+I73+I74</f>
        <v>206185.89534120003</v>
      </c>
    </row>
    <row r="76" spans="1:9" ht="15.75" customHeight="1">
      <c r="A76" s="36"/>
      <c r="B76" s="80" t="s">
        <v>61</v>
      </c>
      <c r="C76" s="20"/>
      <c r="D76" s="67"/>
      <c r="E76" s="16"/>
      <c r="F76" s="16"/>
      <c r="G76" s="16"/>
      <c r="H76" s="16"/>
      <c r="I76" s="16"/>
    </row>
    <row r="77" spans="1:9" ht="15.75" customHeight="1">
      <c r="A77" s="36">
        <v>32</v>
      </c>
      <c r="B77" s="81" t="s">
        <v>86</v>
      </c>
      <c r="C77" s="107" t="s">
        <v>122</v>
      </c>
      <c r="D77" s="18"/>
      <c r="E77" s="23"/>
      <c r="F77" s="16">
        <v>16</v>
      </c>
      <c r="G77" s="16">
        <v>180.15</v>
      </c>
      <c r="H77" s="156">
        <f t="shared" ref="H77:H83" si="9">G77*F77/1000</f>
        <v>2.8824000000000001</v>
      </c>
      <c r="I77" s="16">
        <f>G77</f>
        <v>180.15</v>
      </c>
    </row>
    <row r="78" spans="1:9" ht="31.5" customHeight="1">
      <c r="A78" s="36">
        <v>33</v>
      </c>
      <c r="B78" s="81" t="s">
        <v>83</v>
      </c>
      <c r="C78" s="107" t="s">
        <v>122</v>
      </c>
      <c r="D78" s="18"/>
      <c r="E78" s="23"/>
      <c r="F78" s="16">
        <v>3</v>
      </c>
      <c r="G78" s="16">
        <v>79.09</v>
      </c>
      <c r="H78" s="156">
        <f t="shared" si="9"/>
        <v>0.23727000000000001</v>
      </c>
      <c r="I78" s="16">
        <f>G78</f>
        <v>79.09</v>
      </c>
    </row>
    <row r="79" spans="1:9" ht="15.75" customHeight="1">
      <c r="A79" s="36">
        <v>34</v>
      </c>
      <c r="B79" s="81" t="s">
        <v>158</v>
      </c>
      <c r="C79" s="107" t="s">
        <v>122</v>
      </c>
      <c r="D79" s="18"/>
      <c r="E79" s="23"/>
      <c r="F79" s="16">
        <v>729</v>
      </c>
      <c r="G79" s="16">
        <v>50.68</v>
      </c>
      <c r="H79" s="156">
        <f t="shared" si="9"/>
        <v>36.945720000000001</v>
      </c>
      <c r="I79" s="16">
        <f>G79*81</f>
        <v>4105.08</v>
      </c>
    </row>
    <row r="80" spans="1:9" ht="15.75" customHeight="1">
      <c r="A80" s="36">
        <v>35</v>
      </c>
      <c r="B80" s="81" t="s">
        <v>204</v>
      </c>
      <c r="C80" s="107" t="s">
        <v>205</v>
      </c>
      <c r="D80" s="18"/>
      <c r="E80" s="23"/>
      <c r="F80" s="16">
        <v>1</v>
      </c>
      <c r="G80" s="16">
        <v>1005.07</v>
      </c>
      <c r="H80" s="156">
        <f t="shared" si="9"/>
        <v>1.0050700000000001</v>
      </c>
      <c r="I80" s="16">
        <f>G80</f>
        <v>1005.07</v>
      </c>
    </row>
    <row r="81" spans="1:9" ht="15.75" customHeight="1">
      <c r="A81" s="36">
        <v>36</v>
      </c>
      <c r="B81" s="81" t="s">
        <v>206</v>
      </c>
      <c r="C81" s="107" t="s">
        <v>207</v>
      </c>
      <c r="D81" s="18"/>
      <c r="E81" s="23"/>
      <c r="F81" s="16">
        <f>1/100</f>
        <v>0.01</v>
      </c>
      <c r="G81" s="16">
        <v>7033.13</v>
      </c>
      <c r="H81" s="156">
        <f t="shared" si="9"/>
        <v>7.0331299999999999E-2</v>
      </c>
      <c r="I81" s="16">
        <f>G81*0.01</f>
        <v>70.331299999999999</v>
      </c>
    </row>
    <row r="82" spans="1:9" ht="15.75" customHeight="1">
      <c r="A82" s="36">
        <v>37</v>
      </c>
      <c r="B82" s="81" t="s">
        <v>159</v>
      </c>
      <c r="C82" s="107" t="s">
        <v>122</v>
      </c>
      <c r="D82" s="67"/>
      <c r="E82" s="16"/>
      <c r="F82" s="16">
        <v>2</v>
      </c>
      <c r="G82" s="16">
        <v>1405.67</v>
      </c>
      <c r="H82" s="156">
        <f t="shared" si="9"/>
        <v>2.81134</v>
      </c>
      <c r="I82" s="16">
        <f t="shared" ref="I81:I83" si="10">G82</f>
        <v>1405.67</v>
      </c>
    </row>
    <row r="83" spans="1:9" ht="15.75" customHeight="1">
      <c r="A83" s="36">
        <v>38</v>
      </c>
      <c r="B83" s="81" t="s">
        <v>208</v>
      </c>
      <c r="C83" s="107" t="s">
        <v>197</v>
      </c>
      <c r="D83" s="67"/>
      <c r="E83" s="16"/>
      <c r="F83" s="16">
        <v>1</v>
      </c>
      <c r="G83" s="16">
        <v>594</v>
      </c>
      <c r="H83" s="156">
        <f t="shared" si="9"/>
        <v>0.59399999999999997</v>
      </c>
      <c r="I83" s="16">
        <f t="shared" si="10"/>
        <v>594</v>
      </c>
    </row>
    <row r="84" spans="1:9">
      <c r="A84" s="36"/>
      <c r="B84" s="61" t="s">
        <v>51</v>
      </c>
      <c r="C84" s="57"/>
      <c r="D84" s="71"/>
      <c r="E84" s="57">
        <v>1</v>
      </c>
      <c r="F84" s="57"/>
      <c r="G84" s="57"/>
      <c r="H84" s="57"/>
      <c r="I84" s="39">
        <f>SUM(I77:I83)</f>
        <v>7439.3912999999993</v>
      </c>
    </row>
    <row r="85" spans="1:9" ht="15.75" customHeight="1">
      <c r="A85" s="36"/>
      <c r="B85" s="67" t="s">
        <v>81</v>
      </c>
      <c r="C85" s="19"/>
      <c r="D85" s="19"/>
      <c r="E85" s="58"/>
      <c r="F85" s="58"/>
      <c r="G85" s="59"/>
      <c r="H85" s="59"/>
      <c r="I85" s="22">
        <v>0</v>
      </c>
    </row>
    <row r="86" spans="1:9" ht="15.75" customHeight="1">
      <c r="A86" s="72"/>
      <c r="B86" s="62" t="s">
        <v>52</v>
      </c>
      <c r="C86" s="45"/>
      <c r="D86" s="45"/>
      <c r="E86" s="45"/>
      <c r="F86" s="45"/>
      <c r="G86" s="45"/>
      <c r="H86" s="45"/>
      <c r="I86" s="60">
        <f>I75+I84</f>
        <v>213625.28664120001</v>
      </c>
    </row>
    <row r="87" spans="1:9" ht="15.75" customHeight="1">
      <c r="A87" s="169" t="s">
        <v>242</v>
      </c>
      <c r="B87" s="169"/>
      <c r="C87" s="169"/>
      <c r="D87" s="169"/>
      <c r="E87" s="169"/>
      <c r="F87" s="169"/>
      <c r="G87" s="169"/>
      <c r="H87" s="169"/>
      <c r="I87" s="169"/>
    </row>
    <row r="88" spans="1:9" ht="15.75" customHeight="1">
      <c r="A88" s="121"/>
      <c r="B88" s="170" t="s">
        <v>243</v>
      </c>
      <c r="C88" s="170"/>
      <c r="D88" s="170"/>
      <c r="E88" s="170"/>
      <c r="F88" s="170"/>
      <c r="G88" s="170"/>
      <c r="H88" s="139"/>
      <c r="I88" s="3"/>
    </row>
    <row r="89" spans="1:9" ht="15.75" customHeight="1">
      <c r="A89" s="130"/>
      <c r="B89" s="165" t="s">
        <v>6</v>
      </c>
      <c r="C89" s="165"/>
      <c r="D89" s="165"/>
      <c r="E89" s="165"/>
      <c r="F89" s="165"/>
      <c r="G89" s="165"/>
      <c r="H89" s="31"/>
      <c r="I89" s="5"/>
    </row>
    <row r="90" spans="1:9" ht="15.75" customHeight="1">
      <c r="A90" s="10"/>
      <c r="B90" s="10"/>
      <c r="C90" s="10"/>
      <c r="D90" s="10"/>
      <c r="E90" s="10"/>
      <c r="F90" s="10"/>
      <c r="G90" s="10"/>
      <c r="H90" s="10"/>
      <c r="I90" s="10"/>
    </row>
    <row r="91" spans="1:9" ht="15.75" customHeight="1">
      <c r="A91" s="171" t="s">
        <v>7</v>
      </c>
      <c r="B91" s="171"/>
      <c r="C91" s="171"/>
      <c r="D91" s="171"/>
      <c r="E91" s="171"/>
      <c r="F91" s="171"/>
      <c r="G91" s="171"/>
      <c r="H91" s="171"/>
      <c r="I91" s="171"/>
    </row>
    <row r="92" spans="1:9" ht="15.75" customHeight="1">
      <c r="A92" s="171" t="s">
        <v>8</v>
      </c>
      <c r="B92" s="171"/>
      <c r="C92" s="171"/>
      <c r="D92" s="171"/>
      <c r="E92" s="171"/>
      <c r="F92" s="171"/>
      <c r="G92" s="171"/>
      <c r="H92" s="171"/>
      <c r="I92" s="171"/>
    </row>
    <row r="93" spans="1:9" ht="15.75" customHeight="1">
      <c r="A93" s="172" t="s">
        <v>62</v>
      </c>
      <c r="B93" s="172"/>
      <c r="C93" s="172"/>
      <c r="D93" s="172"/>
      <c r="E93" s="172"/>
      <c r="F93" s="172"/>
      <c r="G93" s="172"/>
      <c r="H93" s="172"/>
      <c r="I93" s="172"/>
    </row>
    <row r="94" spans="1:9" ht="15.75" customHeight="1">
      <c r="A94" s="11"/>
    </row>
    <row r="95" spans="1:9" ht="15.75">
      <c r="A95" s="163" t="s">
        <v>9</v>
      </c>
      <c r="B95" s="163"/>
      <c r="C95" s="163"/>
      <c r="D95" s="163"/>
      <c r="E95" s="163"/>
      <c r="F95" s="163"/>
      <c r="G95" s="163"/>
      <c r="H95" s="163"/>
      <c r="I95" s="163"/>
    </row>
    <row r="96" spans="1:9" ht="15.75">
      <c r="A96" s="4"/>
    </row>
    <row r="97" spans="1:9" ht="15.75" customHeight="1">
      <c r="B97" s="127" t="s">
        <v>10</v>
      </c>
      <c r="C97" s="164" t="s">
        <v>180</v>
      </c>
      <c r="D97" s="164"/>
      <c r="E97" s="164"/>
      <c r="F97" s="137"/>
      <c r="I97" s="129"/>
    </row>
    <row r="98" spans="1:9" ht="15.75" customHeight="1">
      <c r="A98" s="130"/>
      <c r="C98" s="165" t="s">
        <v>11</v>
      </c>
      <c r="D98" s="165"/>
      <c r="E98" s="165"/>
      <c r="F98" s="31"/>
      <c r="I98" s="128" t="s">
        <v>12</v>
      </c>
    </row>
    <row r="99" spans="1:9" ht="15.75" customHeight="1">
      <c r="A99" s="32"/>
      <c r="C99" s="12"/>
      <c r="D99" s="12"/>
      <c r="G99" s="12"/>
      <c r="H99" s="12"/>
    </row>
    <row r="100" spans="1:9" ht="15.75" customHeight="1">
      <c r="B100" s="127" t="s">
        <v>13</v>
      </c>
      <c r="C100" s="166"/>
      <c r="D100" s="166"/>
      <c r="E100" s="166"/>
      <c r="F100" s="138"/>
      <c r="I100" s="129"/>
    </row>
    <row r="101" spans="1:9" ht="15.75" customHeight="1">
      <c r="A101" s="130"/>
      <c r="C101" s="167" t="s">
        <v>11</v>
      </c>
      <c r="D101" s="167"/>
      <c r="E101" s="167"/>
      <c r="F101" s="130"/>
      <c r="I101" s="128" t="s">
        <v>12</v>
      </c>
    </row>
    <row r="102" spans="1:9" ht="15.75">
      <c r="A102" s="4" t="s">
        <v>14</v>
      </c>
    </row>
    <row r="103" spans="1:9">
      <c r="A103" s="168" t="s">
        <v>15</v>
      </c>
      <c r="B103" s="168"/>
      <c r="C103" s="168"/>
      <c r="D103" s="168"/>
      <c r="E103" s="168"/>
      <c r="F103" s="168"/>
      <c r="G103" s="168"/>
      <c r="H103" s="168"/>
      <c r="I103" s="168"/>
    </row>
    <row r="104" spans="1:9" ht="45" customHeight="1">
      <c r="A104" s="162" t="s">
        <v>16</v>
      </c>
      <c r="B104" s="162"/>
      <c r="C104" s="162"/>
      <c r="D104" s="162"/>
      <c r="E104" s="162"/>
      <c r="F104" s="162"/>
      <c r="G104" s="162"/>
      <c r="H104" s="162"/>
      <c r="I104" s="162"/>
    </row>
    <row r="105" spans="1:9" ht="30" customHeight="1">
      <c r="A105" s="162" t="s">
        <v>17</v>
      </c>
      <c r="B105" s="162"/>
      <c r="C105" s="162"/>
      <c r="D105" s="162"/>
      <c r="E105" s="162"/>
      <c r="F105" s="162"/>
      <c r="G105" s="162"/>
      <c r="H105" s="162"/>
      <c r="I105" s="162"/>
    </row>
    <row r="106" spans="1:9" ht="30" customHeight="1">
      <c r="A106" s="162" t="s">
        <v>21</v>
      </c>
      <c r="B106" s="162"/>
      <c r="C106" s="162"/>
      <c r="D106" s="162"/>
      <c r="E106" s="162"/>
      <c r="F106" s="162"/>
      <c r="G106" s="162"/>
      <c r="H106" s="162"/>
      <c r="I106" s="162"/>
    </row>
    <row r="107" spans="1:9" ht="15" customHeight="1">
      <c r="A107" s="162" t="s">
        <v>20</v>
      </c>
      <c r="B107" s="162"/>
      <c r="C107" s="162"/>
      <c r="D107" s="162"/>
      <c r="E107" s="162"/>
      <c r="F107" s="162"/>
      <c r="G107" s="162"/>
      <c r="H107" s="162"/>
      <c r="I107" s="162"/>
    </row>
  </sheetData>
  <autoFilter ref="I12:I51"/>
  <mergeCells count="28">
    <mergeCell ref="A104:I104"/>
    <mergeCell ref="A105:I105"/>
    <mergeCell ref="A106:I106"/>
    <mergeCell ref="A107:I107"/>
    <mergeCell ref="A95:I95"/>
    <mergeCell ref="C97:E97"/>
    <mergeCell ref="C98:E98"/>
    <mergeCell ref="C100:E100"/>
    <mergeCell ref="C101:E101"/>
    <mergeCell ref="A103:I103"/>
    <mergeCell ref="A87:I87"/>
    <mergeCell ref="B88:G88"/>
    <mergeCell ref="B89:G89"/>
    <mergeCell ref="A91:I91"/>
    <mergeCell ref="A92:I92"/>
    <mergeCell ref="A93:I93"/>
    <mergeCell ref="A15:I15"/>
    <mergeCell ref="A29:I29"/>
    <mergeCell ref="A36:I36"/>
    <mergeCell ref="A46:I46"/>
    <mergeCell ref="R56:U56"/>
    <mergeCell ref="A72:I72"/>
    <mergeCell ref="A3:I3"/>
    <mergeCell ref="A4:I4"/>
    <mergeCell ref="A5:I5"/>
    <mergeCell ref="A8:I8"/>
    <mergeCell ref="A10:I10"/>
    <mergeCell ref="A14:I14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114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4" t="s">
        <v>94</v>
      </c>
      <c r="I1" s="33"/>
      <c r="J1" s="1"/>
      <c r="K1" s="1"/>
      <c r="L1" s="1"/>
      <c r="M1" s="1"/>
    </row>
    <row r="2" spans="1:13" ht="15.75">
      <c r="A2" s="35" t="s">
        <v>64</v>
      </c>
      <c r="J2" s="2"/>
      <c r="K2" s="2"/>
      <c r="L2" s="2"/>
      <c r="M2" s="2"/>
    </row>
    <row r="3" spans="1:13" ht="15.75" customHeight="1">
      <c r="A3" s="180" t="s">
        <v>244</v>
      </c>
      <c r="B3" s="180"/>
      <c r="C3" s="180"/>
      <c r="D3" s="180"/>
      <c r="E3" s="180"/>
      <c r="F3" s="180"/>
      <c r="G3" s="180"/>
      <c r="H3" s="180"/>
      <c r="I3" s="180"/>
      <c r="J3" s="3"/>
      <c r="K3" s="3"/>
      <c r="L3" s="3"/>
    </row>
    <row r="4" spans="1:13" ht="31.5" customHeight="1">
      <c r="A4" s="181" t="s">
        <v>162</v>
      </c>
      <c r="B4" s="181"/>
      <c r="C4" s="181"/>
      <c r="D4" s="181"/>
      <c r="E4" s="181"/>
      <c r="F4" s="181"/>
      <c r="G4" s="181"/>
      <c r="H4" s="181"/>
      <c r="I4" s="181"/>
    </row>
    <row r="5" spans="1:13" ht="15.75">
      <c r="A5" s="180" t="s">
        <v>245</v>
      </c>
      <c r="B5" s="182"/>
      <c r="C5" s="182"/>
      <c r="D5" s="182"/>
      <c r="E5" s="182"/>
      <c r="F5" s="182"/>
      <c r="G5" s="182"/>
      <c r="H5" s="182"/>
      <c r="I5" s="182"/>
      <c r="J5" s="2"/>
      <c r="K5" s="2"/>
      <c r="L5" s="2"/>
      <c r="M5" s="2"/>
    </row>
    <row r="6" spans="1:13" ht="15.75">
      <c r="A6" s="2"/>
      <c r="B6" s="126"/>
      <c r="C6" s="126"/>
      <c r="D6" s="126"/>
      <c r="E6" s="126"/>
      <c r="F6" s="126"/>
      <c r="G6" s="126"/>
      <c r="H6" s="126"/>
      <c r="I6" s="37">
        <v>42551</v>
      </c>
      <c r="J6" s="2"/>
      <c r="K6" s="2"/>
      <c r="L6" s="2"/>
      <c r="M6" s="2"/>
    </row>
    <row r="7" spans="1:13" ht="15.75">
      <c r="B7" s="127"/>
      <c r="C7" s="127"/>
      <c r="D7" s="127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83" t="s">
        <v>175</v>
      </c>
      <c r="B8" s="183"/>
      <c r="C8" s="183"/>
      <c r="D8" s="183"/>
      <c r="E8" s="183"/>
      <c r="F8" s="183"/>
      <c r="G8" s="183"/>
      <c r="H8" s="183"/>
      <c r="I8" s="183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84" t="s">
        <v>176</v>
      </c>
      <c r="B10" s="184"/>
      <c r="C10" s="184"/>
      <c r="D10" s="184"/>
      <c r="E10" s="184"/>
      <c r="F10" s="184"/>
      <c r="G10" s="184"/>
      <c r="H10" s="184"/>
      <c r="I10" s="184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85" t="s">
        <v>60</v>
      </c>
      <c r="B14" s="185"/>
      <c r="C14" s="185"/>
      <c r="D14" s="185"/>
      <c r="E14" s="185"/>
      <c r="F14" s="185"/>
      <c r="G14" s="185"/>
      <c r="H14" s="185"/>
      <c r="I14" s="185"/>
      <c r="J14" s="8"/>
      <c r="K14" s="8"/>
      <c r="L14" s="8"/>
      <c r="M14" s="8"/>
    </row>
    <row r="15" spans="1:13" ht="15" customHeight="1">
      <c r="A15" s="173" t="s">
        <v>4</v>
      </c>
      <c r="B15" s="173"/>
      <c r="C15" s="173"/>
      <c r="D15" s="173"/>
      <c r="E15" s="173"/>
      <c r="F15" s="173"/>
      <c r="G15" s="173"/>
      <c r="H15" s="173"/>
      <c r="I15" s="173"/>
      <c r="J15" s="8"/>
      <c r="K15" s="8"/>
      <c r="L15" s="8"/>
      <c r="M15" s="8"/>
    </row>
    <row r="16" spans="1:13" ht="31.5" customHeight="1">
      <c r="A16" s="36">
        <v>1</v>
      </c>
      <c r="B16" s="141" t="s">
        <v>97</v>
      </c>
      <c r="C16" s="142" t="s">
        <v>98</v>
      </c>
      <c r="D16" s="141" t="s">
        <v>99</v>
      </c>
      <c r="E16" s="143">
        <v>143.78</v>
      </c>
      <c r="F16" s="144">
        <f>SUM(E16*156/100)</f>
        <v>224.29679999999999</v>
      </c>
      <c r="G16" s="144">
        <v>187.48</v>
      </c>
      <c r="H16" s="145">
        <f t="shared" ref="H16:H25" si="0">SUM(F16*G16/1000)</f>
        <v>42.051164063999998</v>
      </c>
      <c r="I16" s="16">
        <f>F16/12*G16</f>
        <v>3504.2636719999996</v>
      </c>
      <c r="J16" s="28"/>
      <c r="K16" s="8"/>
      <c r="L16" s="8"/>
      <c r="M16" s="8"/>
    </row>
    <row r="17" spans="1:13" ht="31.5" customHeight="1">
      <c r="A17" s="36">
        <v>2</v>
      </c>
      <c r="B17" s="141" t="s">
        <v>133</v>
      </c>
      <c r="C17" s="142" t="s">
        <v>98</v>
      </c>
      <c r="D17" s="141" t="s">
        <v>100</v>
      </c>
      <c r="E17" s="143">
        <v>575.125</v>
      </c>
      <c r="F17" s="144">
        <f>SUM(E17*104/100)</f>
        <v>598.13</v>
      </c>
      <c r="G17" s="144">
        <v>187.48</v>
      </c>
      <c r="H17" s="145">
        <f t="shared" si="0"/>
        <v>112.13741239999999</v>
      </c>
      <c r="I17" s="16">
        <f>F17/12*G17</f>
        <v>9344.7843666666668</v>
      </c>
      <c r="J17" s="29"/>
      <c r="K17" s="8"/>
      <c r="L17" s="8"/>
      <c r="M17" s="8"/>
    </row>
    <row r="18" spans="1:13" ht="31.5" customHeight="1">
      <c r="A18" s="36">
        <v>3</v>
      </c>
      <c r="B18" s="141" t="s">
        <v>134</v>
      </c>
      <c r="C18" s="142" t="s">
        <v>98</v>
      </c>
      <c r="D18" s="141" t="s">
        <v>142</v>
      </c>
      <c r="E18" s="143">
        <v>718.9</v>
      </c>
      <c r="F18" s="144">
        <f>SUM(E18*24/100)</f>
        <v>172.53599999999997</v>
      </c>
      <c r="G18" s="144">
        <v>539.51</v>
      </c>
      <c r="H18" s="145">
        <f t="shared" si="0"/>
        <v>93.084897359999985</v>
      </c>
      <c r="I18" s="16">
        <f>F18/12*G18</f>
        <v>7757.074779999999</v>
      </c>
      <c r="J18" s="29"/>
      <c r="K18" s="8"/>
      <c r="L18" s="8"/>
      <c r="M18" s="8"/>
    </row>
    <row r="19" spans="1:13" ht="15.75" hidden="1" customHeight="1">
      <c r="A19" s="36"/>
      <c r="B19" s="141" t="s">
        <v>107</v>
      </c>
      <c r="C19" s="142" t="s">
        <v>108</v>
      </c>
      <c r="D19" s="141" t="s">
        <v>109</v>
      </c>
      <c r="E19" s="143">
        <v>42.2</v>
      </c>
      <c r="F19" s="144">
        <f>SUM(E19/10)</f>
        <v>4.2200000000000006</v>
      </c>
      <c r="G19" s="144">
        <v>181.91</v>
      </c>
      <c r="H19" s="145">
        <f t="shared" si="0"/>
        <v>0.76766020000000013</v>
      </c>
      <c r="I19" s="16">
        <v>0</v>
      </c>
      <c r="J19" s="29"/>
      <c r="K19" s="8"/>
      <c r="L19" s="8"/>
      <c r="M19" s="8"/>
    </row>
    <row r="20" spans="1:13" ht="15.75" customHeight="1">
      <c r="A20" s="36">
        <v>4</v>
      </c>
      <c r="B20" s="141" t="s">
        <v>110</v>
      </c>
      <c r="C20" s="142" t="s">
        <v>98</v>
      </c>
      <c r="D20" s="141" t="s">
        <v>135</v>
      </c>
      <c r="E20" s="143">
        <v>14</v>
      </c>
      <c r="F20" s="144">
        <f>SUM(E20*12/100)</f>
        <v>1.68</v>
      </c>
      <c r="G20" s="144">
        <v>232.92</v>
      </c>
      <c r="H20" s="145">
        <f t="shared" si="0"/>
        <v>0.39130559999999998</v>
      </c>
      <c r="I20" s="16">
        <f>F20/12*G20</f>
        <v>32.608799999999995</v>
      </c>
      <c r="J20" s="29"/>
      <c r="K20" s="8"/>
      <c r="L20" s="8"/>
      <c r="M20" s="8"/>
    </row>
    <row r="21" spans="1:13" ht="15.75" hidden="1" customHeight="1">
      <c r="A21" s="36">
        <v>5</v>
      </c>
      <c r="B21" s="141" t="s">
        <v>111</v>
      </c>
      <c r="C21" s="142" t="s">
        <v>98</v>
      </c>
      <c r="D21" s="141" t="s">
        <v>184</v>
      </c>
      <c r="E21" s="143">
        <v>4.8</v>
      </c>
      <c r="F21" s="144">
        <f>SUM(E21*6/100)</f>
        <v>0.28799999999999998</v>
      </c>
      <c r="G21" s="144">
        <v>231.03</v>
      </c>
      <c r="H21" s="145">
        <f>SUM(F21*G21/1000)</f>
        <v>6.6536639999999994E-2</v>
      </c>
      <c r="I21" s="16">
        <f>F21/6*G21</f>
        <v>11.089439999999998</v>
      </c>
      <c r="J21" s="29"/>
      <c r="K21" s="8"/>
      <c r="L21" s="8"/>
      <c r="M21" s="8"/>
    </row>
    <row r="22" spans="1:13" ht="15.75" hidden="1" customHeight="1">
      <c r="A22" s="36"/>
      <c r="B22" s="141" t="s">
        <v>112</v>
      </c>
      <c r="C22" s="142" t="s">
        <v>53</v>
      </c>
      <c r="D22" s="141" t="s">
        <v>109</v>
      </c>
      <c r="E22" s="143">
        <v>640</v>
      </c>
      <c r="F22" s="144">
        <f>SUM(E22/100)</f>
        <v>6.4</v>
      </c>
      <c r="G22" s="144">
        <v>287.83999999999997</v>
      </c>
      <c r="H22" s="145">
        <f t="shared" si="0"/>
        <v>1.842176</v>
      </c>
      <c r="I22" s="16">
        <v>0</v>
      </c>
      <c r="J22" s="29"/>
      <c r="K22" s="8"/>
      <c r="L22" s="8"/>
      <c r="M22" s="8"/>
    </row>
    <row r="23" spans="1:13" ht="15.75" hidden="1" customHeight="1">
      <c r="A23" s="36"/>
      <c r="B23" s="141" t="s">
        <v>113</v>
      </c>
      <c r="C23" s="142" t="s">
        <v>53</v>
      </c>
      <c r="D23" s="141" t="s">
        <v>109</v>
      </c>
      <c r="E23" s="146">
        <v>48.3</v>
      </c>
      <c r="F23" s="144">
        <f>SUM(E23/100)</f>
        <v>0.48299999999999998</v>
      </c>
      <c r="G23" s="144">
        <v>47.34</v>
      </c>
      <c r="H23" s="145">
        <f t="shared" si="0"/>
        <v>2.2865220000000002E-2</v>
      </c>
      <c r="I23" s="16">
        <v>0</v>
      </c>
      <c r="J23" s="29"/>
      <c r="K23" s="8"/>
      <c r="L23" s="8"/>
      <c r="M23" s="8"/>
    </row>
    <row r="24" spans="1:13" ht="15.75" hidden="1" customHeight="1">
      <c r="A24" s="36"/>
      <c r="B24" s="141" t="s">
        <v>114</v>
      </c>
      <c r="C24" s="142" t="s">
        <v>53</v>
      </c>
      <c r="D24" s="141" t="s">
        <v>54</v>
      </c>
      <c r="E24" s="143">
        <v>20</v>
      </c>
      <c r="F24" s="144">
        <f>E24/100</f>
        <v>0.2</v>
      </c>
      <c r="G24" s="144">
        <v>416.62</v>
      </c>
      <c r="H24" s="145">
        <f t="shared" si="0"/>
        <v>8.3324000000000009E-2</v>
      </c>
      <c r="I24" s="16">
        <v>0</v>
      </c>
      <c r="J24" s="29"/>
      <c r="K24" s="8"/>
      <c r="L24" s="8"/>
      <c r="M24" s="8"/>
    </row>
    <row r="25" spans="1:13" ht="15.75" hidden="1" customHeight="1">
      <c r="A25" s="36"/>
      <c r="B25" s="141" t="s">
        <v>115</v>
      </c>
      <c r="C25" s="142" t="s">
        <v>53</v>
      </c>
      <c r="D25" s="141" t="s">
        <v>54</v>
      </c>
      <c r="E25" s="143">
        <v>8.5</v>
      </c>
      <c r="F25" s="144">
        <f>SUM(E25/100)</f>
        <v>8.5000000000000006E-2</v>
      </c>
      <c r="G25" s="144">
        <v>556.74</v>
      </c>
      <c r="H25" s="145">
        <f t="shared" si="0"/>
        <v>4.7322900000000001E-2</v>
      </c>
      <c r="I25" s="16">
        <v>0</v>
      </c>
      <c r="J25" s="29"/>
      <c r="K25" s="8"/>
      <c r="L25" s="8"/>
      <c r="M25" s="8"/>
    </row>
    <row r="26" spans="1:13" ht="15.75" hidden="1" customHeight="1">
      <c r="A26" s="36"/>
      <c r="B26" s="141" t="s">
        <v>140</v>
      </c>
      <c r="C26" s="142" t="s">
        <v>53</v>
      </c>
      <c r="D26" s="141" t="s">
        <v>54</v>
      </c>
      <c r="E26" s="143">
        <v>19</v>
      </c>
      <c r="F26" s="144">
        <f>E26/100</f>
        <v>0.19</v>
      </c>
      <c r="G26" s="144">
        <v>231.03</v>
      </c>
      <c r="H26" s="145">
        <f>G26*F26/1000</f>
        <v>4.3895699999999996E-2</v>
      </c>
      <c r="I26" s="16">
        <v>0</v>
      </c>
      <c r="J26" s="29"/>
      <c r="K26" s="8"/>
      <c r="L26" s="8"/>
      <c r="M26" s="8"/>
    </row>
    <row r="27" spans="1:13" ht="15.75" customHeight="1">
      <c r="A27" s="36">
        <v>5</v>
      </c>
      <c r="B27" s="141" t="s">
        <v>66</v>
      </c>
      <c r="C27" s="142" t="s">
        <v>33</v>
      </c>
      <c r="D27" s="141" t="s">
        <v>136</v>
      </c>
      <c r="E27" s="143">
        <v>0.1</v>
      </c>
      <c r="F27" s="144">
        <f>SUM(E27*365)</f>
        <v>36.5</v>
      </c>
      <c r="G27" s="144">
        <v>157.18</v>
      </c>
      <c r="H27" s="145">
        <f>SUM(F27*G27/1000)</f>
        <v>5.737070000000001</v>
      </c>
      <c r="I27" s="16">
        <f>F27/12*G27</f>
        <v>478.08916666666664</v>
      </c>
      <c r="J27" s="30"/>
    </row>
    <row r="28" spans="1:13" ht="15.75" customHeight="1">
      <c r="A28" s="36">
        <v>6</v>
      </c>
      <c r="B28" s="149" t="s">
        <v>23</v>
      </c>
      <c r="C28" s="142" t="s">
        <v>24</v>
      </c>
      <c r="D28" s="149" t="s">
        <v>153</v>
      </c>
      <c r="E28" s="143">
        <v>4731.7</v>
      </c>
      <c r="F28" s="144">
        <f>SUM(E28*12)</f>
        <v>56780.399999999994</v>
      </c>
      <c r="G28" s="144">
        <v>4.72</v>
      </c>
      <c r="H28" s="145">
        <f>SUM(F28*G28/1000)</f>
        <v>268.00348799999995</v>
      </c>
      <c r="I28" s="16">
        <f>F28/12*G28</f>
        <v>22333.623999999996</v>
      </c>
      <c r="J28" s="30"/>
    </row>
    <row r="29" spans="1:13" ht="15" customHeight="1">
      <c r="A29" s="173" t="s">
        <v>93</v>
      </c>
      <c r="B29" s="173"/>
      <c r="C29" s="173"/>
      <c r="D29" s="173"/>
      <c r="E29" s="173"/>
      <c r="F29" s="173"/>
      <c r="G29" s="173"/>
      <c r="H29" s="173"/>
      <c r="I29" s="173"/>
      <c r="J29" s="29"/>
      <c r="K29" s="8"/>
      <c r="L29" s="8"/>
      <c r="M29" s="8"/>
    </row>
    <row r="30" spans="1:13" ht="15.75" customHeight="1">
      <c r="A30" s="36"/>
      <c r="B30" s="189" t="s">
        <v>28</v>
      </c>
      <c r="C30" s="142"/>
      <c r="D30" s="141"/>
      <c r="E30" s="143"/>
      <c r="F30" s="144"/>
      <c r="G30" s="144"/>
      <c r="H30" s="145"/>
      <c r="I30" s="16"/>
      <c r="J30" s="29"/>
      <c r="K30" s="8"/>
      <c r="L30" s="8"/>
      <c r="M30" s="8"/>
    </row>
    <row r="31" spans="1:13" ht="31.5" customHeight="1">
      <c r="A31" s="36">
        <v>7</v>
      </c>
      <c r="B31" s="141" t="s">
        <v>119</v>
      </c>
      <c r="C31" s="142" t="s">
        <v>102</v>
      </c>
      <c r="D31" s="141" t="s">
        <v>116</v>
      </c>
      <c r="E31" s="144">
        <v>512.5</v>
      </c>
      <c r="F31" s="144">
        <f>SUM(E31*52/1000)</f>
        <v>26.65</v>
      </c>
      <c r="G31" s="144">
        <v>166.65</v>
      </c>
      <c r="H31" s="145">
        <f t="shared" ref="H31:H37" si="1">SUM(F31*G31/1000)</f>
        <v>4.4412225000000003</v>
      </c>
      <c r="I31" s="16">
        <f>F31/6*G31</f>
        <v>740.20375000000001</v>
      </c>
      <c r="J31" s="29"/>
      <c r="K31" s="8"/>
      <c r="L31" s="8"/>
      <c r="M31" s="8"/>
    </row>
    <row r="32" spans="1:13" ht="31.5" customHeight="1">
      <c r="A32" s="36">
        <v>8</v>
      </c>
      <c r="B32" s="141" t="s">
        <v>137</v>
      </c>
      <c r="C32" s="142" t="s">
        <v>102</v>
      </c>
      <c r="D32" s="141" t="s">
        <v>117</v>
      </c>
      <c r="E32" s="144">
        <v>316.27</v>
      </c>
      <c r="F32" s="144">
        <f>SUM(E32*78/1000)</f>
        <v>24.669059999999998</v>
      </c>
      <c r="G32" s="144">
        <v>276.48</v>
      </c>
      <c r="H32" s="145">
        <f t="shared" si="1"/>
        <v>6.8205017087999993</v>
      </c>
      <c r="I32" s="16">
        <f t="shared" ref="I32:I35" si="2">F32/6*G32</f>
        <v>1136.7502848000001</v>
      </c>
      <c r="J32" s="29"/>
      <c r="K32" s="8"/>
      <c r="L32" s="8"/>
      <c r="M32" s="8"/>
    </row>
    <row r="33" spans="1:14" ht="15.75" hidden="1" customHeight="1">
      <c r="A33" s="36"/>
      <c r="B33" s="141" t="s">
        <v>27</v>
      </c>
      <c r="C33" s="142" t="s">
        <v>102</v>
      </c>
      <c r="D33" s="141" t="s">
        <v>54</v>
      </c>
      <c r="E33" s="144">
        <v>512.5</v>
      </c>
      <c r="F33" s="144">
        <f>SUM(E33/1000)</f>
        <v>0.51249999999999996</v>
      </c>
      <c r="G33" s="144">
        <v>3228.73</v>
      </c>
      <c r="H33" s="145">
        <f t="shared" si="1"/>
        <v>1.654724125</v>
      </c>
      <c r="I33" s="16">
        <f>F33*G33</f>
        <v>1654.724125</v>
      </c>
      <c r="J33" s="29"/>
      <c r="K33" s="8"/>
      <c r="L33" s="8"/>
      <c r="M33" s="8"/>
    </row>
    <row r="34" spans="1:14" ht="15.75" customHeight="1">
      <c r="A34" s="36">
        <v>9</v>
      </c>
      <c r="B34" s="141" t="s">
        <v>154</v>
      </c>
      <c r="C34" s="142" t="s">
        <v>39</v>
      </c>
      <c r="D34" s="141" t="s">
        <v>65</v>
      </c>
      <c r="E34" s="144">
        <v>4</v>
      </c>
      <c r="F34" s="144">
        <f>E34*155/100</f>
        <v>6.2</v>
      </c>
      <c r="G34" s="144">
        <v>1391.86</v>
      </c>
      <c r="H34" s="145">
        <f>G34*F34/1000</f>
        <v>8.6295319999999993</v>
      </c>
      <c r="I34" s="16">
        <f t="shared" si="2"/>
        <v>1438.2553333333333</v>
      </c>
      <c r="J34" s="29"/>
      <c r="K34" s="8"/>
    </row>
    <row r="35" spans="1:14" ht="15.75" customHeight="1">
      <c r="A35" s="36">
        <v>10</v>
      </c>
      <c r="B35" s="141" t="s">
        <v>118</v>
      </c>
      <c r="C35" s="142" t="s">
        <v>31</v>
      </c>
      <c r="D35" s="141" t="s">
        <v>65</v>
      </c>
      <c r="E35" s="148">
        <v>0.33333333333333331</v>
      </c>
      <c r="F35" s="144">
        <f>155/3</f>
        <v>51.666666666666664</v>
      </c>
      <c r="G35" s="144">
        <v>60.6</v>
      </c>
      <c r="H35" s="145">
        <f>SUM(G35*155/3/1000)</f>
        <v>3.1309999999999998</v>
      </c>
      <c r="I35" s="16">
        <f t="shared" si="2"/>
        <v>521.83333333333337</v>
      </c>
      <c r="J35" s="30"/>
    </row>
    <row r="36" spans="1:14" ht="15.75" hidden="1" customHeight="1">
      <c r="A36" s="36"/>
      <c r="B36" s="141" t="s">
        <v>67</v>
      </c>
      <c r="C36" s="142" t="s">
        <v>33</v>
      </c>
      <c r="D36" s="141" t="s">
        <v>69</v>
      </c>
      <c r="E36" s="143"/>
      <c r="F36" s="144">
        <v>3</v>
      </c>
      <c r="G36" s="144">
        <v>204.52</v>
      </c>
      <c r="H36" s="145">
        <f t="shared" si="1"/>
        <v>0.61356000000000011</v>
      </c>
      <c r="I36" s="16">
        <v>0</v>
      </c>
      <c r="J36" s="30"/>
    </row>
    <row r="37" spans="1:14" ht="15.75" hidden="1" customHeight="1">
      <c r="A37" s="36"/>
      <c r="B37" s="141" t="s">
        <v>68</v>
      </c>
      <c r="C37" s="142" t="s">
        <v>32</v>
      </c>
      <c r="D37" s="141" t="s">
        <v>69</v>
      </c>
      <c r="E37" s="143"/>
      <c r="F37" s="144">
        <v>2</v>
      </c>
      <c r="G37" s="144">
        <v>1214.73</v>
      </c>
      <c r="H37" s="145">
        <f t="shared" si="1"/>
        <v>2.4294600000000002</v>
      </c>
      <c r="I37" s="16">
        <v>0</v>
      </c>
      <c r="J37" s="30"/>
    </row>
    <row r="38" spans="1:14" ht="15.75" hidden="1" customHeight="1">
      <c r="A38" s="36"/>
      <c r="B38" s="189" t="s">
        <v>5</v>
      </c>
      <c r="C38" s="142"/>
      <c r="D38" s="141"/>
      <c r="E38" s="143"/>
      <c r="F38" s="144"/>
      <c r="G38" s="144"/>
      <c r="H38" s="145" t="s">
        <v>153</v>
      </c>
      <c r="I38" s="16"/>
      <c r="J38" s="30"/>
    </row>
    <row r="39" spans="1:14" ht="15.75" hidden="1" customHeight="1">
      <c r="A39" s="36">
        <v>8</v>
      </c>
      <c r="B39" s="141" t="s">
        <v>26</v>
      </c>
      <c r="C39" s="142" t="s">
        <v>32</v>
      </c>
      <c r="D39" s="141"/>
      <c r="E39" s="143"/>
      <c r="F39" s="144">
        <v>5</v>
      </c>
      <c r="G39" s="144">
        <v>1632.6</v>
      </c>
      <c r="H39" s="145">
        <f t="shared" ref="H39:H45" si="3">SUM(F39*G39/1000)</f>
        <v>8.1630000000000003</v>
      </c>
      <c r="I39" s="16">
        <f>F39/6*G39</f>
        <v>1360.5</v>
      </c>
      <c r="J39" s="30"/>
      <c r="L39" s="25"/>
      <c r="M39" s="26"/>
      <c r="N39" s="27"/>
    </row>
    <row r="40" spans="1:14" ht="15.75" hidden="1" customHeight="1">
      <c r="A40" s="36">
        <v>9</v>
      </c>
      <c r="B40" s="141" t="s">
        <v>120</v>
      </c>
      <c r="C40" s="142" t="s">
        <v>29</v>
      </c>
      <c r="D40" s="141" t="s">
        <v>146</v>
      </c>
      <c r="E40" s="143">
        <v>228.38</v>
      </c>
      <c r="F40" s="144">
        <f>E40*30/1000</f>
        <v>6.8513999999999999</v>
      </c>
      <c r="G40" s="144">
        <v>2247.8000000000002</v>
      </c>
      <c r="H40" s="145">
        <f>G40*F40/1000</f>
        <v>15.400576920000001</v>
      </c>
      <c r="I40" s="16">
        <f>F40/6*G40</f>
        <v>2566.7628199999999</v>
      </c>
      <c r="J40" s="30"/>
      <c r="L40" s="25"/>
      <c r="M40" s="26"/>
      <c r="N40" s="27"/>
    </row>
    <row r="41" spans="1:14" ht="15.75" hidden="1" customHeight="1">
      <c r="A41" s="36">
        <v>10</v>
      </c>
      <c r="B41" s="141" t="s">
        <v>144</v>
      </c>
      <c r="C41" s="142" t="s">
        <v>145</v>
      </c>
      <c r="D41" s="141" t="s">
        <v>69</v>
      </c>
      <c r="E41" s="143"/>
      <c r="F41" s="144">
        <v>120</v>
      </c>
      <c r="G41" s="144">
        <v>213.2</v>
      </c>
      <c r="H41" s="145">
        <f>G41*F41/1000</f>
        <v>25.584</v>
      </c>
      <c r="I41" s="16">
        <f>G41*12</f>
        <v>2558.3999999999996</v>
      </c>
      <c r="J41" s="30"/>
      <c r="L41" s="25"/>
      <c r="M41" s="26"/>
      <c r="N41" s="27"/>
    </row>
    <row r="42" spans="1:14" ht="15.75" hidden="1" customHeight="1">
      <c r="A42" s="36">
        <v>11</v>
      </c>
      <c r="B42" s="141" t="s">
        <v>70</v>
      </c>
      <c r="C42" s="142" t="s">
        <v>29</v>
      </c>
      <c r="D42" s="141" t="s">
        <v>101</v>
      </c>
      <c r="E42" s="144">
        <v>233.71</v>
      </c>
      <c r="F42" s="144">
        <f>SUM(E42*155/1000)</f>
        <v>36.225050000000003</v>
      </c>
      <c r="G42" s="144">
        <v>374.95</v>
      </c>
      <c r="H42" s="145">
        <f t="shared" si="3"/>
        <v>13.582582497500001</v>
      </c>
      <c r="I42" s="16">
        <f>F42/6*G42</f>
        <v>2263.7637495833337</v>
      </c>
      <c r="J42" s="30"/>
      <c r="L42" s="25"/>
      <c r="M42" s="26"/>
      <c r="N42" s="27"/>
    </row>
    <row r="43" spans="1:14" ht="47.25" hidden="1" customHeight="1">
      <c r="A43" s="36">
        <v>12</v>
      </c>
      <c r="B43" s="141" t="s">
        <v>88</v>
      </c>
      <c r="C43" s="142" t="s">
        <v>102</v>
      </c>
      <c r="D43" s="141" t="s">
        <v>147</v>
      </c>
      <c r="E43" s="144">
        <v>54.4</v>
      </c>
      <c r="F43" s="144">
        <f>SUM(E43*35/1000)</f>
        <v>1.9039999999999999</v>
      </c>
      <c r="G43" s="144">
        <v>6203.7</v>
      </c>
      <c r="H43" s="145">
        <f t="shared" si="3"/>
        <v>11.811844799999999</v>
      </c>
      <c r="I43" s="16">
        <f>F43/6*G43</f>
        <v>1968.6407999999997</v>
      </c>
      <c r="J43" s="30"/>
      <c r="L43" s="25"/>
      <c r="M43" s="26"/>
      <c r="N43" s="27"/>
    </row>
    <row r="44" spans="1:14" ht="15.75" hidden="1" customHeight="1">
      <c r="A44" s="36">
        <v>13</v>
      </c>
      <c r="B44" s="141" t="s">
        <v>103</v>
      </c>
      <c r="C44" s="142" t="s">
        <v>102</v>
      </c>
      <c r="D44" s="141" t="s">
        <v>71</v>
      </c>
      <c r="E44" s="144">
        <v>228.38</v>
      </c>
      <c r="F44" s="144">
        <f>SUM(E44*45/1000)</f>
        <v>10.277100000000001</v>
      </c>
      <c r="G44" s="144">
        <v>458.28</v>
      </c>
      <c r="H44" s="145">
        <f t="shared" si="3"/>
        <v>4.7097893879999999</v>
      </c>
      <c r="I44" s="16">
        <f>F44/6*G44</f>
        <v>784.96489800000006</v>
      </c>
      <c r="J44" s="30"/>
      <c r="L44" s="25"/>
      <c r="M44" s="26"/>
      <c r="N44" s="27"/>
    </row>
    <row r="45" spans="1:14" ht="15.75" hidden="1" customHeight="1">
      <c r="A45" s="36">
        <v>14</v>
      </c>
      <c r="B45" s="141" t="s">
        <v>72</v>
      </c>
      <c r="C45" s="142" t="s">
        <v>33</v>
      </c>
      <c r="D45" s="141"/>
      <c r="E45" s="143"/>
      <c r="F45" s="144">
        <v>1.8</v>
      </c>
      <c r="G45" s="144">
        <v>853.06</v>
      </c>
      <c r="H45" s="145">
        <f t="shared" si="3"/>
        <v>1.5355080000000001</v>
      </c>
      <c r="I45" s="16">
        <f>F45/6*G45</f>
        <v>255.91799999999998</v>
      </c>
      <c r="J45" s="30"/>
      <c r="L45" s="25"/>
      <c r="M45" s="26"/>
      <c r="N45" s="27"/>
    </row>
    <row r="46" spans="1:14" ht="15" hidden="1" customHeight="1">
      <c r="A46" s="174" t="s">
        <v>177</v>
      </c>
      <c r="B46" s="175"/>
      <c r="C46" s="175"/>
      <c r="D46" s="175"/>
      <c r="E46" s="175"/>
      <c r="F46" s="175"/>
      <c r="G46" s="175"/>
      <c r="H46" s="175"/>
      <c r="I46" s="176"/>
      <c r="J46" s="30"/>
      <c r="L46" s="25"/>
      <c r="M46" s="26"/>
      <c r="N46" s="27"/>
    </row>
    <row r="47" spans="1:14" ht="15.75" hidden="1" customHeight="1">
      <c r="A47" s="36"/>
      <c r="B47" s="141" t="s">
        <v>148</v>
      </c>
      <c r="C47" s="142" t="s">
        <v>102</v>
      </c>
      <c r="D47" s="141" t="s">
        <v>41</v>
      </c>
      <c r="E47" s="143">
        <v>1320.9</v>
      </c>
      <c r="F47" s="144">
        <f>SUM(E47*2/1000)</f>
        <v>2.6418000000000004</v>
      </c>
      <c r="G47" s="16">
        <v>908.11</v>
      </c>
      <c r="H47" s="145">
        <f t="shared" ref="H47:H55" si="4">SUM(F47*G47/1000)</f>
        <v>2.3990449980000004</v>
      </c>
      <c r="I47" s="16">
        <v>0</v>
      </c>
      <c r="J47" s="30"/>
      <c r="L47" s="25"/>
      <c r="M47" s="26"/>
      <c r="N47" s="27"/>
    </row>
    <row r="48" spans="1:14" ht="15.75" hidden="1" customHeight="1">
      <c r="A48" s="36"/>
      <c r="B48" s="141" t="s">
        <v>34</v>
      </c>
      <c r="C48" s="142" t="s">
        <v>102</v>
      </c>
      <c r="D48" s="141" t="s">
        <v>41</v>
      </c>
      <c r="E48" s="143">
        <v>52</v>
      </c>
      <c r="F48" s="144">
        <f>E48*2/1000</f>
        <v>0.104</v>
      </c>
      <c r="G48" s="16">
        <v>619.46</v>
      </c>
      <c r="H48" s="145">
        <f t="shared" si="4"/>
        <v>6.4423839999999996E-2</v>
      </c>
      <c r="I48" s="16">
        <v>0</v>
      </c>
      <c r="J48" s="30"/>
      <c r="L48" s="25"/>
      <c r="M48" s="26"/>
      <c r="N48" s="27"/>
    </row>
    <row r="49" spans="1:22" ht="15.75" hidden="1" customHeight="1">
      <c r="A49" s="36"/>
      <c r="B49" s="141" t="s">
        <v>35</v>
      </c>
      <c r="C49" s="142" t="s">
        <v>102</v>
      </c>
      <c r="D49" s="141" t="s">
        <v>41</v>
      </c>
      <c r="E49" s="143">
        <v>1520.8</v>
      </c>
      <c r="F49" s="144">
        <f>SUM(E49*2/1000)</f>
        <v>3.0415999999999999</v>
      </c>
      <c r="G49" s="16">
        <v>619.46</v>
      </c>
      <c r="H49" s="145">
        <f t="shared" si="4"/>
        <v>1.8841495360000002</v>
      </c>
      <c r="I49" s="16">
        <v>0</v>
      </c>
      <c r="J49" s="30"/>
      <c r="L49" s="25"/>
      <c r="M49" s="26"/>
      <c r="N49" s="27"/>
    </row>
    <row r="50" spans="1:22" ht="15.75" hidden="1" customHeight="1">
      <c r="A50" s="36"/>
      <c r="B50" s="141" t="s">
        <v>36</v>
      </c>
      <c r="C50" s="142" t="s">
        <v>102</v>
      </c>
      <c r="D50" s="141" t="s">
        <v>41</v>
      </c>
      <c r="E50" s="143">
        <v>3433.81</v>
      </c>
      <c r="F50" s="144">
        <f>SUM(E50*2/1000)</f>
        <v>6.8676199999999996</v>
      </c>
      <c r="G50" s="16">
        <v>648.64</v>
      </c>
      <c r="H50" s="145">
        <f t="shared" si="4"/>
        <v>4.4546130367999996</v>
      </c>
      <c r="I50" s="16">
        <v>0</v>
      </c>
      <c r="J50" s="30"/>
      <c r="L50" s="25"/>
      <c r="M50" s="26"/>
      <c r="N50" s="27"/>
    </row>
    <row r="51" spans="1:22" ht="15.75" hidden="1" customHeight="1">
      <c r="A51" s="36">
        <v>15</v>
      </c>
      <c r="B51" s="141" t="s">
        <v>57</v>
      </c>
      <c r="C51" s="142" t="s">
        <v>102</v>
      </c>
      <c r="D51" s="141" t="s">
        <v>225</v>
      </c>
      <c r="E51" s="143">
        <v>2641.8</v>
      </c>
      <c r="F51" s="144">
        <f>SUM(E51*5/1000)</f>
        <v>13.209</v>
      </c>
      <c r="G51" s="16">
        <v>1297.28</v>
      </c>
      <c r="H51" s="145">
        <f t="shared" si="4"/>
        <v>17.135771519999999</v>
      </c>
      <c r="I51" s="16">
        <f>F51/5*G51</f>
        <v>3427.1543039999997</v>
      </c>
      <c r="J51" s="30"/>
      <c r="L51" s="25"/>
      <c r="M51" s="26"/>
      <c r="N51" s="27"/>
    </row>
    <row r="52" spans="1:22" ht="31.5" hidden="1" customHeight="1">
      <c r="A52" s="36"/>
      <c r="B52" s="141" t="s">
        <v>104</v>
      </c>
      <c r="C52" s="142" t="s">
        <v>102</v>
      </c>
      <c r="D52" s="141" t="s">
        <v>41</v>
      </c>
      <c r="E52" s="143">
        <v>2641.8</v>
      </c>
      <c r="F52" s="144">
        <f>SUM(E52*2/1000)</f>
        <v>5.2836000000000007</v>
      </c>
      <c r="G52" s="16">
        <v>1297.28</v>
      </c>
      <c r="H52" s="145">
        <f t="shared" si="4"/>
        <v>6.8543086080000011</v>
      </c>
      <c r="I52" s="16">
        <v>0</v>
      </c>
      <c r="J52" s="30"/>
      <c r="L52" s="25"/>
      <c r="M52" s="26"/>
      <c r="N52" s="27"/>
    </row>
    <row r="53" spans="1:22" ht="31.5" hidden="1" customHeight="1">
      <c r="A53" s="36"/>
      <c r="B53" s="141" t="s">
        <v>105</v>
      </c>
      <c r="C53" s="142" t="s">
        <v>37</v>
      </c>
      <c r="D53" s="141" t="s">
        <v>41</v>
      </c>
      <c r="E53" s="143">
        <v>20</v>
      </c>
      <c r="F53" s="144">
        <f>SUM(E53*2/100)</f>
        <v>0.4</v>
      </c>
      <c r="G53" s="16">
        <v>2918.89</v>
      </c>
      <c r="H53" s="145">
        <f>SUM(F53*G53/1000)</f>
        <v>1.167556</v>
      </c>
      <c r="I53" s="16">
        <v>0</v>
      </c>
      <c r="J53" s="30"/>
      <c r="L53" s="25"/>
      <c r="M53" s="26"/>
      <c r="N53" s="27"/>
    </row>
    <row r="54" spans="1:22" ht="15.75" hidden="1" customHeight="1">
      <c r="A54" s="36"/>
      <c r="B54" s="141" t="s">
        <v>38</v>
      </c>
      <c r="C54" s="142" t="s">
        <v>39</v>
      </c>
      <c r="D54" s="141" t="s">
        <v>41</v>
      </c>
      <c r="E54" s="143">
        <v>1</v>
      </c>
      <c r="F54" s="144">
        <v>0.02</v>
      </c>
      <c r="G54" s="16">
        <v>6042.12</v>
      </c>
      <c r="H54" s="145">
        <f t="shared" si="4"/>
        <v>0.1208424</v>
      </c>
      <c r="I54" s="16">
        <v>0</v>
      </c>
      <c r="J54" s="30"/>
      <c r="L54" s="25"/>
      <c r="M54" s="26"/>
      <c r="N54" s="27"/>
    </row>
    <row r="55" spans="1:22" ht="15.75" hidden="1" customHeight="1">
      <c r="A55" s="36">
        <v>16</v>
      </c>
      <c r="B55" s="141" t="s">
        <v>40</v>
      </c>
      <c r="C55" s="142" t="s">
        <v>122</v>
      </c>
      <c r="D55" s="141" t="s">
        <v>73</v>
      </c>
      <c r="E55" s="143">
        <v>160</v>
      </c>
      <c r="F55" s="144">
        <f>SUM(E55)*3</f>
        <v>480</v>
      </c>
      <c r="G55" s="16">
        <v>70.209999999999994</v>
      </c>
      <c r="H55" s="145">
        <f t="shared" si="4"/>
        <v>33.700799999999994</v>
      </c>
      <c r="I55" s="16">
        <f>E55*G55</f>
        <v>11233.599999999999</v>
      </c>
      <c r="J55" s="30"/>
      <c r="L55" s="25"/>
      <c r="M55" s="26"/>
      <c r="N55" s="27"/>
    </row>
    <row r="56" spans="1:22" ht="15.75" customHeight="1">
      <c r="A56" s="174" t="s">
        <v>181</v>
      </c>
      <c r="B56" s="175"/>
      <c r="C56" s="175"/>
      <c r="D56" s="175"/>
      <c r="E56" s="175"/>
      <c r="F56" s="175"/>
      <c r="G56" s="175"/>
      <c r="H56" s="175"/>
      <c r="I56" s="176"/>
      <c r="J56" s="30"/>
      <c r="L56" s="25"/>
      <c r="M56" s="26"/>
      <c r="N56" s="27"/>
    </row>
    <row r="57" spans="1:22" ht="15.75" hidden="1" customHeight="1">
      <c r="A57" s="36"/>
      <c r="B57" s="189" t="s">
        <v>42</v>
      </c>
      <c r="C57" s="142"/>
      <c r="D57" s="141"/>
      <c r="E57" s="143"/>
      <c r="F57" s="144"/>
      <c r="G57" s="144"/>
      <c r="H57" s="145"/>
      <c r="I57" s="16"/>
      <c r="J57" s="30"/>
      <c r="L57" s="25"/>
      <c r="M57" s="26"/>
      <c r="N57" s="27"/>
    </row>
    <row r="58" spans="1:22" ht="31.5" hidden="1" customHeight="1">
      <c r="A58" s="36">
        <v>17</v>
      </c>
      <c r="B58" s="141" t="s">
        <v>149</v>
      </c>
      <c r="C58" s="142" t="s">
        <v>98</v>
      </c>
      <c r="D58" s="141" t="s">
        <v>123</v>
      </c>
      <c r="E58" s="143">
        <v>155.09</v>
      </c>
      <c r="F58" s="144">
        <f>SUM(E58*6/100)</f>
        <v>9.3053999999999988</v>
      </c>
      <c r="G58" s="16">
        <v>1654.04</v>
      </c>
      <c r="H58" s="145">
        <f>SUM(F58*G58/1000)</f>
        <v>15.391503815999998</v>
      </c>
      <c r="I58" s="16">
        <f>F58/6*G58</f>
        <v>2565.2506359999993</v>
      </c>
      <c r="J58" s="30"/>
      <c r="L58" s="25"/>
      <c r="M58" s="26"/>
      <c r="N58" s="27"/>
    </row>
    <row r="59" spans="1:22" ht="15.75" hidden="1" customHeight="1">
      <c r="A59" s="36">
        <v>18</v>
      </c>
      <c r="B59" s="141" t="s">
        <v>150</v>
      </c>
      <c r="C59" s="142" t="s">
        <v>98</v>
      </c>
      <c r="D59" s="141" t="s">
        <v>123</v>
      </c>
      <c r="E59" s="143">
        <v>3.8</v>
      </c>
      <c r="F59" s="144">
        <f>SUM(E59*6/100)</f>
        <v>0.22799999999999998</v>
      </c>
      <c r="G59" s="16">
        <v>1654.04</v>
      </c>
      <c r="H59" s="145">
        <f>SUM(F59*G59/1000)</f>
        <v>0.37712111999999998</v>
      </c>
      <c r="I59" s="16">
        <f>F59/6*G59</f>
        <v>62.853519999999996</v>
      </c>
      <c r="J59" s="30"/>
      <c r="L59" s="25"/>
    </row>
    <row r="60" spans="1:22" ht="15.75" hidden="1" customHeight="1">
      <c r="A60" s="36">
        <v>19</v>
      </c>
      <c r="B60" s="150" t="s">
        <v>151</v>
      </c>
      <c r="C60" s="151" t="s">
        <v>152</v>
      </c>
      <c r="D60" s="150" t="s">
        <v>41</v>
      </c>
      <c r="E60" s="152">
        <v>4</v>
      </c>
      <c r="F60" s="153">
        <v>0.8</v>
      </c>
      <c r="G60" s="16">
        <v>193.23</v>
      </c>
      <c r="H60" s="145">
        <f t="shared" ref="H60:H61" si="5">SUM(F60*G60/1000)</f>
        <v>0.154584</v>
      </c>
      <c r="I60" s="16">
        <f>F60/2*G60</f>
        <v>77.292000000000002</v>
      </c>
    </row>
    <row r="61" spans="1:22" ht="15.75" hidden="1" customHeight="1">
      <c r="A61" s="36"/>
      <c r="B61" s="150" t="s">
        <v>44</v>
      </c>
      <c r="C61" s="151" t="s">
        <v>53</v>
      </c>
      <c r="D61" s="150" t="s">
        <v>54</v>
      </c>
      <c r="E61" s="152">
        <v>1320.9</v>
      </c>
      <c r="F61" s="153">
        <f>E61/100</f>
        <v>13.209000000000001</v>
      </c>
      <c r="G61" s="16">
        <v>505.2</v>
      </c>
      <c r="H61" s="145">
        <f t="shared" si="5"/>
        <v>6.6731868000000008</v>
      </c>
      <c r="I61" s="16">
        <v>0</v>
      </c>
    </row>
    <row r="62" spans="1:22" ht="15.75" customHeight="1">
      <c r="A62" s="36"/>
      <c r="B62" s="190" t="s">
        <v>43</v>
      </c>
      <c r="C62" s="151"/>
      <c r="D62" s="150"/>
      <c r="E62" s="152"/>
      <c r="F62" s="153"/>
      <c r="G62" s="16"/>
      <c r="H62" s="154"/>
      <c r="I62" s="16"/>
    </row>
    <row r="63" spans="1:22" ht="15.75" hidden="1" customHeight="1">
      <c r="A63" s="36"/>
      <c r="B63" s="150" t="s">
        <v>44</v>
      </c>
      <c r="C63" s="151" t="s">
        <v>53</v>
      </c>
      <c r="D63" s="150" t="s">
        <v>54</v>
      </c>
      <c r="E63" s="152">
        <v>1238</v>
      </c>
      <c r="F63" s="153">
        <f>E63/100</f>
        <v>12.38</v>
      </c>
      <c r="G63" s="16">
        <v>848.37</v>
      </c>
      <c r="H63" s="154">
        <f>F63*G63/1000</f>
        <v>10.502820600000002</v>
      </c>
      <c r="I63" s="16">
        <v>0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.75" customHeight="1">
      <c r="A64" s="36">
        <v>11</v>
      </c>
      <c r="B64" s="150" t="s">
        <v>139</v>
      </c>
      <c r="C64" s="151" t="s">
        <v>25</v>
      </c>
      <c r="D64" s="150" t="s">
        <v>30</v>
      </c>
      <c r="E64" s="152">
        <v>238</v>
      </c>
      <c r="F64" s="155">
        <f>E64*12</f>
        <v>2856</v>
      </c>
      <c r="G64" s="135">
        <v>2.6</v>
      </c>
      <c r="H64" s="153">
        <f>F64*G64/1000</f>
        <v>7.4256000000000002</v>
      </c>
      <c r="I64" s="16">
        <f>F64/12*G64</f>
        <v>618.80000000000007</v>
      </c>
      <c r="J64" s="32"/>
      <c r="K64" s="32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customHeight="1">
      <c r="A65" s="36"/>
      <c r="B65" s="190" t="s">
        <v>45</v>
      </c>
      <c r="C65" s="151"/>
      <c r="D65" s="150"/>
      <c r="E65" s="152"/>
      <c r="F65" s="155"/>
      <c r="G65" s="155"/>
      <c r="H65" s="153" t="s">
        <v>153</v>
      </c>
      <c r="I65" s="16"/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customHeight="1">
      <c r="A66" s="36">
        <v>12</v>
      </c>
      <c r="B66" s="18" t="s">
        <v>46</v>
      </c>
      <c r="C66" s="20" t="s">
        <v>122</v>
      </c>
      <c r="D66" s="18" t="s">
        <v>69</v>
      </c>
      <c r="E66" s="23">
        <v>8</v>
      </c>
      <c r="F66" s="144">
        <v>8</v>
      </c>
      <c r="G66" s="16">
        <v>237.74</v>
      </c>
      <c r="H66" s="156">
        <f t="shared" ref="H66:H79" si="6">SUM(F66*G66/1000)</f>
        <v>1.9019200000000001</v>
      </c>
      <c r="I66" s="16">
        <f>G66*2</f>
        <v>475.48</v>
      </c>
      <c r="J66" s="5"/>
      <c r="K66" s="5"/>
      <c r="L66" s="5"/>
      <c r="M66" s="5"/>
      <c r="N66" s="5"/>
      <c r="O66" s="5"/>
      <c r="P66" s="5"/>
      <c r="Q66" s="5"/>
      <c r="R66" s="167"/>
      <c r="S66" s="167"/>
      <c r="T66" s="167"/>
      <c r="U66" s="167"/>
    </row>
    <row r="67" spans="1:21" ht="15.75" hidden="1" customHeight="1">
      <c r="A67" s="36"/>
      <c r="B67" s="18" t="s">
        <v>47</v>
      </c>
      <c r="C67" s="20" t="s">
        <v>122</v>
      </c>
      <c r="D67" s="18" t="s">
        <v>69</v>
      </c>
      <c r="E67" s="23">
        <v>3</v>
      </c>
      <c r="F67" s="144">
        <v>3</v>
      </c>
      <c r="G67" s="16">
        <v>81.510000000000005</v>
      </c>
      <c r="H67" s="156">
        <f t="shared" si="6"/>
        <v>0.24453000000000003</v>
      </c>
      <c r="I67" s="16">
        <v>0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ht="15.75" hidden="1" customHeight="1">
      <c r="A68" s="36"/>
      <c r="B68" s="18" t="s">
        <v>48</v>
      </c>
      <c r="C68" s="20" t="s">
        <v>124</v>
      </c>
      <c r="D68" s="18" t="s">
        <v>54</v>
      </c>
      <c r="E68" s="143">
        <v>19836</v>
      </c>
      <c r="F68" s="16">
        <f>SUM(E68/100)</f>
        <v>198.36</v>
      </c>
      <c r="G68" s="16">
        <v>226.79</v>
      </c>
      <c r="H68" s="156">
        <f t="shared" si="6"/>
        <v>44.986064400000004</v>
      </c>
      <c r="I68" s="16">
        <f>F68*G68</f>
        <v>44986.064400000003</v>
      </c>
    </row>
    <row r="69" spans="1:21" ht="15.75" hidden="1" customHeight="1">
      <c r="A69" s="36"/>
      <c r="B69" s="18" t="s">
        <v>49</v>
      </c>
      <c r="C69" s="20" t="s">
        <v>125</v>
      </c>
      <c r="D69" s="18"/>
      <c r="E69" s="143">
        <v>19836</v>
      </c>
      <c r="F69" s="16">
        <f>SUM(E69/1000)</f>
        <v>19.835999999999999</v>
      </c>
      <c r="G69" s="16">
        <v>176.61</v>
      </c>
      <c r="H69" s="156">
        <f t="shared" si="6"/>
        <v>3.50323596</v>
      </c>
      <c r="I69" s="16">
        <f t="shared" ref="I69:I73" si="7">F69*G69</f>
        <v>3503.23596</v>
      </c>
    </row>
    <row r="70" spans="1:21" ht="15.75" hidden="1" customHeight="1">
      <c r="A70" s="36"/>
      <c r="B70" s="18" t="s">
        <v>50</v>
      </c>
      <c r="C70" s="20" t="s">
        <v>79</v>
      </c>
      <c r="D70" s="18" t="s">
        <v>54</v>
      </c>
      <c r="E70" s="143">
        <v>3155</v>
      </c>
      <c r="F70" s="16">
        <f>SUM(E70/100)</f>
        <v>31.55</v>
      </c>
      <c r="G70" s="16">
        <v>2217.7800000000002</v>
      </c>
      <c r="H70" s="156">
        <f t="shared" si="6"/>
        <v>69.970959000000008</v>
      </c>
      <c r="I70" s="16">
        <f t="shared" si="7"/>
        <v>69970.959000000003</v>
      </c>
    </row>
    <row r="71" spans="1:21" ht="15.75" hidden="1" customHeight="1">
      <c r="A71" s="36"/>
      <c r="B71" s="157" t="s">
        <v>126</v>
      </c>
      <c r="C71" s="20" t="s">
        <v>33</v>
      </c>
      <c r="D71" s="18"/>
      <c r="E71" s="143">
        <v>17.600000000000001</v>
      </c>
      <c r="F71" s="16">
        <f>SUM(E71)</f>
        <v>17.600000000000001</v>
      </c>
      <c r="G71" s="16">
        <v>42.67</v>
      </c>
      <c r="H71" s="156">
        <f t="shared" si="6"/>
        <v>0.7509920000000001</v>
      </c>
      <c r="I71" s="16">
        <f t="shared" si="7"/>
        <v>750.99200000000008</v>
      </c>
    </row>
    <row r="72" spans="1:21" ht="15.75" hidden="1" customHeight="1">
      <c r="A72" s="36"/>
      <c r="B72" s="157" t="s">
        <v>127</v>
      </c>
      <c r="C72" s="20" t="s">
        <v>33</v>
      </c>
      <c r="D72" s="18"/>
      <c r="E72" s="143">
        <v>17.600000000000001</v>
      </c>
      <c r="F72" s="16">
        <f>SUM(E72)</f>
        <v>17.600000000000001</v>
      </c>
      <c r="G72" s="16">
        <v>39.81</v>
      </c>
      <c r="H72" s="156">
        <f t="shared" si="6"/>
        <v>0.70065600000000006</v>
      </c>
      <c r="I72" s="16">
        <f t="shared" si="7"/>
        <v>700.65600000000006</v>
      </c>
    </row>
    <row r="73" spans="1:21" ht="15.75" hidden="1" customHeight="1">
      <c r="A73" s="36"/>
      <c r="B73" s="18" t="s">
        <v>58</v>
      </c>
      <c r="C73" s="20" t="s">
        <v>59</v>
      </c>
      <c r="D73" s="18" t="s">
        <v>54</v>
      </c>
      <c r="E73" s="23">
        <v>7</v>
      </c>
      <c r="F73" s="144">
        <v>7</v>
      </c>
      <c r="G73" s="16">
        <v>53.32</v>
      </c>
      <c r="H73" s="156">
        <f t="shared" si="6"/>
        <v>0.37324000000000002</v>
      </c>
      <c r="I73" s="16">
        <f t="shared" si="7"/>
        <v>373.24</v>
      </c>
    </row>
    <row r="74" spans="1:21" ht="15.75" hidden="1" customHeight="1">
      <c r="A74" s="36"/>
      <c r="B74" s="125" t="s">
        <v>74</v>
      </c>
      <c r="C74" s="20"/>
      <c r="D74" s="18"/>
      <c r="E74" s="23"/>
      <c r="F74" s="16"/>
      <c r="G74" s="16"/>
      <c r="H74" s="156" t="s">
        <v>153</v>
      </c>
      <c r="I74" s="16"/>
    </row>
    <row r="75" spans="1:21" ht="15.75" hidden="1" customHeight="1">
      <c r="A75" s="36"/>
      <c r="B75" s="18" t="s">
        <v>75</v>
      </c>
      <c r="C75" s="20" t="s">
        <v>77</v>
      </c>
      <c r="D75" s="18"/>
      <c r="E75" s="23">
        <v>2</v>
      </c>
      <c r="F75" s="16">
        <v>0.2</v>
      </c>
      <c r="G75" s="16">
        <v>536.23</v>
      </c>
      <c r="H75" s="156">
        <f t="shared" si="6"/>
        <v>0.10724600000000001</v>
      </c>
      <c r="I75" s="16">
        <v>0</v>
      </c>
    </row>
    <row r="76" spans="1:21" ht="15.75" hidden="1" customHeight="1">
      <c r="A76" s="36"/>
      <c r="B76" s="18" t="s">
        <v>76</v>
      </c>
      <c r="C76" s="20" t="s">
        <v>31</v>
      </c>
      <c r="D76" s="18"/>
      <c r="E76" s="23">
        <v>1</v>
      </c>
      <c r="F76" s="135">
        <v>1</v>
      </c>
      <c r="G76" s="16">
        <v>911.85</v>
      </c>
      <c r="H76" s="156">
        <f>F76*G76/1000</f>
        <v>0.91185000000000005</v>
      </c>
      <c r="I76" s="16">
        <v>0</v>
      </c>
    </row>
    <row r="77" spans="1:21" ht="15.75" hidden="1" customHeight="1">
      <c r="A77" s="36"/>
      <c r="B77" s="18" t="s">
        <v>129</v>
      </c>
      <c r="C77" s="20" t="s">
        <v>31</v>
      </c>
      <c r="D77" s="18"/>
      <c r="E77" s="23">
        <v>1</v>
      </c>
      <c r="F77" s="16">
        <v>1</v>
      </c>
      <c r="G77" s="16">
        <v>383.25</v>
      </c>
      <c r="H77" s="156">
        <f>G77*F77/1000</f>
        <v>0.38324999999999998</v>
      </c>
      <c r="I77" s="16">
        <v>0</v>
      </c>
    </row>
    <row r="78" spans="1:21" ht="15.75" hidden="1" customHeight="1">
      <c r="A78" s="36"/>
      <c r="B78" s="159" t="s">
        <v>78</v>
      </c>
      <c r="C78" s="20"/>
      <c r="D78" s="18"/>
      <c r="E78" s="23"/>
      <c r="F78" s="16"/>
      <c r="G78" s="16" t="s">
        <v>153</v>
      </c>
      <c r="H78" s="156" t="s">
        <v>153</v>
      </c>
      <c r="I78" s="16"/>
    </row>
    <row r="79" spans="1:21" ht="15.75" hidden="1" customHeight="1">
      <c r="A79" s="36"/>
      <c r="B79" s="67" t="s">
        <v>141</v>
      </c>
      <c r="C79" s="20" t="s">
        <v>79</v>
      </c>
      <c r="D79" s="18"/>
      <c r="E79" s="23"/>
      <c r="F79" s="16">
        <v>0.3</v>
      </c>
      <c r="G79" s="16">
        <v>2949.85</v>
      </c>
      <c r="H79" s="156">
        <f t="shared" si="6"/>
        <v>0.88495499999999994</v>
      </c>
      <c r="I79" s="16">
        <v>0</v>
      </c>
    </row>
    <row r="80" spans="1:21" ht="15.75" hidden="1" customHeight="1">
      <c r="A80" s="36"/>
      <c r="B80" s="125" t="s">
        <v>106</v>
      </c>
      <c r="C80" s="159"/>
      <c r="D80" s="38"/>
      <c r="E80" s="39"/>
      <c r="F80" s="147"/>
      <c r="G80" s="147"/>
      <c r="H80" s="160">
        <f>SUM(H58:H79)</f>
        <v>165.24371469600001</v>
      </c>
      <c r="I80" s="147"/>
    </row>
    <row r="81" spans="1:9" ht="15.75" hidden="1" customHeight="1">
      <c r="A81" s="36"/>
      <c r="B81" s="141" t="s">
        <v>128</v>
      </c>
      <c r="C81" s="20"/>
      <c r="D81" s="18"/>
      <c r="E81" s="136"/>
      <c r="F81" s="16">
        <v>1</v>
      </c>
      <c r="G81" s="16">
        <v>17869</v>
      </c>
      <c r="H81" s="156">
        <f>G81*F81/1000</f>
        <v>17.869</v>
      </c>
      <c r="I81" s="16">
        <v>0</v>
      </c>
    </row>
    <row r="82" spans="1:9" ht="15.75" customHeight="1">
      <c r="A82" s="177" t="s">
        <v>182</v>
      </c>
      <c r="B82" s="178"/>
      <c r="C82" s="178"/>
      <c r="D82" s="178"/>
      <c r="E82" s="178"/>
      <c r="F82" s="178"/>
      <c r="G82" s="178"/>
      <c r="H82" s="178"/>
      <c r="I82" s="179"/>
    </row>
    <row r="83" spans="1:9" ht="15.75" customHeight="1">
      <c r="A83" s="36">
        <v>13</v>
      </c>
      <c r="B83" s="141" t="s">
        <v>130</v>
      </c>
      <c r="C83" s="20" t="s">
        <v>55</v>
      </c>
      <c r="D83" s="84" t="s">
        <v>56</v>
      </c>
      <c r="E83" s="16">
        <v>4731.7</v>
      </c>
      <c r="F83" s="16">
        <f>SUM(E83*12)</f>
        <v>56780.399999999994</v>
      </c>
      <c r="G83" s="16">
        <v>2.54</v>
      </c>
      <c r="H83" s="156">
        <f>SUM(F83*G83/1000)</f>
        <v>144.22221599999997</v>
      </c>
      <c r="I83" s="16">
        <f>F83/12*G83</f>
        <v>12018.518</v>
      </c>
    </row>
    <row r="84" spans="1:9" ht="31.5" customHeight="1">
      <c r="A84" s="36">
        <v>14</v>
      </c>
      <c r="B84" s="18" t="s">
        <v>80</v>
      </c>
      <c r="C84" s="20"/>
      <c r="D84" s="84" t="s">
        <v>56</v>
      </c>
      <c r="E84" s="143">
        <f>E83</f>
        <v>4731.7</v>
      </c>
      <c r="F84" s="16">
        <f>E84*12</f>
        <v>56780.399999999994</v>
      </c>
      <c r="G84" s="16">
        <v>3.05</v>
      </c>
      <c r="H84" s="156">
        <f>F84*G84/1000</f>
        <v>173.18021999999996</v>
      </c>
      <c r="I84" s="16">
        <f>F84/12*G84</f>
        <v>14431.684999999999</v>
      </c>
    </row>
    <row r="85" spans="1:9" ht="15.75" customHeight="1">
      <c r="A85" s="36"/>
      <c r="B85" s="54" t="s">
        <v>84</v>
      </c>
      <c r="C85" s="159"/>
      <c r="D85" s="158"/>
      <c r="E85" s="147"/>
      <c r="F85" s="147"/>
      <c r="G85" s="147"/>
      <c r="H85" s="160">
        <f>H84</f>
        <v>173.18021999999996</v>
      </c>
      <c r="I85" s="147">
        <f>I16+I17+I18+I20+I27+I28+I31+I32+I34+I35+I64+I66+I83+I84</f>
        <v>74831.970486799997</v>
      </c>
    </row>
    <row r="86" spans="1:9" ht="15.75" customHeight="1">
      <c r="A86" s="36"/>
      <c r="B86" s="80" t="s">
        <v>61</v>
      </c>
      <c r="C86" s="20"/>
      <c r="D86" s="67"/>
      <c r="E86" s="16"/>
      <c r="F86" s="16"/>
      <c r="G86" s="16"/>
      <c r="H86" s="16"/>
      <c r="I86" s="16"/>
    </row>
    <row r="87" spans="1:9" ht="31.5" customHeight="1">
      <c r="A87" s="36">
        <v>15</v>
      </c>
      <c r="B87" s="81" t="s">
        <v>187</v>
      </c>
      <c r="C87" s="107" t="s">
        <v>188</v>
      </c>
      <c r="D87" s="18"/>
      <c r="E87" s="23"/>
      <c r="F87" s="16">
        <v>2</v>
      </c>
      <c r="G87" s="16">
        <v>51.39</v>
      </c>
      <c r="H87" s="156">
        <f>G87*F87/1000</f>
        <v>0.10278</v>
      </c>
      <c r="I87" s="16">
        <f>G87</f>
        <v>51.39</v>
      </c>
    </row>
    <row r="88" spans="1:9" ht="15.75" customHeight="1">
      <c r="A88" s="36">
        <v>16</v>
      </c>
      <c r="B88" s="81" t="s">
        <v>158</v>
      </c>
      <c r="C88" s="107" t="s">
        <v>122</v>
      </c>
      <c r="D88" s="18"/>
      <c r="E88" s="23"/>
      <c r="F88" s="16">
        <v>729</v>
      </c>
      <c r="G88" s="16">
        <v>50.68</v>
      </c>
      <c r="H88" s="156">
        <f t="shared" ref="H88:H90" si="8">G88*F88/1000</f>
        <v>36.945720000000001</v>
      </c>
      <c r="I88" s="16">
        <f>G88*81</f>
        <v>4105.08</v>
      </c>
    </row>
    <row r="89" spans="1:9" ht="15.75" customHeight="1">
      <c r="A89" s="36">
        <v>17</v>
      </c>
      <c r="B89" s="81" t="s">
        <v>168</v>
      </c>
      <c r="C89" s="107" t="s">
        <v>164</v>
      </c>
      <c r="D89" s="67"/>
      <c r="E89" s="16"/>
      <c r="F89" s="16">
        <v>3</v>
      </c>
      <c r="G89" s="16">
        <v>1148</v>
      </c>
      <c r="H89" s="156">
        <f t="shared" si="8"/>
        <v>3.444</v>
      </c>
      <c r="I89" s="16">
        <f>G89</f>
        <v>1148</v>
      </c>
    </row>
    <row r="90" spans="1:9" ht="15.75" customHeight="1">
      <c r="A90" s="36">
        <v>18</v>
      </c>
      <c r="B90" s="123" t="s">
        <v>171</v>
      </c>
      <c r="C90" s="161" t="s">
        <v>172</v>
      </c>
      <c r="D90" s="18"/>
      <c r="E90" s="23"/>
      <c r="F90" s="16">
        <f>9/3</f>
        <v>3</v>
      </c>
      <c r="G90" s="16">
        <v>1063.47</v>
      </c>
      <c r="H90" s="156">
        <f t="shared" si="8"/>
        <v>3.19041</v>
      </c>
      <c r="I90" s="16">
        <f>G90</f>
        <v>1063.47</v>
      </c>
    </row>
    <row r="91" spans="1:9">
      <c r="A91" s="36"/>
      <c r="B91" s="61" t="s">
        <v>51</v>
      </c>
      <c r="C91" s="57"/>
      <c r="D91" s="71"/>
      <c r="E91" s="57">
        <v>1</v>
      </c>
      <c r="F91" s="57"/>
      <c r="G91" s="57"/>
      <c r="H91" s="57"/>
      <c r="I91" s="39">
        <f>SUM(I87:I90)</f>
        <v>6367.9400000000005</v>
      </c>
    </row>
    <row r="92" spans="1:9" ht="15.75" customHeight="1">
      <c r="A92" s="36"/>
      <c r="B92" s="67" t="s">
        <v>81</v>
      </c>
      <c r="C92" s="19"/>
      <c r="D92" s="19"/>
      <c r="E92" s="58"/>
      <c r="F92" s="58"/>
      <c r="G92" s="59"/>
      <c r="H92" s="59"/>
      <c r="I92" s="22">
        <v>0</v>
      </c>
    </row>
    <row r="93" spans="1:9" ht="15.75" customHeight="1">
      <c r="A93" s="72"/>
      <c r="B93" s="62" t="s">
        <v>52</v>
      </c>
      <c r="C93" s="45"/>
      <c r="D93" s="45"/>
      <c r="E93" s="45"/>
      <c r="F93" s="45"/>
      <c r="G93" s="45"/>
      <c r="H93" s="45"/>
      <c r="I93" s="60">
        <f>I85+I91</f>
        <v>81199.910486799999</v>
      </c>
    </row>
    <row r="94" spans="1:9" ht="15.75" customHeight="1">
      <c r="A94" s="169" t="s">
        <v>246</v>
      </c>
      <c r="B94" s="169"/>
      <c r="C94" s="169"/>
      <c r="D94" s="169"/>
      <c r="E94" s="169"/>
      <c r="F94" s="169"/>
      <c r="G94" s="169"/>
      <c r="H94" s="169"/>
      <c r="I94" s="169"/>
    </row>
    <row r="95" spans="1:9" ht="15.75" customHeight="1">
      <c r="A95" s="121"/>
      <c r="B95" s="170" t="s">
        <v>247</v>
      </c>
      <c r="C95" s="170"/>
      <c r="D95" s="170"/>
      <c r="E95" s="170"/>
      <c r="F95" s="170"/>
      <c r="G95" s="170"/>
      <c r="H95" s="139"/>
      <c r="I95" s="3"/>
    </row>
    <row r="96" spans="1:9" ht="15.75" customHeight="1">
      <c r="A96" s="130"/>
      <c r="B96" s="165" t="s">
        <v>6</v>
      </c>
      <c r="C96" s="165"/>
      <c r="D96" s="165"/>
      <c r="E96" s="165"/>
      <c r="F96" s="165"/>
      <c r="G96" s="165"/>
      <c r="H96" s="31"/>
      <c r="I96" s="5"/>
    </row>
    <row r="97" spans="1:9" ht="15.75" customHeight="1">
      <c r="A97" s="10"/>
      <c r="B97" s="10"/>
      <c r="C97" s="10"/>
      <c r="D97" s="10"/>
      <c r="E97" s="10"/>
      <c r="F97" s="10"/>
      <c r="G97" s="10"/>
      <c r="H97" s="10"/>
      <c r="I97" s="10"/>
    </row>
    <row r="98" spans="1:9" ht="15.75" customHeight="1">
      <c r="A98" s="171" t="s">
        <v>7</v>
      </c>
      <c r="B98" s="171"/>
      <c r="C98" s="171"/>
      <c r="D98" s="171"/>
      <c r="E98" s="171"/>
      <c r="F98" s="171"/>
      <c r="G98" s="171"/>
      <c r="H98" s="171"/>
      <c r="I98" s="171"/>
    </row>
    <row r="99" spans="1:9" ht="15.75" customHeight="1">
      <c r="A99" s="171" t="s">
        <v>8</v>
      </c>
      <c r="B99" s="171"/>
      <c r="C99" s="171"/>
      <c r="D99" s="171"/>
      <c r="E99" s="171"/>
      <c r="F99" s="171"/>
      <c r="G99" s="171"/>
      <c r="H99" s="171"/>
      <c r="I99" s="171"/>
    </row>
    <row r="100" spans="1:9" ht="15.75" customHeight="1">
      <c r="A100" s="172" t="s">
        <v>62</v>
      </c>
      <c r="B100" s="172"/>
      <c r="C100" s="172"/>
      <c r="D100" s="172"/>
      <c r="E100" s="172"/>
      <c r="F100" s="172"/>
      <c r="G100" s="172"/>
      <c r="H100" s="172"/>
      <c r="I100" s="172"/>
    </row>
    <row r="101" spans="1:9" ht="15.75" customHeight="1">
      <c r="A101" s="11"/>
    </row>
    <row r="102" spans="1:9" ht="15.75">
      <c r="A102" s="163" t="s">
        <v>9</v>
      </c>
      <c r="B102" s="163"/>
      <c r="C102" s="163"/>
      <c r="D102" s="163"/>
      <c r="E102" s="163"/>
      <c r="F102" s="163"/>
      <c r="G102" s="163"/>
      <c r="H102" s="163"/>
      <c r="I102" s="163"/>
    </row>
    <row r="103" spans="1:9" ht="15.75">
      <c r="A103" s="4"/>
    </row>
    <row r="104" spans="1:9" ht="15.75" customHeight="1">
      <c r="B104" s="127" t="s">
        <v>10</v>
      </c>
      <c r="C104" s="164" t="s">
        <v>180</v>
      </c>
      <c r="D104" s="164"/>
      <c r="E104" s="164"/>
      <c r="F104" s="137"/>
      <c r="I104" s="129"/>
    </row>
    <row r="105" spans="1:9" ht="15.75" customHeight="1">
      <c r="A105" s="130"/>
      <c r="C105" s="165" t="s">
        <v>11</v>
      </c>
      <c r="D105" s="165"/>
      <c r="E105" s="165"/>
      <c r="F105" s="31"/>
      <c r="I105" s="128" t="s">
        <v>12</v>
      </c>
    </row>
    <row r="106" spans="1:9" ht="15.75" customHeight="1">
      <c r="A106" s="32"/>
      <c r="C106" s="12"/>
      <c r="D106" s="12"/>
      <c r="G106" s="12"/>
      <c r="H106" s="12"/>
    </row>
    <row r="107" spans="1:9" ht="15.75" customHeight="1">
      <c r="B107" s="127" t="s">
        <v>13</v>
      </c>
      <c r="C107" s="166"/>
      <c r="D107" s="166"/>
      <c r="E107" s="166"/>
      <c r="F107" s="138"/>
      <c r="I107" s="129"/>
    </row>
    <row r="108" spans="1:9" ht="15.75" customHeight="1">
      <c r="A108" s="130"/>
      <c r="C108" s="167" t="s">
        <v>11</v>
      </c>
      <c r="D108" s="167"/>
      <c r="E108" s="167"/>
      <c r="F108" s="130"/>
      <c r="I108" s="128" t="s">
        <v>12</v>
      </c>
    </row>
    <row r="109" spans="1:9" ht="15.75">
      <c r="A109" s="4" t="s">
        <v>14</v>
      </c>
    </row>
    <row r="110" spans="1:9">
      <c r="A110" s="168" t="s">
        <v>15</v>
      </c>
      <c r="B110" s="168"/>
      <c r="C110" s="168"/>
      <c r="D110" s="168"/>
      <c r="E110" s="168"/>
      <c r="F110" s="168"/>
      <c r="G110" s="168"/>
      <c r="H110" s="168"/>
      <c r="I110" s="168"/>
    </row>
    <row r="111" spans="1:9" ht="45" customHeight="1">
      <c r="A111" s="162" t="s">
        <v>16</v>
      </c>
      <c r="B111" s="162"/>
      <c r="C111" s="162"/>
      <c r="D111" s="162"/>
      <c r="E111" s="162"/>
      <c r="F111" s="162"/>
      <c r="G111" s="162"/>
      <c r="H111" s="162"/>
      <c r="I111" s="162"/>
    </row>
    <row r="112" spans="1:9" ht="30" customHeight="1">
      <c r="A112" s="162" t="s">
        <v>17</v>
      </c>
      <c r="B112" s="162"/>
      <c r="C112" s="162"/>
      <c r="D112" s="162"/>
      <c r="E112" s="162"/>
      <c r="F112" s="162"/>
      <c r="G112" s="162"/>
      <c r="H112" s="162"/>
      <c r="I112" s="162"/>
    </row>
    <row r="113" spans="1:9" ht="30" customHeight="1">
      <c r="A113" s="162" t="s">
        <v>21</v>
      </c>
      <c r="B113" s="162"/>
      <c r="C113" s="162"/>
      <c r="D113" s="162"/>
      <c r="E113" s="162"/>
      <c r="F113" s="162"/>
      <c r="G113" s="162"/>
      <c r="H113" s="162"/>
      <c r="I113" s="162"/>
    </row>
    <row r="114" spans="1:9" ht="15" customHeight="1">
      <c r="A114" s="162" t="s">
        <v>20</v>
      </c>
      <c r="B114" s="162"/>
      <c r="C114" s="162"/>
      <c r="D114" s="162"/>
      <c r="E114" s="162"/>
      <c r="F114" s="162"/>
      <c r="G114" s="162"/>
      <c r="H114" s="162"/>
      <c r="I114" s="162"/>
    </row>
  </sheetData>
  <autoFilter ref="I12:I61"/>
  <mergeCells count="28">
    <mergeCell ref="A111:I111"/>
    <mergeCell ref="A112:I112"/>
    <mergeCell ref="A113:I113"/>
    <mergeCell ref="A114:I114"/>
    <mergeCell ref="A102:I102"/>
    <mergeCell ref="C104:E104"/>
    <mergeCell ref="C105:E105"/>
    <mergeCell ref="C107:E107"/>
    <mergeCell ref="C108:E108"/>
    <mergeCell ref="A110:I110"/>
    <mergeCell ref="A94:I94"/>
    <mergeCell ref="B95:G95"/>
    <mergeCell ref="B96:G96"/>
    <mergeCell ref="A98:I98"/>
    <mergeCell ref="A99:I99"/>
    <mergeCell ref="A100:I100"/>
    <mergeCell ref="A15:I15"/>
    <mergeCell ref="A29:I29"/>
    <mergeCell ref="A46:I46"/>
    <mergeCell ref="A56:I56"/>
    <mergeCell ref="R66:U66"/>
    <mergeCell ref="A82:I82"/>
    <mergeCell ref="A3:I3"/>
    <mergeCell ref="A4:I4"/>
    <mergeCell ref="A5:I5"/>
    <mergeCell ref="A8:I8"/>
    <mergeCell ref="A10:I10"/>
    <mergeCell ref="A14:I14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116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4" t="s">
        <v>94</v>
      </c>
      <c r="I1" s="33"/>
      <c r="J1" s="1"/>
      <c r="K1" s="1"/>
      <c r="L1" s="1"/>
      <c r="M1" s="1"/>
    </row>
    <row r="2" spans="1:13" ht="15.75">
      <c r="A2" s="35" t="s">
        <v>64</v>
      </c>
      <c r="J2" s="2"/>
      <c r="K2" s="2"/>
      <c r="L2" s="2"/>
      <c r="M2" s="2"/>
    </row>
    <row r="3" spans="1:13" ht="15.75" customHeight="1">
      <c r="A3" s="180" t="s">
        <v>248</v>
      </c>
      <c r="B3" s="180"/>
      <c r="C3" s="180"/>
      <c r="D3" s="180"/>
      <c r="E3" s="180"/>
      <c r="F3" s="180"/>
      <c r="G3" s="180"/>
      <c r="H3" s="180"/>
      <c r="I3" s="180"/>
      <c r="J3" s="3"/>
      <c r="K3" s="3"/>
      <c r="L3" s="3"/>
    </row>
    <row r="4" spans="1:13" ht="31.5" customHeight="1">
      <c r="A4" s="181" t="s">
        <v>162</v>
      </c>
      <c r="B4" s="181"/>
      <c r="C4" s="181"/>
      <c r="D4" s="181"/>
      <c r="E4" s="181"/>
      <c r="F4" s="181"/>
      <c r="G4" s="181"/>
      <c r="H4" s="181"/>
      <c r="I4" s="181"/>
    </row>
    <row r="5" spans="1:13" ht="15.75">
      <c r="A5" s="180" t="s">
        <v>249</v>
      </c>
      <c r="B5" s="182"/>
      <c r="C5" s="182"/>
      <c r="D5" s="182"/>
      <c r="E5" s="182"/>
      <c r="F5" s="182"/>
      <c r="G5" s="182"/>
      <c r="H5" s="182"/>
      <c r="I5" s="182"/>
      <c r="J5" s="2"/>
      <c r="K5" s="2"/>
      <c r="L5" s="2"/>
      <c r="M5" s="2"/>
    </row>
    <row r="6" spans="1:13" ht="15.75">
      <c r="A6" s="2"/>
      <c r="B6" s="126"/>
      <c r="C6" s="126"/>
      <c r="D6" s="126"/>
      <c r="E6" s="126"/>
      <c r="F6" s="126"/>
      <c r="G6" s="126"/>
      <c r="H6" s="126"/>
      <c r="I6" s="37">
        <v>42582</v>
      </c>
      <c r="J6" s="2"/>
      <c r="K6" s="2"/>
      <c r="L6" s="2"/>
      <c r="M6" s="2"/>
    </row>
    <row r="7" spans="1:13" ht="15.75">
      <c r="B7" s="127"/>
      <c r="C7" s="127"/>
      <c r="D7" s="127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83" t="s">
        <v>175</v>
      </c>
      <c r="B8" s="183"/>
      <c r="C8" s="183"/>
      <c r="D8" s="183"/>
      <c r="E8" s="183"/>
      <c r="F8" s="183"/>
      <c r="G8" s="183"/>
      <c r="H8" s="183"/>
      <c r="I8" s="183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84" t="s">
        <v>176</v>
      </c>
      <c r="B10" s="184"/>
      <c r="C10" s="184"/>
      <c r="D10" s="184"/>
      <c r="E10" s="184"/>
      <c r="F10" s="184"/>
      <c r="G10" s="184"/>
      <c r="H10" s="184"/>
      <c r="I10" s="184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85" t="s">
        <v>60</v>
      </c>
      <c r="B14" s="185"/>
      <c r="C14" s="185"/>
      <c r="D14" s="185"/>
      <c r="E14" s="185"/>
      <c r="F14" s="185"/>
      <c r="G14" s="185"/>
      <c r="H14" s="185"/>
      <c r="I14" s="185"/>
      <c r="J14" s="8"/>
      <c r="K14" s="8"/>
      <c r="L14" s="8"/>
      <c r="M14" s="8"/>
    </row>
    <row r="15" spans="1:13" ht="15" customHeight="1">
      <c r="A15" s="173" t="s">
        <v>4</v>
      </c>
      <c r="B15" s="173"/>
      <c r="C15" s="173"/>
      <c r="D15" s="173"/>
      <c r="E15" s="173"/>
      <c r="F15" s="173"/>
      <c r="G15" s="173"/>
      <c r="H15" s="173"/>
      <c r="I15" s="173"/>
      <c r="J15" s="8"/>
      <c r="K15" s="8"/>
      <c r="L15" s="8"/>
      <c r="M15" s="8"/>
    </row>
    <row r="16" spans="1:13" ht="31.5" customHeight="1">
      <c r="A16" s="36">
        <v>1</v>
      </c>
      <c r="B16" s="141" t="s">
        <v>97</v>
      </c>
      <c r="C16" s="142" t="s">
        <v>98</v>
      </c>
      <c r="D16" s="141" t="s">
        <v>99</v>
      </c>
      <c r="E16" s="143">
        <v>143.78</v>
      </c>
      <c r="F16" s="144">
        <f>SUM(E16*156/100)</f>
        <v>224.29679999999999</v>
      </c>
      <c r="G16" s="144">
        <v>187.48</v>
      </c>
      <c r="H16" s="145">
        <f t="shared" ref="H16:H25" si="0">SUM(F16*G16/1000)</f>
        <v>42.051164063999998</v>
      </c>
      <c r="I16" s="16">
        <f>F16/12*G16</f>
        <v>3504.2636719999996</v>
      </c>
      <c r="J16" s="28"/>
      <c r="K16" s="8"/>
      <c r="L16" s="8"/>
      <c r="M16" s="8"/>
    </row>
    <row r="17" spans="1:13" ht="31.5" customHeight="1">
      <c r="A17" s="36">
        <v>2</v>
      </c>
      <c r="B17" s="141" t="s">
        <v>133</v>
      </c>
      <c r="C17" s="142" t="s">
        <v>98</v>
      </c>
      <c r="D17" s="141" t="s">
        <v>100</v>
      </c>
      <c r="E17" s="143">
        <v>575.125</v>
      </c>
      <c r="F17" s="144">
        <f>SUM(E17*104/100)</f>
        <v>598.13</v>
      </c>
      <c r="G17" s="144">
        <v>187.48</v>
      </c>
      <c r="H17" s="145">
        <f t="shared" si="0"/>
        <v>112.13741239999999</v>
      </c>
      <c r="I17" s="16">
        <f>F17/12*G17</f>
        <v>9344.7843666666668</v>
      </c>
      <c r="J17" s="29"/>
      <c r="K17" s="8"/>
      <c r="L17" s="8"/>
      <c r="M17" s="8"/>
    </row>
    <row r="18" spans="1:13" ht="31.5" customHeight="1">
      <c r="A18" s="36">
        <v>3</v>
      </c>
      <c r="B18" s="141" t="s">
        <v>134</v>
      </c>
      <c r="C18" s="142" t="s">
        <v>98</v>
      </c>
      <c r="D18" s="141" t="s">
        <v>142</v>
      </c>
      <c r="E18" s="143">
        <v>718.9</v>
      </c>
      <c r="F18" s="144">
        <f>SUM(E18*24/100)</f>
        <v>172.53599999999997</v>
      </c>
      <c r="G18" s="144">
        <v>539.51</v>
      </c>
      <c r="H18" s="145">
        <f t="shared" si="0"/>
        <v>93.084897359999985</v>
      </c>
      <c r="I18" s="16">
        <f>F18/12*G18</f>
        <v>7757.074779999999</v>
      </c>
      <c r="J18" s="29"/>
      <c r="K18" s="8"/>
      <c r="L18" s="8"/>
      <c r="M18" s="8"/>
    </row>
    <row r="19" spans="1:13" ht="15.75" hidden="1" customHeight="1">
      <c r="A19" s="36"/>
      <c r="B19" s="141" t="s">
        <v>107</v>
      </c>
      <c r="C19" s="142" t="s">
        <v>108</v>
      </c>
      <c r="D19" s="141" t="s">
        <v>109</v>
      </c>
      <c r="E19" s="143">
        <v>42.2</v>
      </c>
      <c r="F19" s="144">
        <f>SUM(E19/10)</f>
        <v>4.2200000000000006</v>
      </c>
      <c r="G19" s="144">
        <v>181.91</v>
      </c>
      <c r="H19" s="145">
        <f t="shared" si="0"/>
        <v>0.76766020000000013</v>
      </c>
      <c r="I19" s="16">
        <v>0</v>
      </c>
      <c r="J19" s="29"/>
      <c r="K19" s="8"/>
      <c r="L19" s="8"/>
      <c r="M19" s="8"/>
    </row>
    <row r="20" spans="1:13" ht="15.75" customHeight="1">
      <c r="A20" s="36">
        <v>4</v>
      </c>
      <c r="B20" s="141" t="s">
        <v>110</v>
      </c>
      <c r="C20" s="142" t="s">
        <v>98</v>
      </c>
      <c r="D20" s="141" t="s">
        <v>135</v>
      </c>
      <c r="E20" s="143">
        <v>14</v>
      </c>
      <c r="F20" s="144">
        <f>SUM(E20*12/100)</f>
        <v>1.68</v>
      </c>
      <c r="G20" s="144">
        <v>232.92</v>
      </c>
      <c r="H20" s="145">
        <f t="shared" si="0"/>
        <v>0.39130559999999998</v>
      </c>
      <c r="I20" s="16">
        <f>F20/12*G20</f>
        <v>32.608799999999995</v>
      </c>
      <c r="J20" s="29"/>
      <c r="K20" s="8"/>
      <c r="L20" s="8"/>
      <c r="M20" s="8"/>
    </row>
    <row r="21" spans="1:13" ht="15.75" customHeight="1">
      <c r="A21" s="36">
        <v>5</v>
      </c>
      <c r="B21" s="141" t="s">
        <v>111</v>
      </c>
      <c r="C21" s="142" t="s">
        <v>98</v>
      </c>
      <c r="D21" s="141" t="s">
        <v>184</v>
      </c>
      <c r="E21" s="143">
        <v>4.8</v>
      </c>
      <c r="F21" s="144">
        <f>SUM(E21*6/100)</f>
        <v>0.28799999999999998</v>
      </c>
      <c r="G21" s="144">
        <v>231.03</v>
      </c>
      <c r="H21" s="145">
        <f>SUM(F21*G21/1000)</f>
        <v>6.6536639999999994E-2</v>
      </c>
      <c r="I21" s="16">
        <f>F21/6*G21</f>
        <v>11.089439999999998</v>
      </c>
      <c r="J21" s="29"/>
      <c r="K21" s="8"/>
      <c r="L21" s="8"/>
      <c r="M21" s="8"/>
    </row>
    <row r="22" spans="1:13" ht="15.75" hidden="1" customHeight="1">
      <c r="A22" s="36"/>
      <c r="B22" s="141" t="s">
        <v>112</v>
      </c>
      <c r="C22" s="142" t="s">
        <v>53</v>
      </c>
      <c r="D22" s="141" t="s">
        <v>109</v>
      </c>
      <c r="E22" s="143">
        <v>640</v>
      </c>
      <c r="F22" s="144">
        <f>SUM(E22/100)</f>
        <v>6.4</v>
      </c>
      <c r="G22" s="144">
        <v>287.83999999999997</v>
      </c>
      <c r="H22" s="145">
        <f t="shared" si="0"/>
        <v>1.842176</v>
      </c>
      <c r="I22" s="16">
        <v>0</v>
      </c>
      <c r="J22" s="29"/>
      <c r="K22" s="8"/>
      <c r="L22" s="8"/>
      <c r="M22" s="8"/>
    </row>
    <row r="23" spans="1:13" ht="15.75" hidden="1" customHeight="1">
      <c r="A23" s="36"/>
      <c r="B23" s="141" t="s">
        <v>113</v>
      </c>
      <c r="C23" s="142" t="s">
        <v>53</v>
      </c>
      <c r="D23" s="141" t="s">
        <v>109</v>
      </c>
      <c r="E23" s="146">
        <v>48.3</v>
      </c>
      <c r="F23" s="144">
        <f>SUM(E23/100)</f>
        <v>0.48299999999999998</v>
      </c>
      <c r="G23" s="144">
        <v>47.34</v>
      </c>
      <c r="H23" s="145">
        <f t="shared" si="0"/>
        <v>2.2865220000000002E-2</v>
      </c>
      <c r="I23" s="16">
        <v>0</v>
      </c>
      <c r="J23" s="29"/>
      <c r="K23" s="8"/>
      <c r="L23" s="8"/>
      <c r="M23" s="8"/>
    </row>
    <row r="24" spans="1:13" ht="15.75" hidden="1" customHeight="1">
      <c r="A24" s="36"/>
      <c r="B24" s="141" t="s">
        <v>114</v>
      </c>
      <c r="C24" s="142" t="s">
        <v>53</v>
      </c>
      <c r="D24" s="141" t="s">
        <v>54</v>
      </c>
      <c r="E24" s="143">
        <v>20</v>
      </c>
      <c r="F24" s="144">
        <f>E24/100</f>
        <v>0.2</v>
      </c>
      <c r="G24" s="144">
        <v>416.62</v>
      </c>
      <c r="H24" s="145">
        <f t="shared" si="0"/>
        <v>8.3324000000000009E-2</v>
      </c>
      <c r="I24" s="16">
        <v>0</v>
      </c>
      <c r="J24" s="29"/>
      <c r="K24" s="8"/>
      <c r="L24" s="8"/>
      <c r="M24" s="8"/>
    </row>
    <row r="25" spans="1:13" ht="15.75" hidden="1" customHeight="1">
      <c r="A25" s="36"/>
      <c r="B25" s="141" t="s">
        <v>115</v>
      </c>
      <c r="C25" s="142" t="s">
        <v>53</v>
      </c>
      <c r="D25" s="141" t="s">
        <v>54</v>
      </c>
      <c r="E25" s="143">
        <v>8.5</v>
      </c>
      <c r="F25" s="144">
        <f>SUM(E25/100)</f>
        <v>8.5000000000000006E-2</v>
      </c>
      <c r="G25" s="144">
        <v>556.74</v>
      </c>
      <c r="H25" s="145">
        <f t="shared" si="0"/>
        <v>4.7322900000000001E-2</v>
      </c>
      <c r="I25" s="16">
        <v>0</v>
      </c>
      <c r="J25" s="29"/>
      <c r="K25" s="8"/>
      <c r="L25" s="8"/>
      <c r="M25" s="8"/>
    </row>
    <row r="26" spans="1:13" ht="15.75" hidden="1" customHeight="1">
      <c r="A26" s="36"/>
      <c r="B26" s="141" t="s">
        <v>140</v>
      </c>
      <c r="C26" s="142" t="s">
        <v>53</v>
      </c>
      <c r="D26" s="141" t="s">
        <v>54</v>
      </c>
      <c r="E26" s="143">
        <v>19</v>
      </c>
      <c r="F26" s="144">
        <f>E26/100</f>
        <v>0.19</v>
      </c>
      <c r="G26" s="144">
        <v>231.03</v>
      </c>
      <c r="H26" s="145">
        <f>G26*F26/1000</f>
        <v>4.3895699999999996E-2</v>
      </c>
      <c r="I26" s="16">
        <v>0</v>
      </c>
      <c r="J26" s="29"/>
      <c r="K26" s="8"/>
      <c r="L26" s="8"/>
      <c r="M26" s="8"/>
    </row>
    <row r="27" spans="1:13" ht="15.75" customHeight="1">
      <c r="A27" s="36">
        <v>6</v>
      </c>
      <c r="B27" s="141" t="s">
        <v>66</v>
      </c>
      <c r="C27" s="142" t="s">
        <v>33</v>
      </c>
      <c r="D27" s="141" t="s">
        <v>136</v>
      </c>
      <c r="E27" s="143">
        <v>0.1</v>
      </c>
      <c r="F27" s="144">
        <f>SUM(E27*365)</f>
        <v>36.5</v>
      </c>
      <c r="G27" s="144">
        <v>157.18</v>
      </c>
      <c r="H27" s="145">
        <f>SUM(F27*G27/1000)</f>
        <v>5.737070000000001</v>
      </c>
      <c r="I27" s="16">
        <f>F27/12*G27</f>
        <v>478.08916666666664</v>
      </c>
      <c r="J27" s="30"/>
    </row>
    <row r="28" spans="1:13" ht="15.75" customHeight="1">
      <c r="A28" s="36">
        <v>7</v>
      </c>
      <c r="B28" s="149" t="s">
        <v>23</v>
      </c>
      <c r="C28" s="142" t="s">
        <v>24</v>
      </c>
      <c r="D28" s="149" t="s">
        <v>153</v>
      </c>
      <c r="E28" s="143">
        <v>4731.7</v>
      </c>
      <c r="F28" s="144">
        <f>SUM(E28*12)</f>
        <v>56780.399999999994</v>
      </c>
      <c r="G28" s="144">
        <v>4.72</v>
      </c>
      <c r="H28" s="145">
        <f>SUM(F28*G28/1000)</f>
        <v>268.00348799999995</v>
      </c>
      <c r="I28" s="16">
        <f>F28/12*G28</f>
        <v>22333.623999999996</v>
      </c>
      <c r="J28" s="30"/>
    </row>
    <row r="29" spans="1:13" ht="15" customHeight="1">
      <c r="A29" s="173" t="s">
        <v>93</v>
      </c>
      <c r="B29" s="173"/>
      <c r="C29" s="173"/>
      <c r="D29" s="173"/>
      <c r="E29" s="173"/>
      <c r="F29" s="173"/>
      <c r="G29" s="173"/>
      <c r="H29" s="173"/>
      <c r="I29" s="173"/>
      <c r="J29" s="29"/>
      <c r="K29" s="8"/>
      <c r="L29" s="8"/>
      <c r="M29" s="8"/>
    </row>
    <row r="30" spans="1:13" ht="15.75" customHeight="1">
      <c r="A30" s="36"/>
      <c r="B30" s="189" t="s">
        <v>28</v>
      </c>
      <c r="C30" s="142"/>
      <c r="D30" s="141"/>
      <c r="E30" s="143"/>
      <c r="F30" s="144"/>
      <c r="G30" s="144"/>
      <c r="H30" s="145"/>
      <c r="I30" s="16"/>
      <c r="J30" s="29"/>
      <c r="K30" s="8"/>
      <c r="L30" s="8"/>
      <c r="M30" s="8"/>
    </row>
    <row r="31" spans="1:13" ht="31.5" customHeight="1">
      <c r="A31" s="36">
        <v>8</v>
      </c>
      <c r="B31" s="141" t="s">
        <v>119</v>
      </c>
      <c r="C31" s="142" t="s">
        <v>102</v>
      </c>
      <c r="D31" s="141" t="s">
        <v>116</v>
      </c>
      <c r="E31" s="144">
        <v>512.5</v>
      </c>
      <c r="F31" s="144">
        <f>SUM(E31*52/1000)</f>
        <v>26.65</v>
      </c>
      <c r="G31" s="144">
        <v>166.65</v>
      </c>
      <c r="H31" s="145">
        <f t="shared" ref="H31:H37" si="1">SUM(F31*G31/1000)</f>
        <v>4.4412225000000003</v>
      </c>
      <c r="I31" s="16">
        <f>F31/6*G31</f>
        <v>740.20375000000001</v>
      </c>
      <c r="J31" s="29"/>
      <c r="K31" s="8"/>
      <c r="L31" s="8"/>
      <c r="M31" s="8"/>
    </row>
    <row r="32" spans="1:13" ht="31.5" customHeight="1">
      <c r="A32" s="36">
        <v>9</v>
      </c>
      <c r="B32" s="141" t="s">
        <v>137</v>
      </c>
      <c r="C32" s="142" t="s">
        <v>102</v>
      </c>
      <c r="D32" s="141" t="s">
        <v>117</v>
      </c>
      <c r="E32" s="144">
        <v>316.27</v>
      </c>
      <c r="F32" s="144">
        <f>SUM(E32*78/1000)</f>
        <v>24.669059999999998</v>
      </c>
      <c r="G32" s="144">
        <v>276.48</v>
      </c>
      <c r="H32" s="145">
        <f t="shared" si="1"/>
        <v>6.8205017087999993</v>
      </c>
      <c r="I32" s="16">
        <f t="shared" ref="I32:I35" si="2">F32/6*G32</f>
        <v>1136.7502848000001</v>
      </c>
      <c r="J32" s="29"/>
      <c r="K32" s="8"/>
      <c r="L32" s="8"/>
      <c r="M32" s="8"/>
    </row>
    <row r="33" spans="1:14" ht="15.75" hidden="1" customHeight="1">
      <c r="A33" s="36"/>
      <c r="B33" s="141" t="s">
        <v>27</v>
      </c>
      <c r="C33" s="142" t="s">
        <v>102</v>
      </c>
      <c r="D33" s="141" t="s">
        <v>54</v>
      </c>
      <c r="E33" s="144">
        <v>512.5</v>
      </c>
      <c r="F33" s="144">
        <f>SUM(E33/1000)</f>
        <v>0.51249999999999996</v>
      </c>
      <c r="G33" s="144">
        <v>3228.73</v>
      </c>
      <c r="H33" s="145">
        <f t="shared" si="1"/>
        <v>1.654724125</v>
      </c>
      <c r="I33" s="16">
        <f>F33*G33</f>
        <v>1654.724125</v>
      </c>
      <c r="J33" s="29"/>
      <c r="K33" s="8"/>
      <c r="L33" s="8"/>
      <c r="M33" s="8"/>
    </row>
    <row r="34" spans="1:14" ht="15.75" customHeight="1">
      <c r="A34" s="36">
        <v>10</v>
      </c>
      <c r="B34" s="141" t="s">
        <v>154</v>
      </c>
      <c r="C34" s="142" t="s">
        <v>39</v>
      </c>
      <c r="D34" s="141" t="s">
        <v>65</v>
      </c>
      <c r="E34" s="144">
        <v>4</v>
      </c>
      <c r="F34" s="144">
        <f>E34*155/100</f>
        <v>6.2</v>
      </c>
      <c r="G34" s="144">
        <v>1391.86</v>
      </c>
      <c r="H34" s="145">
        <f>G34*F34/1000</f>
        <v>8.6295319999999993</v>
      </c>
      <c r="I34" s="16">
        <f t="shared" si="2"/>
        <v>1438.2553333333333</v>
      </c>
      <c r="J34" s="29"/>
      <c r="K34" s="8"/>
    </row>
    <row r="35" spans="1:14" ht="15.75" customHeight="1">
      <c r="A35" s="36">
        <v>11</v>
      </c>
      <c r="B35" s="141" t="s">
        <v>118</v>
      </c>
      <c r="C35" s="142" t="s">
        <v>31</v>
      </c>
      <c r="D35" s="141" t="s">
        <v>65</v>
      </c>
      <c r="E35" s="148">
        <v>0.33333333333333331</v>
      </c>
      <c r="F35" s="144">
        <f>155/3</f>
        <v>51.666666666666664</v>
      </c>
      <c r="G35" s="144">
        <v>60.6</v>
      </c>
      <c r="H35" s="145">
        <f>SUM(G35*155/3/1000)</f>
        <v>3.1309999999999998</v>
      </c>
      <c r="I35" s="16">
        <f t="shared" si="2"/>
        <v>521.83333333333337</v>
      </c>
      <c r="J35" s="30"/>
    </row>
    <row r="36" spans="1:14" ht="15.75" hidden="1" customHeight="1">
      <c r="A36" s="36"/>
      <c r="B36" s="141" t="s">
        <v>67</v>
      </c>
      <c r="C36" s="142" t="s">
        <v>33</v>
      </c>
      <c r="D36" s="141" t="s">
        <v>69</v>
      </c>
      <c r="E36" s="143"/>
      <c r="F36" s="144">
        <v>3</v>
      </c>
      <c r="G36" s="144">
        <v>204.52</v>
      </c>
      <c r="H36" s="145">
        <f t="shared" si="1"/>
        <v>0.61356000000000011</v>
      </c>
      <c r="I36" s="16">
        <v>0</v>
      </c>
      <c r="J36" s="30"/>
    </row>
    <row r="37" spans="1:14" ht="15.75" hidden="1" customHeight="1">
      <c r="A37" s="36"/>
      <c r="B37" s="141" t="s">
        <v>68</v>
      </c>
      <c r="C37" s="142" t="s">
        <v>32</v>
      </c>
      <c r="D37" s="141" t="s">
        <v>69</v>
      </c>
      <c r="E37" s="143"/>
      <c r="F37" s="144">
        <v>2</v>
      </c>
      <c r="G37" s="144">
        <v>1214.73</v>
      </c>
      <c r="H37" s="145">
        <f t="shared" si="1"/>
        <v>2.4294600000000002</v>
      </c>
      <c r="I37" s="16">
        <v>0</v>
      </c>
      <c r="J37" s="30"/>
    </row>
    <row r="38" spans="1:14" ht="15.75" hidden="1" customHeight="1">
      <c r="A38" s="36"/>
      <c r="B38" s="189" t="s">
        <v>5</v>
      </c>
      <c r="C38" s="142"/>
      <c r="D38" s="141"/>
      <c r="E38" s="143"/>
      <c r="F38" s="144"/>
      <c r="G38" s="144"/>
      <c r="H38" s="145" t="s">
        <v>153</v>
      </c>
      <c r="I38" s="16"/>
      <c r="J38" s="30"/>
    </row>
    <row r="39" spans="1:14" ht="15.75" hidden="1" customHeight="1">
      <c r="A39" s="36">
        <v>8</v>
      </c>
      <c r="B39" s="141" t="s">
        <v>26</v>
      </c>
      <c r="C39" s="142" t="s">
        <v>32</v>
      </c>
      <c r="D39" s="141"/>
      <c r="E39" s="143"/>
      <c r="F39" s="144">
        <v>5</v>
      </c>
      <c r="G39" s="144">
        <v>1632.6</v>
      </c>
      <c r="H39" s="145">
        <f t="shared" ref="H39:H45" si="3">SUM(F39*G39/1000)</f>
        <v>8.1630000000000003</v>
      </c>
      <c r="I39" s="16">
        <f>F39/6*G39</f>
        <v>1360.5</v>
      </c>
      <c r="J39" s="30"/>
      <c r="L39" s="25"/>
      <c r="M39" s="26"/>
      <c r="N39" s="27"/>
    </row>
    <row r="40" spans="1:14" ht="15.75" hidden="1" customHeight="1">
      <c r="A40" s="36">
        <v>9</v>
      </c>
      <c r="B40" s="141" t="s">
        <v>120</v>
      </c>
      <c r="C40" s="142" t="s">
        <v>29</v>
      </c>
      <c r="D40" s="141" t="s">
        <v>146</v>
      </c>
      <c r="E40" s="143">
        <v>228.38</v>
      </c>
      <c r="F40" s="144">
        <f>E40*30/1000</f>
        <v>6.8513999999999999</v>
      </c>
      <c r="G40" s="144">
        <v>2247.8000000000002</v>
      </c>
      <c r="H40" s="145">
        <f>G40*F40/1000</f>
        <v>15.400576920000001</v>
      </c>
      <c r="I40" s="16">
        <f>F40/6*G40</f>
        <v>2566.7628199999999</v>
      </c>
      <c r="J40" s="30"/>
      <c r="L40" s="25"/>
      <c r="M40" s="26"/>
      <c r="N40" s="27"/>
    </row>
    <row r="41" spans="1:14" ht="15.75" hidden="1" customHeight="1">
      <c r="A41" s="36">
        <v>10</v>
      </c>
      <c r="B41" s="141" t="s">
        <v>144</v>
      </c>
      <c r="C41" s="142" t="s">
        <v>145</v>
      </c>
      <c r="D41" s="141" t="s">
        <v>69</v>
      </c>
      <c r="E41" s="143"/>
      <c r="F41" s="144">
        <v>120</v>
      </c>
      <c r="G41" s="144">
        <v>213.2</v>
      </c>
      <c r="H41" s="145">
        <f>G41*F41/1000</f>
        <v>25.584</v>
      </c>
      <c r="I41" s="16">
        <f>G41*12</f>
        <v>2558.3999999999996</v>
      </c>
      <c r="J41" s="30"/>
      <c r="L41" s="25"/>
      <c r="M41" s="26"/>
      <c r="N41" s="27"/>
    </row>
    <row r="42" spans="1:14" ht="15.75" hidden="1" customHeight="1">
      <c r="A42" s="36">
        <v>11</v>
      </c>
      <c r="B42" s="141" t="s">
        <v>70</v>
      </c>
      <c r="C42" s="142" t="s">
        <v>29</v>
      </c>
      <c r="D42" s="141" t="s">
        <v>101</v>
      </c>
      <c r="E42" s="144">
        <v>233.71</v>
      </c>
      <c r="F42" s="144">
        <f>SUM(E42*155/1000)</f>
        <v>36.225050000000003</v>
      </c>
      <c r="G42" s="144">
        <v>374.95</v>
      </c>
      <c r="H42" s="145">
        <f t="shared" si="3"/>
        <v>13.582582497500001</v>
      </c>
      <c r="I42" s="16">
        <f>F42/6*G42</f>
        <v>2263.7637495833337</v>
      </c>
      <c r="J42" s="30"/>
      <c r="L42" s="25"/>
      <c r="M42" s="26"/>
      <c r="N42" s="27"/>
    </row>
    <row r="43" spans="1:14" ht="47.25" hidden="1" customHeight="1">
      <c r="A43" s="36">
        <v>12</v>
      </c>
      <c r="B43" s="141" t="s">
        <v>88</v>
      </c>
      <c r="C43" s="142" t="s">
        <v>102</v>
      </c>
      <c r="D43" s="141" t="s">
        <v>147</v>
      </c>
      <c r="E43" s="144">
        <v>54.4</v>
      </c>
      <c r="F43" s="144">
        <f>SUM(E43*35/1000)</f>
        <v>1.9039999999999999</v>
      </c>
      <c r="G43" s="144">
        <v>6203.7</v>
      </c>
      <c r="H43" s="145">
        <f t="shared" si="3"/>
        <v>11.811844799999999</v>
      </c>
      <c r="I43" s="16">
        <f>F43/6*G43</f>
        <v>1968.6407999999997</v>
      </c>
      <c r="J43" s="30"/>
      <c r="L43" s="25"/>
      <c r="M43" s="26"/>
      <c r="N43" s="27"/>
    </row>
    <row r="44" spans="1:14" ht="15.75" hidden="1" customHeight="1">
      <c r="A44" s="36">
        <v>13</v>
      </c>
      <c r="B44" s="141" t="s">
        <v>103</v>
      </c>
      <c r="C44" s="142" t="s">
        <v>102</v>
      </c>
      <c r="D44" s="141" t="s">
        <v>71</v>
      </c>
      <c r="E44" s="144">
        <v>228.38</v>
      </c>
      <c r="F44" s="144">
        <f>SUM(E44*45/1000)</f>
        <v>10.277100000000001</v>
      </c>
      <c r="G44" s="144">
        <v>458.28</v>
      </c>
      <c r="H44" s="145">
        <f t="shared" si="3"/>
        <v>4.7097893879999999</v>
      </c>
      <c r="I44" s="16">
        <f>F44/6*G44</f>
        <v>784.96489800000006</v>
      </c>
      <c r="J44" s="30"/>
      <c r="L44" s="25"/>
      <c r="M44" s="26"/>
      <c r="N44" s="27"/>
    </row>
    <row r="45" spans="1:14" ht="15.75" hidden="1" customHeight="1">
      <c r="A45" s="36">
        <v>14</v>
      </c>
      <c r="B45" s="141" t="s">
        <v>72</v>
      </c>
      <c r="C45" s="142" t="s">
        <v>33</v>
      </c>
      <c r="D45" s="141"/>
      <c r="E45" s="143"/>
      <c r="F45" s="144">
        <v>1.8</v>
      </c>
      <c r="G45" s="144">
        <v>853.06</v>
      </c>
      <c r="H45" s="145">
        <f t="shared" si="3"/>
        <v>1.5355080000000001</v>
      </c>
      <c r="I45" s="16">
        <f>F45/6*G45</f>
        <v>255.91799999999998</v>
      </c>
      <c r="J45" s="30"/>
      <c r="L45" s="25"/>
      <c r="M45" s="26"/>
      <c r="N45" s="27"/>
    </row>
    <row r="46" spans="1:14" ht="15" hidden="1" customHeight="1">
      <c r="A46" s="174" t="s">
        <v>177</v>
      </c>
      <c r="B46" s="175"/>
      <c r="C46" s="175"/>
      <c r="D46" s="175"/>
      <c r="E46" s="175"/>
      <c r="F46" s="175"/>
      <c r="G46" s="175"/>
      <c r="H46" s="175"/>
      <c r="I46" s="176"/>
      <c r="J46" s="30"/>
      <c r="L46" s="25"/>
      <c r="M46" s="26"/>
      <c r="N46" s="27"/>
    </row>
    <row r="47" spans="1:14" ht="15.75" hidden="1" customHeight="1">
      <c r="A47" s="36"/>
      <c r="B47" s="141" t="s">
        <v>148</v>
      </c>
      <c r="C47" s="142" t="s">
        <v>102</v>
      </c>
      <c r="D47" s="141" t="s">
        <v>41</v>
      </c>
      <c r="E47" s="143">
        <v>1320.9</v>
      </c>
      <c r="F47" s="144">
        <f>SUM(E47*2/1000)</f>
        <v>2.6418000000000004</v>
      </c>
      <c r="G47" s="16">
        <v>908.11</v>
      </c>
      <c r="H47" s="145">
        <f t="shared" ref="H47:H55" si="4">SUM(F47*G47/1000)</f>
        <v>2.3990449980000004</v>
      </c>
      <c r="I47" s="16">
        <v>0</v>
      </c>
      <c r="J47" s="30"/>
      <c r="L47" s="25"/>
      <c r="M47" s="26"/>
      <c r="N47" s="27"/>
    </row>
    <row r="48" spans="1:14" ht="15.75" hidden="1" customHeight="1">
      <c r="A48" s="36"/>
      <c r="B48" s="141" t="s">
        <v>34</v>
      </c>
      <c r="C48" s="142" t="s">
        <v>102</v>
      </c>
      <c r="D48" s="141" t="s">
        <v>41</v>
      </c>
      <c r="E48" s="143">
        <v>52</v>
      </c>
      <c r="F48" s="144">
        <f>E48*2/1000</f>
        <v>0.104</v>
      </c>
      <c r="G48" s="16">
        <v>619.46</v>
      </c>
      <c r="H48" s="145">
        <f t="shared" si="4"/>
        <v>6.4423839999999996E-2</v>
      </c>
      <c r="I48" s="16">
        <v>0</v>
      </c>
      <c r="J48" s="30"/>
      <c r="L48" s="25"/>
      <c r="M48" s="26"/>
      <c r="N48" s="27"/>
    </row>
    <row r="49" spans="1:22" ht="15.75" hidden="1" customHeight="1">
      <c r="A49" s="36"/>
      <c r="B49" s="141" t="s">
        <v>35</v>
      </c>
      <c r="C49" s="142" t="s">
        <v>102</v>
      </c>
      <c r="D49" s="141" t="s">
        <v>41</v>
      </c>
      <c r="E49" s="143">
        <v>1520.8</v>
      </c>
      <c r="F49" s="144">
        <f>SUM(E49*2/1000)</f>
        <v>3.0415999999999999</v>
      </c>
      <c r="G49" s="16">
        <v>619.46</v>
      </c>
      <c r="H49" s="145">
        <f t="shared" si="4"/>
        <v>1.8841495360000002</v>
      </c>
      <c r="I49" s="16">
        <v>0</v>
      </c>
      <c r="J49" s="30"/>
      <c r="L49" s="25"/>
      <c r="M49" s="26"/>
      <c r="N49" s="27"/>
    </row>
    <row r="50" spans="1:22" ht="15.75" hidden="1" customHeight="1">
      <c r="A50" s="36"/>
      <c r="B50" s="141" t="s">
        <v>36</v>
      </c>
      <c r="C50" s="142" t="s">
        <v>102</v>
      </c>
      <c r="D50" s="141" t="s">
        <v>41</v>
      </c>
      <c r="E50" s="143">
        <v>3433.81</v>
      </c>
      <c r="F50" s="144">
        <f>SUM(E50*2/1000)</f>
        <v>6.8676199999999996</v>
      </c>
      <c r="G50" s="16">
        <v>648.64</v>
      </c>
      <c r="H50" s="145">
        <f t="shared" si="4"/>
        <v>4.4546130367999996</v>
      </c>
      <c r="I50" s="16">
        <v>0</v>
      </c>
      <c r="J50" s="30"/>
      <c r="L50" s="25"/>
      <c r="M50" s="26"/>
      <c r="N50" s="27"/>
    </row>
    <row r="51" spans="1:22" ht="15.75" hidden="1" customHeight="1">
      <c r="A51" s="36">
        <v>15</v>
      </c>
      <c r="B51" s="141" t="s">
        <v>57</v>
      </c>
      <c r="C51" s="142" t="s">
        <v>102</v>
      </c>
      <c r="D51" s="141" t="s">
        <v>225</v>
      </c>
      <c r="E51" s="143">
        <v>2641.8</v>
      </c>
      <c r="F51" s="144">
        <f>SUM(E51*5/1000)</f>
        <v>13.209</v>
      </c>
      <c r="G51" s="16">
        <v>1297.28</v>
      </c>
      <c r="H51" s="145">
        <f t="shared" si="4"/>
        <v>17.135771519999999</v>
      </c>
      <c r="I51" s="16">
        <f>F51/5*G51</f>
        <v>3427.1543039999997</v>
      </c>
      <c r="J51" s="30"/>
      <c r="L51" s="25"/>
      <c r="M51" s="26"/>
      <c r="N51" s="27"/>
    </row>
    <row r="52" spans="1:22" ht="31.5" hidden="1" customHeight="1">
      <c r="A52" s="36"/>
      <c r="B52" s="141" t="s">
        <v>104</v>
      </c>
      <c r="C52" s="142" t="s">
        <v>102</v>
      </c>
      <c r="D52" s="141" t="s">
        <v>41</v>
      </c>
      <c r="E52" s="143">
        <v>2641.8</v>
      </c>
      <c r="F52" s="144">
        <f>SUM(E52*2/1000)</f>
        <v>5.2836000000000007</v>
      </c>
      <c r="G52" s="16">
        <v>1297.28</v>
      </c>
      <c r="H52" s="145">
        <f t="shared" si="4"/>
        <v>6.8543086080000011</v>
      </c>
      <c r="I52" s="16">
        <v>0</v>
      </c>
      <c r="J52" s="30"/>
      <c r="L52" s="25"/>
      <c r="M52" s="26"/>
      <c r="N52" s="27"/>
    </row>
    <row r="53" spans="1:22" ht="31.5" hidden="1" customHeight="1">
      <c r="A53" s="36"/>
      <c r="B53" s="141" t="s">
        <v>105</v>
      </c>
      <c r="C53" s="142" t="s">
        <v>37</v>
      </c>
      <c r="D53" s="141" t="s">
        <v>41</v>
      </c>
      <c r="E53" s="143">
        <v>20</v>
      </c>
      <c r="F53" s="144">
        <f>SUM(E53*2/100)</f>
        <v>0.4</v>
      </c>
      <c r="G53" s="16">
        <v>2918.89</v>
      </c>
      <c r="H53" s="145">
        <f>SUM(F53*G53/1000)</f>
        <v>1.167556</v>
      </c>
      <c r="I53" s="16">
        <v>0</v>
      </c>
      <c r="J53" s="30"/>
      <c r="L53" s="25"/>
      <c r="M53" s="26"/>
      <c r="N53" s="27"/>
    </row>
    <row r="54" spans="1:22" ht="15.75" hidden="1" customHeight="1">
      <c r="A54" s="36"/>
      <c r="B54" s="141" t="s">
        <v>38</v>
      </c>
      <c r="C54" s="142" t="s">
        <v>39</v>
      </c>
      <c r="D54" s="141" t="s">
        <v>41</v>
      </c>
      <c r="E54" s="143">
        <v>1</v>
      </c>
      <c r="F54" s="144">
        <v>0.02</v>
      </c>
      <c r="G54" s="16">
        <v>6042.12</v>
      </c>
      <c r="H54" s="145">
        <f t="shared" si="4"/>
        <v>0.1208424</v>
      </c>
      <c r="I54" s="16">
        <v>0</v>
      </c>
      <c r="J54" s="30"/>
      <c r="L54" s="25"/>
      <c r="M54" s="26"/>
      <c r="N54" s="27"/>
    </row>
    <row r="55" spans="1:22" ht="15.75" hidden="1" customHeight="1">
      <c r="A55" s="36">
        <v>16</v>
      </c>
      <c r="B55" s="141" t="s">
        <v>40</v>
      </c>
      <c r="C55" s="142" t="s">
        <v>122</v>
      </c>
      <c r="D55" s="141" t="s">
        <v>73</v>
      </c>
      <c r="E55" s="143">
        <v>160</v>
      </c>
      <c r="F55" s="144">
        <f>SUM(E55)*3</f>
        <v>480</v>
      </c>
      <c r="G55" s="16">
        <v>70.209999999999994</v>
      </c>
      <c r="H55" s="145">
        <f t="shared" si="4"/>
        <v>33.700799999999994</v>
      </c>
      <c r="I55" s="16">
        <f>E55*G55</f>
        <v>11233.599999999999</v>
      </c>
      <c r="J55" s="30"/>
      <c r="L55" s="25"/>
      <c r="M55" s="26"/>
      <c r="N55" s="27"/>
    </row>
    <row r="56" spans="1:22" ht="15.75" customHeight="1">
      <c r="A56" s="174" t="s">
        <v>181</v>
      </c>
      <c r="B56" s="175"/>
      <c r="C56" s="175"/>
      <c r="D56" s="175"/>
      <c r="E56" s="175"/>
      <c r="F56" s="175"/>
      <c r="G56" s="175"/>
      <c r="H56" s="175"/>
      <c r="I56" s="176"/>
      <c r="J56" s="30"/>
      <c r="L56" s="25"/>
      <c r="M56" s="26"/>
      <c r="N56" s="27"/>
    </row>
    <row r="57" spans="1:22" ht="15.75" hidden="1" customHeight="1">
      <c r="A57" s="36"/>
      <c r="B57" s="189" t="s">
        <v>42</v>
      </c>
      <c r="C57" s="142"/>
      <c r="D57" s="141"/>
      <c r="E57" s="143"/>
      <c r="F57" s="144"/>
      <c r="G57" s="144"/>
      <c r="H57" s="145"/>
      <c r="I57" s="16"/>
      <c r="J57" s="30"/>
      <c r="L57" s="25"/>
      <c r="M57" s="26"/>
      <c r="N57" s="27"/>
    </row>
    <row r="58" spans="1:22" ht="31.5" hidden="1" customHeight="1">
      <c r="A58" s="36">
        <v>17</v>
      </c>
      <c r="B58" s="141" t="s">
        <v>149</v>
      </c>
      <c r="C58" s="142" t="s">
        <v>98</v>
      </c>
      <c r="D58" s="141" t="s">
        <v>123</v>
      </c>
      <c r="E58" s="143">
        <v>155.09</v>
      </c>
      <c r="F58" s="144">
        <f>SUM(E58*6/100)</f>
        <v>9.3053999999999988</v>
      </c>
      <c r="G58" s="16">
        <v>1654.04</v>
      </c>
      <c r="H58" s="145">
        <f>SUM(F58*G58/1000)</f>
        <v>15.391503815999998</v>
      </c>
      <c r="I58" s="16">
        <f>F58/6*G58</f>
        <v>2565.2506359999993</v>
      </c>
      <c r="J58" s="30"/>
      <c r="L58" s="25"/>
      <c r="M58" s="26"/>
      <c r="N58" s="27"/>
    </row>
    <row r="59" spans="1:22" ht="15.75" hidden="1" customHeight="1">
      <c r="A59" s="36">
        <v>18</v>
      </c>
      <c r="B59" s="141" t="s">
        <v>150</v>
      </c>
      <c r="C59" s="142" t="s">
        <v>98</v>
      </c>
      <c r="D59" s="141" t="s">
        <v>123</v>
      </c>
      <c r="E59" s="143">
        <v>3.8</v>
      </c>
      <c r="F59" s="144">
        <f>SUM(E59*6/100)</f>
        <v>0.22799999999999998</v>
      </c>
      <c r="G59" s="16">
        <v>1654.04</v>
      </c>
      <c r="H59" s="145">
        <f>SUM(F59*G59/1000)</f>
        <v>0.37712111999999998</v>
      </c>
      <c r="I59" s="16">
        <f>F59/6*G59</f>
        <v>62.853519999999996</v>
      </c>
      <c r="J59" s="30"/>
      <c r="L59" s="25"/>
    </row>
    <row r="60" spans="1:22" ht="15.75" hidden="1" customHeight="1">
      <c r="A60" s="36">
        <v>19</v>
      </c>
      <c r="B60" s="150" t="s">
        <v>151</v>
      </c>
      <c r="C60" s="151" t="s">
        <v>152</v>
      </c>
      <c r="D60" s="150" t="s">
        <v>41</v>
      </c>
      <c r="E60" s="152">
        <v>4</v>
      </c>
      <c r="F60" s="153">
        <v>0.8</v>
      </c>
      <c r="G60" s="16">
        <v>193.23</v>
      </c>
      <c r="H60" s="145">
        <f t="shared" ref="H60:H61" si="5">SUM(F60*G60/1000)</f>
        <v>0.154584</v>
      </c>
      <c r="I60" s="16">
        <f>F60/2*G60</f>
        <v>77.292000000000002</v>
      </c>
    </row>
    <row r="61" spans="1:22" ht="15.75" hidden="1" customHeight="1">
      <c r="A61" s="36"/>
      <c r="B61" s="150" t="s">
        <v>44</v>
      </c>
      <c r="C61" s="151" t="s">
        <v>53</v>
      </c>
      <c r="D61" s="150" t="s">
        <v>54</v>
      </c>
      <c r="E61" s="152">
        <v>1320.9</v>
      </c>
      <c r="F61" s="153">
        <f>E61/100</f>
        <v>13.209000000000001</v>
      </c>
      <c r="G61" s="16">
        <v>505.2</v>
      </c>
      <c r="H61" s="145">
        <f t="shared" si="5"/>
        <v>6.6731868000000008</v>
      </c>
      <c r="I61" s="16">
        <v>0</v>
      </c>
    </row>
    <row r="62" spans="1:22" ht="15.75" customHeight="1">
      <c r="A62" s="36"/>
      <c r="B62" s="190" t="s">
        <v>43</v>
      </c>
      <c r="C62" s="151"/>
      <c r="D62" s="150"/>
      <c r="E62" s="152"/>
      <c r="F62" s="153"/>
      <c r="G62" s="16"/>
      <c r="H62" s="154"/>
      <c r="I62" s="16"/>
    </row>
    <row r="63" spans="1:22" ht="15.75" hidden="1" customHeight="1">
      <c r="A63" s="36"/>
      <c r="B63" s="150" t="s">
        <v>44</v>
      </c>
      <c r="C63" s="151" t="s">
        <v>53</v>
      </c>
      <c r="D63" s="150" t="s">
        <v>54</v>
      </c>
      <c r="E63" s="152">
        <v>1238</v>
      </c>
      <c r="F63" s="153">
        <f>E63/100</f>
        <v>12.38</v>
      </c>
      <c r="G63" s="16">
        <v>848.37</v>
      </c>
      <c r="H63" s="154">
        <f>F63*G63/1000</f>
        <v>10.502820600000002</v>
      </c>
      <c r="I63" s="16">
        <v>0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.75" customHeight="1">
      <c r="A64" s="36">
        <v>12</v>
      </c>
      <c r="B64" s="150" t="s">
        <v>139</v>
      </c>
      <c r="C64" s="151" t="s">
        <v>25</v>
      </c>
      <c r="D64" s="150" t="s">
        <v>30</v>
      </c>
      <c r="E64" s="152">
        <v>238</v>
      </c>
      <c r="F64" s="155">
        <f>E64*12</f>
        <v>2856</v>
      </c>
      <c r="G64" s="135">
        <v>2.6</v>
      </c>
      <c r="H64" s="153">
        <f>F64*G64/1000</f>
        <v>7.4256000000000002</v>
      </c>
      <c r="I64" s="16">
        <f>F64/12*G64</f>
        <v>618.80000000000007</v>
      </c>
      <c r="J64" s="32"/>
      <c r="K64" s="32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hidden="1" customHeight="1">
      <c r="A65" s="36"/>
      <c r="B65" s="190" t="s">
        <v>45</v>
      </c>
      <c r="C65" s="151"/>
      <c r="D65" s="150"/>
      <c r="E65" s="152"/>
      <c r="F65" s="155"/>
      <c r="G65" s="155"/>
      <c r="H65" s="153" t="s">
        <v>153</v>
      </c>
      <c r="I65" s="16"/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hidden="1" customHeight="1">
      <c r="A66" s="36"/>
      <c r="B66" s="18" t="s">
        <v>46</v>
      </c>
      <c r="C66" s="20" t="s">
        <v>122</v>
      </c>
      <c r="D66" s="18" t="s">
        <v>69</v>
      </c>
      <c r="E66" s="23">
        <v>8</v>
      </c>
      <c r="F66" s="144">
        <v>8</v>
      </c>
      <c r="G66" s="16">
        <v>237.74</v>
      </c>
      <c r="H66" s="156">
        <f t="shared" ref="H66:H79" si="6">SUM(F66*G66/1000)</f>
        <v>1.9019200000000001</v>
      </c>
      <c r="I66" s="16">
        <v>0</v>
      </c>
      <c r="J66" s="5"/>
      <c r="K66" s="5"/>
      <c r="L66" s="5"/>
      <c r="M66" s="5"/>
      <c r="N66" s="5"/>
      <c r="O66" s="5"/>
      <c r="P66" s="5"/>
      <c r="Q66" s="5"/>
      <c r="R66" s="167"/>
      <c r="S66" s="167"/>
      <c r="T66" s="167"/>
      <c r="U66" s="167"/>
    </row>
    <row r="67" spans="1:21" ht="15.75" hidden="1" customHeight="1">
      <c r="A67" s="36"/>
      <c r="B67" s="18" t="s">
        <v>47</v>
      </c>
      <c r="C67" s="20" t="s">
        <v>122</v>
      </c>
      <c r="D67" s="18" t="s">
        <v>69</v>
      </c>
      <c r="E67" s="23">
        <v>3</v>
      </c>
      <c r="F67" s="144">
        <v>3</v>
      </c>
      <c r="G67" s="16">
        <v>81.510000000000005</v>
      </c>
      <c r="H67" s="156">
        <f t="shared" si="6"/>
        <v>0.24453000000000003</v>
      </c>
      <c r="I67" s="16">
        <v>0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ht="15.75" hidden="1" customHeight="1">
      <c r="A68" s="36"/>
      <c r="B68" s="18" t="s">
        <v>48</v>
      </c>
      <c r="C68" s="20" t="s">
        <v>124</v>
      </c>
      <c r="D68" s="18" t="s">
        <v>54</v>
      </c>
      <c r="E68" s="143">
        <v>19836</v>
      </c>
      <c r="F68" s="16">
        <f>SUM(E68/100)</f>
        <v>198.36</v>
      </c>
      <c r="G68" s="16">
        <v>226.79</v>
      </c>
      <c r="H68" s="156">
        <f t="shared" si="6"/>
        <v>44.986064400000004</v>
      </c>
      <c r="I68" s="16">
        <f>F68*G68</f>
        <v>44986.064400000003</v>
      </c>
    </row>
    <row r="69" spans="1:21" ht="15.75" hidden="1" customHeight="1">
      <c r="A69" s="36"/>
      <c r="B69" s="18" t="s">
        <v>49</v>
      </c>
      <c r="C69" s="20" t="s">
        <v>125</v>
      </c>
      <c r="D69" s="18"/>
      <c r="E69" s="143">
        <v>19836</v>
      </c>
      <c r="F69" s="16">
        <f>SUM(E69/1000)</f>
        <v>19.835999999999999</v>
      </c>
      <c r="G69" s="16">
        <v>176.61</v>
      </c>
      <c r="H69" s="156">
        <f t="shared" si="6"/>
        <v>3.50323596</v>
      </c>
      <c r="I69" s="16">
        <f t="shared" ref="I69:I73" si="7">F69*G69</f>
        <v>3503.23596</v>
      </c>
    </row>
    <row r="70" spans="1:21" ht="15.75" hidden="1" customHeight="1">
      <c r="A70" s="36"/>
      <c r="B70" s="18" t="s">
        <v>50</v>
      </c>
      <c r="C70" s="20" t="s">
        <v>79</v>
      </c>
      <c r="D70" s="18" t="s">
        <v>54</v>
      </c>
      <c r="E70" s="143">
        <v>3155</v>
      </c>
      <c r="F70" s="16">
        <f>SUM(E70/100)</f>
        <v>31.55</v>
      </c>
      <c r="G70" s="16">
        <v>2217.7800000000002</v>
      </c>
      <c r="H70" s="156">
        <f t="shared" si="6"/>
        <v>69.970959000000008</v>
      </c>
      <c r="I70" s="16">
        <f t="shared" si="7"/>
        <v>69970.959000000003</v>
      </c>
    </row>
    <row r="71" spans="1:21" ht="15.75" hidden="1" customHeight="1">
      <c r="A71" s="36"/>
      <c r="B71" s="157" t="s">
        <v>126</v>
      </c>
      <c r="C71" s="20" t="s">
        <v>33</v>
      </c>
      <c r="D71" s="18"/>
      <c r="E71" s="143">
        <v>17.600000000000001</v>
      </c>
      <c r="F71" s="16">
        <f>SUM(E71)</f>
        <v>17.600000000000001</v>
      </c>
      <c r="G71" s="16">
        <v>42.67</v>
      </c>
      <c r="H71" s="156">
        <f t="shared" si="6"/>
        <v>0.7509920000000001</v>
      </c>
      <c r="I71" s="16">
        <f t="shared" si="7"/>
        <v>750.99200000000008</v>
      </c>
    </row>
    <row r="72" spans="1:21" ht="15.75" hidden="1" customHeight="1">
      <c r="A72" s="36"/>
      <c r="B72" s="157" t="s">
        <v>127</v>
      </c>
      <c r="C72" s="20" t="s">
        <v>33</v>
      </c>
      <c r="D72" s="18"/>
      <c r="E72" s="143">
        <v>17.600000000000001</v>
      </c>
      <c r="F72" s="16">
        <f>SUM(E72)</f>
        <v>17.600000000000001</v>
      </c>
      <c r="G72" s="16">
        <v>39.81</v>
      </c>
      <c r="H72" s="156">
        <f t="shared" si="6"/>
        <v>0.70065600000000006</v>
      </c>
      <c r="I72" s="16">
        <f t="shared" si="7"/>
        <v>700.65600000000006</v>
      </c>
    </row>
    <row r="73" spans="1:21" ht="15.75" hidden="1" customHeight="1">
      <c r="A73" s="36"/>
      <c r="B73" s="18" t="s">
        <v>58</v>
      </c>
      <c r="C73" s="20" t="s">
        <v>59</v>
      </c>
      <c r="D73" s="18" t="s">
        <v>54</v>
      </c>
      <c r="E73" s="23">
        <v>7</v>
      </c>
      <c r="F73" s="144">
        <v>7</v>
      </c>
      <c r="G73" s="16">
        <v>53.32</v>
      </c>
      <c r="H73" s="156">
        <f t="shared" si="6"/>
        <v>0.37324000000000002</v>
      </c>
      <c r="I73" s="16">
        <f t="shared" si="7"/>
        <v>373.24</v>
      </c>
    </row>
    <row r="74" spans="1:21" ht="15.75" hidden="1" customHeight="1">
      <c r="A74" s="36"/>
      <c r="B74" s="125" t="s">
        <v>74</v>
      </c>
      <c r="C74" s="20"/>
      <c r="D74" s="18"/>
      <c r="E74" s="23"/>
      <c r="F74" s="16"/>
      <c r="G74" s="16"/>
      <c r="H74" s="156" t="s">
        <v>153</v>
      </c>
      <c r="I74" s="16"/>
    </row>
    <row r="75" spans="1:21" ht="15.75" hidden="1" customHeight="1">
      <c r="A75" s="36"/>
      <c r="B75" s="18" t="s">
        <v>75</v>
      </c>
      <c r="C75" s="20" t="s">
        <v>77</v>
      </c>
      <c r="D75" s="18"/>
      <c r="E75" s="23">
        <v>2</v>
      </c>
      <c r="F75" s="16">
        <v>0.2</v>
      </c>
      <c r="G75" s="16">
        <v>536.23</v>
      </c>
      <c r="H75" s="156">
        <f t="shared" si="6"/>
        <v>0.10724600000000001</v>
      </c>
      <c r="I75" s="16">
        <v>0</v>
      </c>
    </row>
    <row r="76" spans="1:21" ht="15.75" hidden="1" customHeight="1">
      <c r="A76" s="36"/>
      <c r="B76" s="18" t="s">
        <v>76</v>
      </c>
      <c r="C76" s="20" t="s">
        <v>31</v>
      </c>
      <c r="D76" s="18"/>
      <c r="E76" s="23">
        <v>1</v>
      </c>
      <c r="F76" s="135">
        <v>1</v>
      </c>
      <c r="G76" s="16">
        <v>911.85</v>
      </c>
      <c r="H76" s="156">
        <f>F76*G76/1000</f>
        <v>0.91185000000000005</v>
      </c>
      <c r="I76" s="16">
        <v>0</v>
      </c>
    </row>
    <row r="77" spans="1:21" ht="15.75" hidden="1" customHeight="1">
      <c r="A77" s="36"/>
      <c r="B77" s="18" t="s">
        <v>129</v>
      </c>
      <c r="C77" s="20" t="s">
        <v>31</v>
      </c>
      <c r="D77" s="18"/>
      <c r="E77" s="23">
        <v>1</v>
      </c>
      <c r="F77" s="16">
        <v>1</v>
      </c>
      <c r="G77" s="16">
        <v>383.25</v>
      </c>
      <c r="H77" s="156">
        <f>G77*F77/1000</f>
        <v>0.38324999999999998</v>
      </c>
      <c r="I77" s="16">
        <v>0</v>
      </c>
    </row>
    <row r="78" spans="1:21" ht="15.75" hidden="1" customHeight="1">
      <c r="A78" s="36"/>
      <c r="B78" s="159" t="s">
        <v>78</v>
      </c>
      <c r="C78" s="20"/>
      <c r="D78" s="18"/>
      <c r="E78" s="23"/>
      <c r="F78" s="16"/>
      <c r="G78" s="16" t="s">
        <v>153</v>
      </c>
      <c r="H78" s="156" t="s">
        <v>153</v>
      </c>
      <c r="I78" s="16"/>
    </row>
    <row r="79" spans="1:21" ht="15.75" hidden="1" customHeight="1">
      <c r="A79" s="36"/>
      <c r="B79" s="67" t="s">
        <v>141</v>
      </c>
      <c r="C79" s="20" t="s">
        <v>79</v>
      </c>
      <c r="D79" s="18"/>
      <c r="E79" s="23"/>
      <c r="F79" s="16">
        <v>0.3</v>
      </c>
      <c r="G79" s="16">
        <v>2949.85</v>
      </c>
      <c r="H79" s="156">
        <f t="shared" si="6"/>
        <v>0.88495499999999994</v>
      </c>
      <c r="I79" s="16">
        <v>0</v>
      </c>
    </row>
    <row r="80" spans="1:21" ht="15.75" hidden="1" customHeight="1">
      <c r="A80" s="36"/>
      <c r="B80" s="125" t="s">
        <v>106</v>
      </c>
      <c r="C80" s="159"/>
      <c r="D80" s="38"/>
      <c r="E80" s="39"/>
      <c r="F80" s="147"/>
      <c r="G80" s="147"/>
      <c r="H80" s="160">
        <f>SUM(H58:H79)</f>
        <v>165.24371469600001</v>
      </c>
      <c r="I80" s="147"/>
    </row>
    <row r="81" spans="1:9" ht="15.75" hidden="1" customHeight="1">
      <c r="A81" s="36"/>
      <c r="B81" s="141" t="s">
        <v>128</v>
      </c>
      <c r="C81" s="20"/>
      <c r="D81" s="18"/>
      <c r="E81" s="136"/>
      <c r="F81" s="16">
        <v>1</v>
      </c>
      <c r="G81" s="16">
        <v>17869</v>
      </c>
      <c r="H81" s="156">
        <f>G81*F81/1000</f>
        <v>17.869</v>
      </c>
      <c r="I81" s="16">
        <v>0</v>
      </c>
    </row>
    <row r="82" spans="1:9" ht="15.75" customHeight="1">
      <c r="A82" s="177" t="s">
        <v>182</v>
      </c>
      <c r="B82" s="178"/>
      <c r="C82" s="178"/>
      <c r="D82" s="178"/>
      <c r="E82" s="178"/>
      <c r="F82" s="178"/>
      <c r="G82" s="178"/>
      <c r="H82" s="178"/>
      <c r="I82" s="179"/>
    </row>
    <row r="83" spans="1:9" ht="15.75" customHeight="1">
      <c r="A83" s="36">
        <v>13</v>
      </c>
      <c r="B83" s="141" t="s">
        <v>130</v>
      </c>
      <c r="C83" s="20" t="s">
        <v>55</v>
      </c>
      <c r="D83" s="84" t="s">
        <v>56</v>
      </c>
      <c r="E83" s="16">
        <v>4731.7</v>
      </c>
      <c r="F83" s="16">
        <f>SUM(E83*12)</f>
        <v>56780.399999999994</v>
      </c>
      <c r="G83" s="16">
        <v>2.54</v>
      </c>
      <c r="H83" s="156">
        <f>SUM(F83*G83/1000)</f>
        <v>144.22221599999997</v>
      </c>
      <c r="I83" s="16">
        <f>F83/12*G83</f>
        <v>12018.518</v>
      </c>
    </row>
    <row r="84" spans="1:9" ht="31.5" customHeight="1">
      <c r="A84" s="36">
        <v>14</v>
      </c>
      <c r="B84" s="18" t="s">
        <v>80</v>
      </c>
      <c r="C84" s="20"/>
      <c r="D84" s="84" t="s">
        <v>56</v>
      </c>
      <c r="E84" s="143">
        <f>E83</f>
        <v>4731.7</v>
      </c>
      <c r="F84" s="16">
        <f>E84*12</f>
        <v>56780.399999999994</v>
      </c>
      <c r="G84" s="16">
        <v>3.05</v>
      </c>
      <c r="H84" s="156">
        <f>F84*G84/1000</f>
        <v>173.18021999999996</v>
      </c>
      <c r="I84" s="16">
        <f>F84/12*G84</f>
        <v>14431.684999999999</v>
      </c>
    </row>
    <row r="85" spans="1:9" ht="15.75" customHeight="1">
      <c r="A85" s="36"/>
      <c r="B85" s="54" t="s">
        <v>84</v>
      </c>
      <c r="C85" s="159"/>
      <c r="D85" s="158"/>
      <c r="E85" s="147"/>
      <c r="F85" s="147"/>
      <c r="G85" s="147"/>
      <c r="H85" s="160">
        <f>H84</f>
        <v>173.18021999999996</v>
      </c>
      <c r="I85" s="147">
        <f>I16+I17+I18+I20+I21+I27+I28+I31+I32+I34+I35+I64+I83+I84</f>
        <v>74367.579926799997</v>
      </c>
    </row>
    <row r="86" spans="1:9" ht="15.75" customHeight="1">
      <c r="A86" s="36"/>
      <c r="B86" s="80" t="s">
        <v>61</v>
      </c>
      <c r="C86" s="20"/>
      <c r="D86" s="67"/>
      <c r="E86" s="16"/>
      <c r="F86" s="16"/>
      <c r="G86" s="16"/>
      <c r="H86" s="16"/>
      <c r="I86" s="16"/>
    </row>
    <row r="87" spans="1:9" ht="15.75" customHeight="1">
      <c r="A87" s="36">
        <v>15</v>
      </c>
      <c r="B87" s="81" t="s">
        <v>86</v>
      </c>
      <c r="C87" s="107" t="s">
        <v>122</v>
      </c>
      <c r="D87" s="18"/>
      <c r="E87" s="23"/>
      <c r="F87" s="16">
        <v>16</v>
      </c>
      <c r="G87" s="16">
        <v>180.15</v>
      </c>
      <c r="H87" s="156">
        <f t="shared" ref="H87:H92" si="8">G87*F87/1000</f>
        <v>2.8824000000000001</v>
      </c>
      <c r="I87" s="16">
        <f>G87</f>
        <v>180.15</v>
      </c>
    </row>
    <row r="88" spans="1:9" ht="15.75" customHeight="1">
      <c r="A88" s="36">
        <v>16</v>
      </c>
      <c r="B88" s="81" t="s">
        <v>160</v>
      </c>
      <c r="C88" s="107" t="s">
        <v>89</v>
      </c>
      <c r="D88" s="18"/>
      <c r="E88" s="23"/>
      <c r="F88" s="16">
        <v>4</v>
      </c>
      <c r="G88" s="16">
        <v>185.81</v>
      </c>
      <c r="H88" s="156">
        <f>G88*F88/1000</f>
        <v>0.74324000000000001</v>
      </c>
      <c r="I88" s="16">
        <f>G88*1</f>
        <v>185.81</v>
      </c>
    </row>
    <row r="89" spans="1:9" ht="31.5" customHeight="1">
      <c r="A89" s="36">
        <v>17</v>
      </c>
      <c r="B89" s="81" t="s">
        <v>87</v>
      </c>
      <c r="C89" s="107" t="s">
        <v>37</v>
      </c>
      <c r="D89" s="18"/>
      <c r="E89" s="23"/>
      <c r="F89" s="16">
        <v>0.05</v>
      </c>
      <c r="G89" s="16">
        <v>3397.65</v>
      </c>
      <c r="H89" s="156">
        <f t="shared" si="8"/>
        <v>0.16988250000000002</v>
      </c>
      <c r="I89" s="16">
        <f>G89*0.01</f>
        <v>33.976500000000001</v>
      </c>
    </row>
    <row r="90" spans="1:9" ht="15.75" customHeight="1">
      <c r="A90" s="36">
        <v>18</v>
      </c>
      <c r="B90" s="81" t="s">
        <v>158</v>
      </c>
      <c r="C90" s="107" t="s">
        <v>122</v>
      </c>
      <c r="D90" s="18"/>
      <c r="E90" s="23"/>
      <c r="F90" s="16">
        <v>729</v>
      </c>
      <c r="G90" s="16">
        <v>50.68</v>
      </c>
      <c r="H90" s="156">
        <f t="shared" si="8"/>
        <v>36.945720000000001</v>
      </c>
      <c r="I90" s="16">
        <f>G90*81</f>
        <v>4105.08</v>
      </c>
    </row>
    <row r="91" spans="1:9" ht="31.5" customHeight="1">
      <c r="A91" s="36">
        <v>19</v>
      </c>
      <c r="B91" s="81" t="s">
        <v>209</v>
      </c>
      <c r="C91" s="107" t="s">
        <v>166</v>
      </c>
      <c r="D91" s="18"/>
      <c r="E91" s="23"/>
      <c r="F91" s="16">
        <v>2</v>
      </c>
      <c r="G91" s="16">
        <v>294.79000000000002</v>
      </c>
      <c r="H91" s="156">
        <f t="shared" si="8"/>
        <v>0.58957999999999999</v>
      </c>
      <c r="I91" s="16">
        <f>G91*2</f>
        <v>589.58000000000004</v>
      </c>
    </row>
    <row r="92" spans="1:9" ht="15.75" customHeight="1">
      <c r="A92" s="36">
        <v>20</v>
      </c>
      <c r="B92" s="111" t="s">
        <v>92</v>
      </c>
      <c r="C92" s="107" t="s">
        <v>122</v>
      </c>
      <c r="D92" s="18"/>
      <c r="E92" s="23"/>
      <c r="F92" s="16">
        <v>2</v>
      </c>
      <c r="G92" s="16">
        <v>179.96</v>
      </c>
      <c r="H92" s="156">
        <f t="shared" si="8"/>
        <v>0.35992000000000002</v>
      </c>
      <c r="I92" s="16">
        <f>G92</f>
        <v>179.96</v>
      </c>
    </row>
    <row r="93" spans="1:9">
      <c r="A93" s="36"/>
      <c r="B93" s="61" t="s">
        <v>51</v>
      </c>
      <c r="C93" s="57"/>
      <c r="D93" s="71"/>
      <c r="E93" s="57">
        <v>1</v>
      </c>
      <c r="F93" s="57"/>
      <c r="G93" s="57"/>
      <c r="H93" s="57"/>
      <c r="I93" s="39">
        <f>SUM(I87:I92)</f>
        <v>5274.5564999999997</v>
      </c>
    </row>
    <row r="94" spans="1:9" ht="15.75" customHeight="1">
      <c r="A94" s="36"/>
      <c r="B94" s="67" t="s">
        <v>81</v>
      </c>
      <c r="C94" s="19"/>
      <c r="D94" s="19"/>
      <c r="E94" s="58"/>
      <c r="F94" s="58"/>
      <c r="G94" s="59"/>
      <c r="H94" s="59"/>
      <c r="I94" s="22">
        <v>0</v>
      </c>
    </row>
    <row r="95" spans="1:9" ht="15.75" customHeight="1">
      <c r="A95" s="72"/>
      <c r="B95" s="62" t="s">
        <v>52</v>
      </c>
      <c r="C95" s="45"/>
      <c r="D95" s="45"/>
      <c r="E95" s="45"/>
      <c r="F95" s="45"/>
      <c r="G95" s="45"/>
      <c r="H95" s="45"/>
      <c r="I95" s="60">
        <f>I85+I93</f>
        <v>79642.136426800003</v>
      </c>
    </row>
    <row r="96" spans="1:9" ht="15.75" customHeight="1">
      <c r="A96" s="169" t="s">
        <v>250</v>
      </c>
      <c r="B96" s="169"/>
      <c r="C96" s="169"/>
      <c r="D96" s="169"/>
      <c r="E96" s="169"/>
      <c r="F96" s="169"/>
      <c r="G96" s="169"/>
      <c r="H96" s="169"/>
      <c r="I96" s="169"/>
    </row>
    <row r="97" spans="1:9" ht="15.75" customHeight="1">
      <c r="A97" s="121"/>
      <c r="B97" s="170" t="s">
        <v>251</v>
      </c>
      <c r="C97" s="170"/>
      <c r="D97" s="170"/>
      <c r="E97" s="170"/>
      <c r="F97" s="170"/>
      <c r="G97" s="170"/>
      <c r="H97" s="139"/>
      <c r="I97" s="3"/>
    </row>
    <row r="98" spans="1:9" ht="15.75" customHeight="1">
      <c r="A98" s="130"/>
      <c r="B98" s="165" t="s">
        <v>6</v>
      </c>
      <c r="C98" s="165"/>
      <c r="D98" s="165"/>
      <c r="E98" s="165"/>
      <c r="F98" s="165"/>
      <c r="G98" s="165"/>
      <c r="H98" s="31"/>
      <c r="I98" s="5"/>
    </row>
    <row r="99" spans="1:9" ht="15.75" customHeight="1">
      <c r="A99" s="10"/>
      <c r="B99" s="10"/>
      <c r="C99" s="10"/>
      <c r="D99" s="10"/>
      <c r="E99" s="10"/>
      <c r="F99" s="10"/>
      <c r="G99" s="10"/>
      <c r="H99" s="10"/>
      <c r="I99" s="10"/>
    </row>
    <row r="100" spans="1:9" ht="15.75" customHeight="1">
      <c r="A100" s="171" t="s">
        <v>7</v>
      </c>
      <c r="B100" s="171"/>
      <c r="C100" s="171"/>
      <c r="D100" s="171"/>
      <c r="E100" s="171"/>
      <c r="F100" s="171"/>
      <c r="G100" s="171"/>
      <c r="H100" s="171"/>
      <c r="I100" s="171"/>
    </row>
    <row r="101" spans="1:9" ht="15.75" customHeight="1">
      <c r="A101" s="171" t="s">
        <v>8</v>
      </c>
      <c r="B101" s="171"/>
      <c r="C101" s="171"/>
      <c r="D101" s="171"/>
      <c r="E101" s="171"/>
      <c r="F101" s="171"/>
      <c r="G101" s="171"/>
      <c r="H101" s="171"/>
      <c r="I101" s="171"/>
    </row>
    <row r="102" spans="1:9" ht="15.75" customHeight="1">
      <c r="A102" s="172" t="s">
        <v>62</v>
      </c>
      <c r="B102" s="172"/>
      <c r="C102" s="172"/>
      <c r="D102" s="172"/>
      <c r="E102" s="172"/>
      <c r="F102" s="172"/>
      <c r="G102" s="172"/>
      <c r="H102" s="172"/>
      <c r="I102" s="172"/>
    </row>
    <row r="103" spans="1:9" ht="15.75" customHeight="1">
      <c r="A103" s="11"/>
    </row>
    <row r="104" spans="1:9" ht="15.75">
      <c r="A104" s="163" t="s">
        <v>9</v>
      </c>
      <c r="B104" s="163"/>
      <c r="C104" s="163"/>
      <c r="D104" s="163"/>
      <c r="E104" s="163"/>
      <c r="F104" s="163"/>
      <c r="G104" s="163"/>
      <c r="H104" s="163"/>
      <c r="I104" s="163"/>
    </row>
    <row r="105" spans="1:9" ht="15.75">
      <c r="A105" s="4"/>
    </row>
    <row r="106" spans="1:9" ht="15.75" customHeight="1">
      <c r="B106" s="127" t="s">
        <v>10</v>
      </c>
      <c r="C106" s="164" t="s">
        <v>180</v>
      </c>
      <c r="D106" s="164"/>
      <c r="E106" s="164"/>
      <c r="F106" s="137"/>
      <c r="I106" s="129"/>
    </row>
    <row r="107" spans="1:9" ht="15.75" customHeight="1">
      <c r="A107" s="130"/>
      <c r="C107" s="165" t="s">
        <v>11</v>
      </c>
      <c r="D107" s="165"/>
      <c r="E107" s="165"/>
      <c r="F107" s="31"/>
      <c r="I107" s="128" t="s">
        <v>12</v>
      </c>
    </row>
    <row r="108" spans="1:9" ht="15.75" customHeight="1">
      <c r="A108" s="32"/>
      <c r="C108" s="12"/>
      <c r="D108" s="12"/>
      <c r="G108" s="12"/>
      <c r="H108" s="12"/>
    </row>
    <row r="109" spans="1:9" ht="15.75" customHeight="1">
      <c r="B109" s="127" t="s">
        <v>13</v>
      </c>
      <c r="C109" s="166"/>
      <c r="D109" s="166"/>
      <c r="E109" s="166"/>
      <c r="F109" s="138"/>
      <c r="I109" s="129"/>
    </row>
    <row r="110" spans="1:9" ht="15.75" customHeight="1">
      <c r="A110" s="130"/>
      <c r="C110" s="167" t="s">
        <v>11</v>
      </c>
      <c r="D110" s="167"/>
      <c r="E110" s="167"/>
      <c r="F110" s="130"/>
      <c r="I110" s="128" t="s">
        <v>12</v>
      </c>
    </row>
    <row r="111" spans="1:9" ht="15.75">
      <c r="A111" s="4" t="s">
        <v>14</v>
      </c>
    </row>
    <row r="112" spans="1:9">
      <c r="A112" s="168" t="s">
        <v>15</v>
      </c>
      <c r="B112" s="168"/>
      <c r="C112" s="168"/>
      <c r="D112" s="168"/>
      <c r="E112" s="168"/>
      <c r="F112" s="168"/>
      <c r="G112" s="168"/>
      <c r="H112" s="168"/>
      <c r="I112" s="168"/>
    </row>
    <row r="113" spans="1:9" ht="45" customHeight="1">
      <c r="A113" s="162" t="s">
        <v>16</v>
      </c>
      <c r="B113" s="162"/>
      <c r="C113" s="162"/>
      <c r="D113" s="162"/>
      <c r="E113" s="162"/>
      <c r="F113" s="162"/>
      <c r="G113" s="162"/>
      <c r="H113" s="162"/>
      <c r="I113" s="162"/>
    </row>
    <row r="114" spans="1:9" ht="30" customHeight="1">
      <c r="A114" s="162" t="s">
        <v>17</v>
      </c>
      <c r="B114" s="162"/>
      <c r="C114" s="162"/>
      <c r="D114" s="162"/>
      <c r="E114" s="162"/>
      <c r="F114" s="162"/>
      <c r="G114" s="162"/>
      <c r="H114" s="162"/>
      <c r="I114" s="162"/>
    </row>
    <row r="115" spans="1:9" ht="30" customHeight="1">
      <c r="A115" s="162" t="s">
        <v>21</v>
      </c>
      <c r="B115" s="162"/>
      <c r="C115" s="162"/>
      <c r="D115" s="162"/>
      <c r="E115" s="162"/>
      <c r="F115" s="162"/>
      <c r="G115" s="162"/>
      <c r="H115" s="162"/>
      <c r="I115" s="162"/>
    </row>
    <row r="116" spans="1:9" ht="15" customHeight="1">
      <c r="A116" s="162" t="s">
        <v>20</v>
      </c>
      <c r="B116" s="162"/>
      <c r="C116" s="162"/>
      <c r="D116" s="162"/>
      <c r="E116" s="162"/>
      <c r="F116" s="162"/>
      <c r="G116" s="162"/>
      <c r="H116" s="162"/>
      <c r="I116" s="162"/>
    </row>
  </sheetData>
  <autoFilter ref="I12:I61"/>
  <mergeCells count="28">
    <mergeCell ref="A113:I113"/>
    <mergeCell ref="A114:I114"/>
    <mergeCell ref="A115:I115"/>
    <mergeCell ref="A116:I116"/>
    <mergeCell ref="A104:I104"/>
    <mergeCell ref="C106:E106"/>
    <mergeCell ref="C107:E107"/>
    <mergeCell ref="C109:E109"/>
    <mergeCell ref="C110:E110"/>
    <mergeCell ref="A112:I112"/>
    <mergeCell ref="A96:I96"/>
    <mergeCell ref="B97:G97"/>
    <mergeCell ref="B98:G98"/>
    <mergeCell ref="A100:I100"/>
    <mergeCell ref="A101:I101"/>
    <mergeCell ref="A102:I102"/>
    <mergeCell ref="A15:I15"/>
    <mergeCell ref="A29:I29"/>
    <mergeCell ref="A46:I46"/>
    <mergeCell ref="A56:I56"/>
    <mergeCell ref="R66:U66"/>
    <mergeCell ref="A82:I82"/>
    <mergeCell ref="A3:I3"/>
    <mergeCell ref="A4:I4"/>
    <mergeCell ref="A5:I5"/>
    <mergeCell ref="A8:I8"/>
    <mergeCell ref="A10:I10"/>
    <mergeCell ref="A14:I14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22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4" t="s">
        <v>94</v>
      </c>
      <c r="I1" s="33"/>
      <c r="J1" s="1"/>
      <c r="K1" s="1"/>
      <c r="L1" s="1"/>
      <c r="M1" s="1"/>
    </row>
    <row r="2" spans="1:13" ht="15.75">
      <c r="A2" s="35" t="s">
        <v>64</v>
      </c>
      <c r="J2" s="2"/>
      <c r="K2" s="2"/>
      <c r="L2" s="2"/>
      <c r="M2" s="2"/>
    </row>
    <row r="3" spans="1:13" ht="15.75" customHeight="1">
      <c r="A3" s="180" t="s">
        <v>252</v>
      </c>
      <c r="B3" s="180"/>
      <c r="C3" s="180"/>
      <c r="D3" s="180"/>
      <c r="E3" s="180"/>
      <c r="F3" s="180"/>
      <c r="G3" s="180"/>
      <c r="H3" s="180"/>
      <c r="I3" s="180"/>
      <c r="J3" s="3"/>
      <c r="K3" s="3"/>
      <c r="L3" s="3"/>
    </row>
    <row r="4" spans="1:13" ht="31.5" customHeight="1">
      <c r="A4" s="181" t="s">
        <v>162</v>
      </c>
      <c r="B4" s="181"/>
      <c r="C4" s="181"/>
      <c r="D4" s="181"/>
      <c r="E4" s="181"/>
      <c r="F4" s="181"/>
      <c r="G4" s="181"/>
      <c r="H4" s="181"/>
      <c r="I4" s="181"/>
    </row>
    <row r="5" spans="1:13" ht="15.75">
      <c r="A5" s="180" t="s">
        <v>253</v>
      </c>
      <c r="B5" s="182"/>
      <c r="C5" s="182"/>
      <c r="D5" s="182"/>
      <c r="E5" s="182"/>
      <c r="F5" s="182"/>
      <c r="G5" s="182"/>
      <c r="H5" s="182"/>
      <c r="I5" s="182"/>
      <c r="J5" s="2"/>
      <c r="K5" s="2"/>
      <c r="L5" s="2"/>
      <c r="M5" s="2"/>
    </row>
    <row r="6" spans="1:13" ht="15.75">
      <c r="A6" s="2"/>
      <c r="B6" s="126"/>
      <c r="C6" s="126"/>
      <c r="D6" s="126"/>
      <c r="E6" s="126"/>
      <c r="F6" s="126"/>
      <c r="G6" s="126"/>
      <c r="H6" s="126"/>
      <c r="I6" s="37">
        <v>42613</v>
      </c>
      <c r="J6" s="2"/>
      <c r="K6" s="2"/>
      <c r="L6" s="2"/>
      <c r="M6" s="2"/>
    </row>
    <row r="7" spans="1:13" ht="15.75">
      <c r="B7" s="127"/>
      <c r="C7" s="127"/>
      <c r="D7" s="127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83" t="s">
        <v>175</v>
      </c>
      <c r="B8" s="183"/>
      <c r="C8" s="183"/>
      <c r="D8" s="183"/>
      <c r="E8" s="183"/>
      <c r="F8" s="183"/>
      <c r="G8" s="183"/>
      <c r="H8" s="183"/>
      <c r="I8" s="183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84" t="s">
        <v>176</v>
      </c>
      <c r="B10" s="184"/>
      <c r="C10" s="184"/>
      <c r="D10" s="184"/>
      <c r="E10" s="184"/>
      <c r="F10" s="184"/>
      <c r="G10" s="184"/>
      <c r="H10" s="184"/>
      <c r="I10" s="184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85" t="s">
        <v>60</v>
      </c>
      <c r="B14" s="185"/>
      <c r="C14" s="185"/>
      <c r="D14" s="185"/>
      <c r="E14" s="185"/>
      <c r="F14" s="185"/>
      <c r="G14" s="185"/>
      <c r="H14" s="185"/>
      <c r="I14" s="185"/>
      <c r="J14" s="8"/>
      <c r="K14" s="8"/>
      <c r="L14" s="8"/>
      <c r="M14" s="8"/>
    </row>
    <row r="15" spans="1:13" ht="15" customHeight="1">
      <c r="A15" s="173" t="s">
        <v>4</v>
      </c>
      <c r="B15" s="173"/>
      <c r="C15" s="173"/>
      <c r="D15" s="173"/>
      <c r="E15" s="173"/>
      <c r="F15" s="173"/>
      <c r="G15" s="173"/>
      <c r="H15" s="173"/>
      <c r="I15" s="173"/>
      <c r="J15" s="8"/>
      <c r="K15" s="8"/>
      <c r="L15" s="8"/>
      <c r="M15" s="8"/>
    </row>
    <row r="16" spans="1:13" ht="31.5" customHeight="1">
      <c r="A16" s="36">
        <v>1</v>
      </c>
      <c r="B16" s="141" t="s">
        <v>97</v>
      </c>
      <c r="C16" s="142" t="s">
        <v>98</v>
      </c>
      <c r="D16" s="141" t="s">
        <v>99</v>
      </c>
      <c r="E16" s="143">
        <v>143.78</v>
      </c>
      <c r="F16" s="144">
        <f>SUM(E16*156/100)</f>
        <v>224.29679999999999</v>
      </c>
      <c r="G16" s="144">
        <v>187.48</v>
      </c>
      <c r="H16" s="145">
        <f t="shared" ref="H16:H25" si="0">SUM(F16*G16/1000)</f>
        <v>42.051164063999998</v>
      </c>
      <c r="I16" s="16">
        <f>F16/12*G16</f>
        <v>3504.2636719999996</v>
      </c>
      <c r="J16" s="28"/>
      <c r="K16" s="8"/>
      <c r="L16" s="8"/>
      <c r="M16" s="8"/>
    </row>
    <row r="17" spans="1:13" ht="31.5" customHeight="1">
      <c r="A17" s="36">
        <v>2</v>
      </c>
      <c r="B17" s="141" t="s">
        <v>133</v>
      </c>
      <c r="C17" s="142" t="s">
        <v>98</v>
      </c>
      <c r="D17" s="141" t="s">
        <v>100</v>
      </c>
      <c r="E17" s="143">
        <v>575.125</v>
      </c>
      <c r="F17" s="144">
        <f>SUM(E17*104/100)</f>
        <v>598.13</v>
      </c>
      <c r="G17" s="144">
        <v>187.48</v>
      </c>
      <c r="H17" s="145">
        <f t="shared" si="0"/>
        <v>112.13741239999999</v>
      </c>
      <c r="I17" s="16">
        <f>F17/12*G17</f>
        <v>9344.7843666666668</v>
      </c>
      <c r="J17" s="29"/>
      <c r="K17" s="8"/>
      <c r="L17" s="8"/>
      <c r="M17" s="8"/>
    </row>
    <row r="18" spans="1:13" ht="31.5" customHeight="1">
      <c r="A18" s="36">
        <v>3</v>
      </c>
      <c r="B18" s="141" t="s">
        <v>134</v>
      </c>
      <c r="C18" s="142" t="s">
        <v>98</v>
      </c>
      <c r="D18" s="141" t="s">
        <v>142</v>
      </c>
      <c r="E18" s="143">
        <v>718.9</v>
      </c>
      <c r="F18" s="144">
        <f>SUM(E18*24/100)</f>
        <v>172.53599999999997</v>
      </c>
      <c r="G18" s="144">
        <v>539.51</v>
      </c>
      <c r="H18" s="145">
        <f t="shared" si="0"/>
        <v>93.084897359999985</v>
      </c>
      <c r="I18" s="16">
        <f>F18/12*G18</f>
        <v>7757.074779999999</v>
      </c>
      <c r="J18" s="29"/>
      <c r="K18" s="8"/>
      <c r="L18" s="8"/>
      <c r="M18" s="8"/>
    </row>
    <row r="19" spans="1:13" ht="15.75" hidden="1" customHeight="1">
      <c r="A19" s="36"/>
      <c r="B19" s="141" t="s">
        <v>107</v>
      </c>
      <c r="C19" s="142" t="s">
        <v>108</v>
      </c>
      <c r="D19" s="141" t="s">
        <v>109</v>
      </c>
      <c r="E19" s="143">
        <v>42.2</v>
      </c>
      <c r="F19" s="144">
        <f>SUM(E19/10)</f>
        <v>4.2200000000000006</v>
      </c>
      <c r="G19" s="144">
        <v>181.91</v>
      </c>
      <c r="H19" s="145">
        <f t="shared" si="0"/>
        <v>0.76766020000000013</v>
      </c>
      <c r="I19" s="16">
        <v>0</v>
      </c>
      <c r="J19" s="29"/>
      <c r="K19" s="8"/>
      <c r="L19" s="8"/>
      <c r="M19" s="8"/>
    </row>
    <row r="20" spans="1:13" ht="15.75" customHeight="1">
      <c r="A20" s="36">
        <v>4</v>
      </c>
      <c r="B20" s="141" t="s">
        <v>110</v>
      </c>
      <c r="C20" s="142" t="s">
        <v>98</v>
      </c>
      <c r="D20" s="141" t="s">
        <v>135</v>
      </c>
      <c r="E20" s="143">
        <v>14</v>
      </c>
      <c r="F20" s="144">
        <f>SUM(E20*12/100)</f>
        <v>1.68</v>
      </c>
      <c r="G20" s="144">
        <v>232.92</v>
      </c>
      <c r="H20" s="145">
        <f t="shared" si="0"/>
        <v>0.39130559999999998</v>
      </c>
      <c r="I20" s="16">
        <f>F20/12*G20</f>
        <v>32.608799999999995</v>
      </c>
      <c r="J20" s="29"/>
      <c r="K20" s="8"/>
      <c r="L20" s="8"/>
      <c r="M20" s="8"/>
    </row>
    <row r="21" spans="1:13" ht="15.75" hidden="1" customHeight="1">
      <c r="A21" s="36">
        <v>5</v>
      </c>
      <c r="B21" s="141" t="s">
        <v>111</v>
      </c>
      <c r="C21" s="142" t="s">
        <v>98</v>
      </c>
      <c r="D21" s="141" t="s">
        <v>184</v>
      </c>
      <c r="E21" s="143">
        <v>4.8</v>
      </c>
      <c r="F21" s="144">
        <f>SUM(E21*6/100)</f>
        <v>0.28799999999999998</v>
      </c>
      <c r="G21" s="144">
        <v>231.03</v>
      </c>
      <c r="H21" s="145">
        <f>SUM(F21*G21/1000)</f>
        <v>6.6536639999999994E-2</v>
      </c>
      <c r="I21" s="16">
        <f>F21/6*G21</f>
        <v>11.089439999999998</v>
      </c>
      <c r="J21" s="29"/>
      <c r="K21" s="8"/>
      <c r="L21" s="8"/>
      <c r="M21" s="8"/>
    </row>
    <row r="22" spans="1:13" ht="15.75" hidden="1" customHeight="1">
      <c r="A22" s="36"/>
      <c r="B22" s="141" t="s">
        <v>112</v>
      </c>
      <c r="C22" s="142" t="s">
        <v>53</v>
      </c>
      <c r="D22" s="141" t="s">
        <v>109</v>
      </c>
      <c r="E22" s="143">
        <v>640</v>
      </c>
      <c r="F22" s="144">
        <f>SUM(E22/100)</f>
        <v>6.4</v>
      </c>
      <c r="G22" s="144">
        <v>287.83999999999997</v>
      </c>
      <c r="H22" s="145">
        <f t="shared" si="0"/>
        <v>1.842176</v>
      </c>
      <c r="I22" s="16">
        <v>0</v>
      </c>
      <c r="J22" s="29"/>
      <c r="K22" s="8"/>
      <c r="L22" s="8"/>
      <c r="M22" s="8"/>
    </row>
    <row r="23" spans="1:13" ht="15.75" hidden="1" customHeight="1">
      <c r="A23" s="36"/>
      <c r="B23" s="141" t="s">
        <v>113</v>
      </c>
      <c r="C23" s="142" t="s">
        <v>53</v>
      </c>
      <c r="D23" s="141" t="s">
        <v>109</v>
      </c>
      <c r="E23" s="146">
        <v>48.3</v>
      </c>
      <c r="F23" s="144">
        <f>SUM(E23/100)</f>
        <v>0.48299999999999998</v>
      </c>
      <c r="G23" s="144">
        <v>47.34</v>
      </c>
      <c r="H23" s="145">
        <f t="shared" si="0"/>
        <v>2.2865220000000002E-2</v>
      </c>
      <c r="I23" s="16">
        <v>0</v>
      </c>
      <c r="J23" s="29"/>
      <c r="K23" s="8"/>
      <c r="L23" s="8"/>
      <c r="M23" s="8"/>
    </row>
    <row r="24" spans="1:13" ht="15.75" hidden="1" customHeight="1">
      <c r="A24" s="36"/>
      <c r="B24" s="141" t="s">
        <v>114</v>
      </c>
      <c r="C24" s="142" t="s">
        <v>53</v>
      </c>
      <c r="D24" s="141" t="s">
        <v>54</v>
      </c>
      <c r="E24" s="143">
        <v>20</v>
      </c>
      <c r="F24" s="144">
        <f>E24/100</f>
        <v>0.2</v>
      </c>
      <c r="G24" s="144">
        <v>416.62</v>
      </c>
      <c r="H24" s="145">
        <f t="shared" si="0"/>
        <v>8.3324000000000009E-2</v>
      </c>
      <c r="I24" s="16">
        <v>0</v>
      </c>
      <c r="J24" s="29"/>
      <c r="K24" s="8"/>
      <c r="L24" s="8"/>
      <c r="M24" s="8"/>
    </row>
    <row r="25" spans="1:13" ht="15.75" hidden="1" customHeight="1">
      <c r="A25" s="36"/>
      <c r="B25" s="141" t="s">
        <v>115</v>
      </c>
      <c r="C25" s="142" t="s">
        <v>53</v>
      </c>
      <c r="D25" s="141" t="s">
        <v>54</v>
      </c>
      <c r="E25" s="143">
        <v>8.5</v>
      </c>
      <c r="F25" s="144">
        <f>SUM(E25/100)</f>
        <v>8.5000000000000006E-2</v>
      </c>
      <c r="G25" s="144">
        <v>556.74</v>
      </c>
      <c r="H25" s="145">
        <f t="shared" si="0"/>
        <v>4.7322900000000001E-2</v>
      </c>
      <c r="I25" s="16">
        <v>0</v>
      </c>
      <c r="J25" s="29"/>
      <c r="K25" s="8"/>
      <c r="L25" s="8"/>
      <c r="M25" s="8"/>
    </row>
    <row r="26" spans="1:13" ht="15.75" hidden="1" customHeight="1">
      <c r="A26" s="36"/>
      <c r="B26" s="141" t="s">
        <v>140</v>
      </c>
      <c r="C26" s="142" t="s">
        <v>53</v>
      </c>
      <c r="D26" s="141" t="s">
        <v>54</v>
      </c>
      <c r="E26" s="143">
        <v>19</v>
      </c>
      <c r="F26" s="144">
        <f>E26/100</f>
        <v>0.19</v>
      </c>
      <c r="G26" s="144">
        <v>231.03</v>
      </c>
      <c r="H26" s="145">
        <f>G26*F26/1000</f>
        <v>4.3895699999999996E-2</v>
      </c>
      <c r="I26" s="16">
        <v>0</v>
      </c>
      <c r="J26" s="29"/>
      <c r="K26" s="8"/>
      <c r="L26" s="8"/>
      <c r="M26" s="8"/>
    </row>
    <row r="27" spans="1:13" ht="15.75" customHeight="1">
      <c r="A27" s="36">
        <v>5</v>
      </c>
      <c r="B27" s="141" t="s">
        <v>66</v>
      </c>
      <c r="C27" s="142" t="s">
        <v>33</v>
      </c>
      <c r="D27" s="141" t="s">
        <v>136</v>
      </c>
      <c r="E27" s="143">
        <v>0.1</v>
      </c>
      <c r="F27" s="144">
        <f>SUM(E27*365)</f>
        <v>36.5</v>
      </c>
      <c r="G27" s="144">
        <v>157.18</v>
      </c>
      <c r="H27" s="145">
        <f>SUM(F27*G27/1000)</f>
        <v>5.737070000000001</v>
      </c>
      <c r="I27" s="16">
        <f>F27/12*G27</f>
        <v>478.08916666666664</v>
      </c>
      <c r="J27" s="30"/>
    </row>
    <row r="28" spans="1:13" ht="15.75" customHeight="1">
      <c r="A28" s="36">
        <v>6</v>
      </c>
      <c r="B28" s="149" t="s">
        <v>23</v>
      </c>
      <c r="C28" s="142" t="s">
        <v>24</v>
      </c>
      <c r="D28" s="149" t="s">
        <v>153</v>
      </c>
      <c r="E28" s="143">
        <v>4731.7</v>
      </c>
      <c r="F28" s="144">
        <f>SUM(E28*12)</f>
        <v>56780.399999999994</v>
      </c>
      <c r="G28" s="144">
        <v>4.72</v>
      </c>
      <c r="H28" s="145">
        <f>SUM(F28*G28/1000)</f>
        <v>268.00348799999995</v>
      </c>
      <c r="I28" s="16">
        <f>F28/12*G28</f>
        <v>22333.623999999996</v>
      </c>
      <c r="J28" s="30"/>
    </row>
    <row r="29" spans="1:13" ht="15" customHeight="1">
      <c r="A29" s="173" t="s">
        <v>93</v>
      </c>
      <c r="B29" s="173"/>
      <c r="C29" s="173"/>
      <c r="D29" s="173"/>
      <c r="E29" s="173"/>
      <c r="F29" s="173"/>
      <c r="G29" s="173"/>
      <c r="H29" s="173"/>
      <c r="I29" s="173"/>
      <c r="J29" s="29"/>
      <c r="K29" s="8"/>
      <c r="L29" s="8"/>
      <c r="M29" s="8"/>
    </row>
    <row r="30" spans="1:13" ht="15.75" customHeight="1">
      <c r="A30" s="36"/>
      <c r="B30" s="189" t="s">
        <v>28</v>
      </c>
      <c r="C30" s="142"/>
      <c r="D30" s="141"/>
      <c r="E30" s="143"/>
      <c r="F30" s="144"/>
      <c r="G30" s="144"/>
      <c r="H30" s="145"/>
      <c r="I30" s="16"/>
      <c r="J30" s="29"/>
      <c r="K30" s="8"/>
      <c r="L30" s="8"/>
      <c r="M30" s="8"/>
    </row>
    <row r="31" spans="1:13" ht="31.5" customHeight="1">
      <c r="A31" s="36">
        <v>7</v>
      </c>
      <c r="B31" s="141" t="s">
        <v>119</v>
      </c>
      <c r="C31" s="142" t="s">
        <v>102</v>
      </c>
      <c r="D31" s="141" t="s">
        <v>116</v>
      </c>
      <c r="E31" s="144">
        <v>512.5</v>
      </c>
      <c r="F31" s="144">
        <f>SUM(E31*52/1000)</f>
        <v>26.65</v>
      </c>
      <c r="G31" s="144">
        <v>166.65</v>
      </c>
      <c r="H31" s="145">
        <f t="shared" ref="H31:H37" si="1">SUM(F31*G31/1000)</f>
        <v>4.4412225000000003</v>
      </c>
      <c r="I31" s="16">
        <f>F31/6*G31</f>
        <v>740.20375000000001</v>
      </c>
      <c r="J31" s="29"/>
      <c r="K31" s="8"/>
      <c r="L31" s="8"/>
      <c r="M31" s="8"/>
    </row>
    <row r="32" spans="1:13" ht="31.5" customHeight="1">
      <c r="A32" s="36">
        <v>8</v>
      </c>
      <c r="B32" s="141" t="s">
        <v>137</v>
      </c>
      <c r="C32" s="142" t="s">
        <v>102</v>
      </c>
      <c r="D32" s="141" t="s">
        <v>117</v>
      </c>
      <c r="E32" s="144">
        <v>316.27</v>
      </c>
      <c r="F32" s="144">
        <f>SUM(E32*78/1000)</f>
        <v>24.669059999999998</v>
      </c>
      <c r="G32" s="144">
        <v>276.48</v>
      </c>
      <c r="H32" s="145">
        <f t="shared" si="1"/>
        <v>6.8205017087999993</v>
      </c>
      <c r="I32" s="16">
        <f t="shared" ref="I32:I35" si="2">F32/6*G32</f>
        <v>1136.7502848000001</v>
      </c>
      <c r="J32" s="29"/>
      <c r="K32" s="8"/>
      <c r="L32" s="8"/>
      <c r="M32" s="8"/>
    </row>
    <row r="33" spans="1:14" ht="15.75" hidden="1" customHeight="1">
      <c r="A33" s="36"/>
      <c r="B33" s="141" t="s">
        <v>27</v>
      </c>
      <c r="C33" s="142" t="s">
        <v>102</v>
      </c>
      <c r="D33" s="141" t="s">
        <v>54</v>
      </c>
      <c r="E33" s="144">
        <v>512.5</v>
      </c>
      <c r="F33" s="144">
        <f>SUM(E33/1000)</f>
        <v>0.51249999999999996</v>
      </c>
      <c r="G33" s="144">
        <v>3228.73</v>
      </c>
      <c r="H33" s="145">
        <f t="shared" si="1"/>
        <v>1.654724125</v>
      </c>
      <c r="I33" s="16">
        <f>F33*G33</f>
        <v>1654.724125</v>
      </c>
      <c r="J33" s="29"/>
      <c r="K33" s="8"/>
      <c r="L33" s="8"/>
      <c r="M33" s="8"/>
    </row>
    <row r="34" spans="1:14" ht="15.75" customHeight="1">
      <c r="A34" s="36">
        <v>9</v>
      </c>
      <c r="B34" s="141" t="s">
        <v>154</v>
      </c>
      <c r="C34" s="142" t="s">
        <v>39</v>
      </c>
      <c r="D34" s="141" t="s">
        <v>65</v>
      </c>
      <c r="E34" s="144">
        <v>4</v>
      </c>
      <c r="F34" s="144">
        <f>E34*155/100</f>
        <v>6.2</v>
      </c>
      <c r="G34" s="144">
        <v>1391.86</v>
      </c>
      <c r="H34" s="145">
        <f>G34*F34/1000</f>
        <v>8.6295319999999993</v>
      </c>
      <c r="I34" s="16">
        <f t="shared" si="2"/>
        <v>1438.2553333333333</v>
      </c>
      <c r="J34" s="29"/>
      <c r="K34" s="8"/>
    </row>
    <row r="35" spans="1:14" ht="15.75" customHeight="1">
      <c r="A35" s="36">
        <v>10</v>
      </c>
      <c r="B35" s="141" t="s">
        <v>118</v>
      </c>
      <c r="C35" s="142" t="s">
        <v>31</v>
      </c>
      <c r="D35" s="141" t="s">
        <v>65</v>
      </c>
      <c r="E35" s="148">
        <v>0.33333333333333331</v>
      </c>
      <c r="F35" s="144">
        <f>155/3</f>
        <v>51.666666666666664</v>
      </c>
      <c r="G35" s="144">
        <v>60.6</v>
      </c>
      <c r="H35" s="145">
        <f>SUM(G35*155/3/1000)</f>
        <v>3.1309999999999998</v>
      </c>
      <c r="I35" s="16">
        <f t="shared" si="2"/>
        <v>521.83333333333337</v>
      </c>
      <c r="J35" s="30"/>
    </row>
    <row r="36" spans="1:14" ht="15.75" hidden="1" customHeight="1">
      <c r="A36" s="36"/>
      <c r="B36" s="141" t="s">
        <v>67</v>
      </c>
      <c r="C36" s="142" t="s">
        <v>33</v>
      </c>
      <c r="D36" s="141" t="s">
        <v>69</v>
      </c>
      <c r="E36" s="143"/>
      <c r="F36" s="144">
        <v>3</v>
      </c>
      <c r="G36" s="144">
        <v>204.52</v>
      </c>
      <c r="H36" s="145">
        <f t="shared" si="1"/>
        <v>0.61356000000000011</v>
      </c>
      <c r="I36" s="16">
        <v>0</v>
      </c>
      <c r="J36" s="30"/>
    </row>
    <row r="37" spans="1:14" ht="15.75" hidden="1" customHeight="1">
      <c r="A37" s="36"/>
      <c r="B37" s="141" t="s">
        <v>68</v>
      </c>
      <c r="C37" s="142" t="s">
        <v>32</v>
      </c>
      <c r="D37" s="141" t="s">
        <v>69</v>
      </c>
      <c r="E37" s="143"/>
      <c r="F37" s="144">
        <v>2</v>
      </c>
      <c r="G37" s="144">
        <v>1214.73</v>
      </c>
      <c r="H37" s="145">
        <f t="shared" si="1"/>
        <v>2.4294600000000002</v>
      </c>
      <c r="I37" s="16">
        <v>0</v>
      </c>
      <c r="J37" s="30"/>
    </row>
    <row r="38" spans="1:14" ht="15.75" hidden="1" customHeight="1">
      <c r="A38" s="36"/>
      <c r="B38" s="189" t="s">
        <v>5</v>
      </c>
      <c r="C38" s="142"/>
      <c r="D38" s="141"/>
      <c r="E38" s="143"/>
      <c r="F38" s="144"/>
      <c r="G38" s="144"/>
      <c r="H38" s="145" t="s">
        <v>153</v>
      </c>
      <c r="I38" s="16"/>
      <c r="J38" s="30"/>
    </row>
    <row r="39" spans="1:14" ht="15.75" hidden="1" customHeight="1">
      <c r="A39" s="36">
        <v>8</v>
      </c>
      <c r="B39" s="141" t="s">
        <v>26</v>
      </c>
      <c r="C39" s="142" t="s">
        <v>32</v>
      </c>
      <c r="D39" s="141"/>
      <c r="E39" s="143"/>
      <c r="F39" s="144">
        <v>5</v>
      </c>
      <c r="G39" s="144">
        <v>1632.6</v>
      </c>
      <c r="H39" s="145">
        <f t="shared" ref="H39:H45" si="3">SUM(F39*G39/1000)</f>
        <v>8.1630000000000003</v>
      </c>
      <c r="I39" s="16">
        <f>F39/6*G39</f>
        <v>1360.5</v>
      </c>
      <c r="J39" s="30"/>
      <c r="L39" s="25"/>
      <c r="M39" s="26"/>
      <c r="N39" s="27"/>
    </row>
    <row r="40" spans="1:14" ht="15.75" hidden="1" customHeight="1">
      <c r="A40" s="36">
        <v>9</v>
      </c>
      <c r="B40" s="141" t="s">
        <v>120</v>
      </c>
      <c r="C40" s="142" t="s">
        <v>29</v>
      </c>
      <c r="D40" s="141" t="s">
        <v>146</v>
      </c>
      <c r="E40" s="143">
        <v>228.38</v>
      </c>
      <c r="F40" s="144">
        <f>E40*30/1000</f>
        <v>6.8513999999999999</v>
      </c>
      <c r="G40" s="144">
        <v>2247.8000000000002</v>
      </c>
      <c r="H40" s="145">
        <f>G40*F40/1000</f>
        <v>15.400576920000001</v>
      </c>
      <c r="I40" s="16">
        <f>F40/6*G40</f>
        <v>2566.7628199999999</v>
      </c>
      <c r="J40" s="30"/>
      <c r="L40" s="25"/>
      <c r="M40" s="26"/>
      <c r="N40" s="27"/>
    </row>
    <row r="41" spans="1:14" ht="15.75" hidden="1" customHeight="1">
      <c r="A41" s="36">
        <v>10</v>
      </c>
      <c r="B41" s="141" t="s">
        <v>144</v>
      </c>
      <c r="C41" s="142" t="s">
        <v>145</v>
      </c>
      <c r="D41" s="141" t="s">
        <v>69</v>
      </c>
      <c r="E41" s="143"/>
      <c r="F41" s="144">
        <v>120</v>
      </c>
      <c r="G41" s="144">
        <v>213.2</v>
      </c>
      <c r="H41" s="145">
        <f>G41*F41/1000</f>
        <v>25.584</v>
      </c>
      <c r="I41" s="16">
        <f>G41*12</f>
        <v>2558.3999999999996</v>
      </c>
      <c r="J41" s="30"/>
      <c r="L41" s="25"/>
      <c r="M41" s="26"/>
      <c r="N41" s="27"/>
    </row>
    <row r="42" spans="1:14" ht="15.75" hidden="1" customHeight="1">
      <c r="A42" s="36">
        <v>11</v>
      </c>
      <c r="B42" s="141" t="s">
        <v>70</v>
      </c>
      <c r="C42" s="142" t="s">
        <v>29</v>
      </c>
      <c r="D42" s="141" t="s">
        <v>101</v>
      </c>
      <c r="E42" s="144">
        <v>233.71</v>
      </c>
      <c r="F42" s="144">
        <f>SUM(E42*155/1000)</f>
        <v>36.225050000000003</v>
      </c>
      <c r="G42" s="144">
        <v>374.95</v>
      </c>
      <c r="H42" s="145">
        <f t="shared" si="3"/>
        <v>13.582582497500001</v>
      </c>
      <c r="I42" s="16">
        <f>F42/6*G42</f>
        <v>2263.7637495833337</v>
      </c>
      <c r="J42" s="30"/>
      <c r="L42" s="25"/>
      <c r="M42" s="26"/>
      <c r="N42" s="27"/>
    </row>
    <row r="43" spans="1:14" ht="47.25" hidden="1" customHeight="1">
      <c r="A43" s="36">
        <v>12</v>
      </c>
      <c r="B43" s="141" t="s">
        <v>88</v>
      </c>
      <c r="C43" s="142" t="s">
        <v>102</v>
      </c>
      <c r="D43" s="141" t="s">
        <v>147</v>
      </c>
      <c r="E43" s="144">
        <v>54.4</v>
      </c>
      <c r="F43" s="144">
        <f>SUM(E43*35/1000)</f>
        <v>1.9039999999999999</v>
      </c>
      <c r="G43" s="144">
        <v>6203.7</v>
      </c>
      <c r="H43" s="145">
        <f t="shared" si="3"/>
        <v>11.811844799999999</v>
      </c>
      <c r="I43" s="16">
        <f>F43/6*G43</f>
        <v>1968.6407999999997</v>
      </c>
      <c r="J43" s="30"/>
      <c r="L43" s="25"/>
      <c r="M43" s="26"/>
      <c r="N43" s="27"/>
    </row>
    <row r="44" spans="1:14" ht="15.75" hidden="1" customHeight="1">
      <c r="A44" s="36">
        <v>13</v>
      </c>
      <c r="B44" s="141" t="s">
        <v>103</v>
      </c>
      <c r="C44" s="142" t="s">
        <v>102</v>
      </c>
      <c r="D44" s="141" t="s">
        <v>71</v>
      </c>
      <c r="E44" s="144">
        <v>228.38</v>
      </c>
      <c r="F44" s="144">
        <f>SUM(E44*45/1000)</f>
        <v>10.277100000000001</v>
      </c>
      <c r="G44" s="144">
        <v>458.28</v>
      </c>
      <c r="H44" s="145">
        <f t="shared" si="3"/>
        <v>4.7097893879999999</v>
      </c>
      <c r="I44" s="16">
        <f>F44/6*G44</f>
        <v>784.96489800000006</v>
      </c>
      <c r="J44" s="30"/>
      <c r="L44" s="25"/>
      <c r="M44" s="26"/>
      <c r="N44" s="27"/>
    </row>
    <row r="45" spans="1:14" ht="15.75" hidden="1" customHeight="1">
      <c r="A45" s="36">
        <v>14</v>
      </c>
      <c r="B45" s="141" t="s">
        <v>72</v>
      </c>
      <c r="C45" s="142" t="s">
        <v>33</v>
      </c>
      <c r="D45" s="141"/>
      <c r="E45" s="143"/>
      <c r="F45" s="144">
        <v>1.8</v>
      </c>
      <c r="G45" s="144">
        <v>853.06</v>
      </c>
      <c r="H45" s="145">
        <f t="shared" si="3"/>
        <v>1.5355080000000001</v>
      </c>
      <c r="I45" s="16">
        <f>F45/6*G45</f>
        <v>255.91799999999998</v>
      </c>
      <c r="J45" s="30"/>
      <c r="L45" s="25"/>
      <c r="M45" s="26"/>
      <c r="N45" s="27"/>
    </row>
    <row r="46" spans="1:14" ht="15" customHeight="1">
      <c r="A46" s="174" t="s">
        <v>177</v>
      </c>
      <c r="B46" s="175"/>
      <c r="C46" s="175"/>
      <c r="D46" s="175"/>
      <c r="E46" s="175"/>
      <c r="F46" s="175"/>
      <c r="G46" s="175"/>
      <c r="H46" s="175"/>
      <c r="I46" s="176"/>
      <c r="J46" s="30"/>
      <c r="L46" s="25"/>
      <c r="M46" s="26"/>
      <c r="N46" s="27"/>
    </row>
    <row r="47" spans="1:14" ht="15.75" hidden="1" customHeight="1">
      <c r="A47" s="36"/>
      <c r="B47" s="141" t="s">
        <v>148</v>
      </c>
      <c r="C47" s="142" t="s">
        <v>102</v>
      </c>
      <c r="D47" s="141" t="s">
        <v>41</v>
      </c>
      <c r="E47" s="143">
        <v>1320.9</v>
      </c>
      <c r="F47" s="144">
        <f>SUM(E47*2/1000)</f>
        <v>2.6418000000000004</v>
      </c>
      <c r="G47" s="16">
        <v>908.11</v>
      </c>
      <c r="H47" s="145">
        <f t="shared" ref="H47:H55" si="4">SUM(F47*G47/1000)</f>
        <v>2.3990449980000004</v>
      </c>
      <c r="I47" s="16">
        <v>0</v>
      </c>
      <c r="J47" s="30"/>
      <c r="L47" s="25"/>
      <c r="M47" s="26"/>
      <c r="N47" s="27"/>
    </row>
    <row r="48" spans="1:14" ht="15.75" hidden="1" customHeight="1">
      <c r="A48" s="36"/>
      <c r="B48" s="141" t="s">
        <v>34</v>
      </c>
      <c r="C48" s="142" t="s">
        <v>102</v>
      </c>
      <c r="D48" s="141" t="s">
        <v>41</v>
      </c>
      <c r="E48" s="143">
        <v>52</v>
      </c>
      <c r="F48" s="144">
        <f>E48*2/1000</f>
        <v>0.104</v>
      </c>
      <c r="G48" s="16">
        <v>619.46</v>
      </c>
      <c r="H48" s="145">
        <f t="shared" si="4"/>
        <v>6.4423839999999996E-2</v>
      </c>
      <c r="I48" s="16">
        <v>0</v>
      </c>
      <c r="J48" s="30"/>
      <c r="L48" s="25"/>
      <c r="M48" s="26"/>
      <c r="N48" s="27"/>
    </row>
    <row r="49" spans="1:22" ht="15.75" hidden="1" customHeight="1">
      <c r="A49" s="36"/>
      <c r="B49" s="141" t="s">
        <v>35</v>
      </c>
      <c r="C49" s="142" t="s">
        <v>102</v>
      </c>
      <c r="D49" s="141" t="s">
        <v>41</v>
      </c>
      <c r="E49" s="143">
        <v>1520.8</v>
      </c>
      <c r="F49" s="144">
        <f>SUM(E49*2/1000)</f>
        <v>3.0415999999999999</v>
      </c>
      <c r="G49" s="16">
        <v>619.46</v>
      </c>
      <c r="H49" s="145">
        <f t="shared" si="4"/>
        <v>1.8841495360000002</v>
      </c>
      <c r="I49" s="16">
        <v>0</v>
      </c>
      <c r="J49" s="30"/>
      <c r="L49" s="25"/>
      <c r="M49" s="26"/>
      <c r="N49" s="27"/>
    </row>
    <row r="50" spans="1:22" ht="15.75" hidden="1" customHeight="1">
      <c r="A50" s="36"/>
      <c r="B50" s="141" t="s">
        <v>36</v>
      </c>
      <c r="C50" s="142" t="s">
        <v>102</v>
      </c>
      <c r="D50" s="141" t="s">
        <v>41</v>
      </c>
      <c r="E50" s="143">
        <v>3433.81</v>
      </c>
      <c r="F50" s="144">
        <f>SUM(E50*2/1000)</f>
        <v>6.8676199999999996</v>
      </c>
      <c r="G50" s="16">
        <v>648.64</v>
      </c>
      <c r="H50" s="145">
        <f t="shared" si="4"/>
        <v>4.4546130367999996</v>
      </c>
      <c r="I50" s="16">
        <v>0</v>
      </c>
      <c r="J50" s="30"/>
      <c r="L50" s="25"/>
      <c r="M50" s="26"/>
      <c r="N50" s="27"/>
    </row>
    <row r="51" spans="1:22" ht="15.75" hidden="1" customHeight="1">
      <c r="A51" s="36">
        <v>15</v>
      </c>
      <c r="B51" s="141" t="s">
        <v>57</v>
      </c>
      <c r="C51" s="142" t="s">
        <v>102</v>
      </c>
      <c r="D51" s="141" t="s">
        <v>225</v>
      </c>
      <c r="E51" s="143">
        <v>2641.8</v>
      </c>
      <c r="F51" s="144">
        <f>SUM(E51*5/1000)</f>
        <v>13.209</v>
      </c>
      <c r="G51" s="16">
        <v>1297.28</v>
      </c>
      <c r="H51" s="145">
        <f t="shared" si="4"/>
        <v>17.135771519999999</v>
      </c>
      <c r="I51" s="16">
        <f>F51/5*G51</f>
        <v>3427.1543039999997</v>
      </c>
      <c r="J51" s="30"/>
      <c r="L51" s="25"/>
      <c r="M51" s="26"/>
      <c r="N51" s="27"/>
    </row>
    <row r="52" spans="1:22" ht="31.5" hidden="1" customHeight="1">
      <c r="A52" s="36"/>
      <c r="B52" s="141" t="s">
        <v>104</v>
      </c>
      <c r="C52" s="142" t="s">
        <v>102</v>
      </c>
      <c r="D52" s="141" t="s">
        <v>41</v>
      </c>
      <c r="E52" s="143">
        <v>2641.8</v>
      </c>
      <c r="F52" s="144">
        <f>SUM(E52*2/1000)</f>
        <v>5.2836000000000007</v>
      </c>
      <c r="G52" s="16">
        <v>1297.28</v>
      </c>
      <c r="H52" s="145">
        <f t="shared" si="4"/>
        <v>6.8543086080000011</v>
      </c>
      <c r="I52" s="16">
        <v>0</v>
      </c>
      <c r="J52" s="30"/>
      <c r="L52" s="25"/>
      <c r="M52" s="26"/>
      <c r="N52" s="27"/>
    </row>
    <row r="53" spans="1:22" ht="31.5" hidden="1" customHeight="1">
      <c r="A53" s="36"/>
      <c r="B53" s="141" t="s">
        <v>105</v>
      </c>
      <c r="C53" s="142" t="s">
        <v>37</v>
      </c>
      <c r="D53" s="141" t="s">
        <v>41</v>
      </c>
      <c r="E53" s="143">
        <v>20</v>
      </c>
      <c r="F53" s="144">
        <f>SUM(E53*2/100)</f>
        <v>0.4</v>
      </c>
      <c r="G53" s="16">
        <v>2918.89</v>
      </c>
      <c r="H53" s="145">
        <f>SUM(F53*G53/1000)</f>
        <v>1.167556</v>
      </c>
      <c r="I53" s="16">
        <v>0</v>
      </c>
      <c r="J53" s="30"/>
      <c r="L53" s="25"/>
      <c r="M53" s="26"/>
      <c r="N53" s="27"/>
    </row>
    <row r="54" spans="1:22" ht="15.75" hidden="1" customHeight="1">
      <c r="A54" s="36"/>
      <c r="B54" s="141" t="s">
        <v>38</v>
      </c>
      <c r="C54" s="142" t="s">
        <v>39</v>
      </c>
      <c r="D54" s="141" t="s">
        <v>41</v>
      </c>
      <c r="E54" s="143">
        <v>1</v>
      </c>
      <c r="F54" s="144">
        <v>0.02</v>
      </c>
      <c r="G54" s="16">
        <v>6042.12</v>
      </c>
      <c r="H54" s="145">
        <f t="shared" si="4"/>
        <v>0.1208424</v>
      </c>
      <c r="I54" s="16">
        <v>0</v>
      </c>
      <c r="J54" s="30"/>
      <c r="L54" s="25"/>
      <c r="M54" s="26"/>
      <c r="N54" s="27"/>
    </row>
    <row r="55" spans="1:22" ht="15.75" customHeight="1">
      <c r="A55" s="36">
        <v>11</v>
      </c>
      <c r="B55" s="141" t="s">
        <v>40</v>
      </c>
      <c r="C55" s="142" t="s">
        <v>122</v>
      </c>
      <c r="D55" s="141" t="s">
        <v>73</v>
      </c>
      <c r="E55" s="143">
        <v>160</v>
      </c>
      <c r="F55" s="144">
        <f>SUM(E55)*3</f>
        <v>480</v>
      </c>
      <c r="G55" s="16">
        <v>70.209999999999994</v>
      </c>
      <c r="H55" s="145">
        <f t="shared" si="4"/>
        <v>33.700799999999994</v>
      </c>
      <c r="I55" s="16">
        <f>E55*G55</f>
        <v>11233.599999999999</v>
      </c>
      <c r="J55" s="30"/>
      <c r="L55" s="25"/>
      <c r="M55" s="26"/>
      <c r="N55" s="27"/>
    </row>
    <row r="56" spans="1:22" ht="15.75" customHeight="1">
      <c r="A56" s="174" t="s">
        <v>178</v>
      </c>
      <c r="B56" s="175"/>
      <c r="C56" s="175"/>
      <c r="D56" s="175"/>
      <c r="E56" s="175"/>
      <c r="F56" s="175"/>
      <c r="G56" s="175"/>
      <c r="H56" s="175"/>
      <c r="I56" s="176"/>
      <c r="J56" s="30"/>
      <c r="L56" s="25"/>
      <c r="M56" s="26"/>
      <c r="N56" s="27"/>
    </row>
    <row r="57" spans="1:22" ht="15.75" hidden="1" customHeight="1">
      <c r="A57" s="36"/>
      <c r="B57" s="189" t="s">
        <v>42</v>
      </c>
      <c r="C57" s="142"/>
      <c r="D57" s="141"/>
      <c r="E57" s="143"/>
      <c r="F57" s="144"/>
      <c r="G57" s="144"/>
      <c r="H57" s="145"/>
      <c r="I57" s="16"/>
      <c r="J57" s="30"/>
      <c r="L57" s="25"/>
      <c r="M57" s="26"/>
      <c r="N57" s="27"/>
    </row>
    <row r="58" spans="1:22" ht="31.5" hidden="1" customHeight="1">
      <c r="A58" s="36">
        <v>17</v>
      </c>
      <c r="B58" s="141" t="s">
        <v>149</v>
      </c>
      <c r="C58" s="142" t="s">
        <v>98</v>
      </c>
      <c r="D58" s="141" t="s">
        <v>123</v>
      </c>
      <c r="E58" s="143">
        <v>155.09</v>
      </c>
      <c r="F58" s="144">
        <f>SUM(E58*6/100)</f>
        <v>9.3053999999999988</v>
      </c>
      <c r="G58" s="16">
        <v>1654.04</v>
      </c>
      <c r="H58" s="145">
        <f>SUM(F58*G58/1000)</f>
        <v>15.391503815999998</v>
      </c>
      <c r="I58" s="16">
        <f>F58/6*G58</f>
        <v>2565.2506359999993</v>
      </c>
      <c r="J58" s="30"/>
      <c r="L58" s="25"/>
      <c r="M58" s="26"/>
      <c r="N58" s="27"/>
    </row>
    <row r="59" spans="1:22" ht="15.75" hidden="1" customHeight="1">
      <c r="A59" s="36">
        <v>18</v>
      </c>
      <c r="B59" s="141" t="s">
        <v>150</v>
      </c>
      <c r="C59" s="142" t="s">
        <v>98</v>
      </c>
      <c r="D59" s="141" t="s">
        <v>123</v>
      </c>
      <c r="E59" s="143">
        <v>3.8</v>
      </c>
      <c r="F59" s="144">
        <f>SUM(E59*6/100)</f>
        <v>0.22799999999999998</v>
      </c>
      <c r="G59" s="16">
        <v>1654.04</v>
      </c>
      <c r="H59" s="145">
        <f>SUM(F59*G59/1000)</f>
        <v>0.37712111999999998</v>
      </c>
      <c r="I59" s="16">
        <f>F59/6*G59</f>
        <v>62.853519999999996</v>
      </c>
      <c r="J59" s="30"/>
      <c r="L59" s="25"/>
    </row>
    <row r="60" spans="1:22" ht="15.75" hidden="1" customHeight="1">
      <c r="A60" s="36">
        <v>19</v>
      </c>
      <c r="B60" s="150" t="s">
        <v>151</v>
      </c>
      <c r="C60" s="151" t="s">
        <v>152</v>
      </c>
      <c r="D60" s="150" t="s">
        <v>41</v>
      </c>
      <c r="E60" s="152">
        <v>4</v>
      </c>
      <c r="F60" s="153">
        <v>0.8</v>
      </c>
      <c r="G60" s="16">
        <v>193.23</v>
      </c>
      <c r="H60" s="145">
        <f t="shared" ref="H60:H61" si="5">SUM(F60*G60/1000)</f>
        <v>0.154584</v>
      </c>
      <c r="I60" s="16">
        <f>F60/2*G60</f>
        <v>77.292000000000002</v>
      </c>
    </row>
    <row r="61" spans="1:22" ht="15.75" hidden="1" customHeight="1">
      <c r="A61" s="36"/>
      <c r="B61" s="150" t="s">
        <v>44</v>
      </c>
      <c r="C61" s="151" t="s">
        <v>53</v>
      </c>
      <c r="D61" s="150" t="s">
        <v>54</v>
      </c>
      <c r="E61" s="152">
        <v>1320.9</v>
      </c>
      <c r="F61" s="153">
        <f>E61/100</f>
        <v>13.209000000000001</v>
      </c>
      <c r="G61" s="16">
        <v>505.2</v>
      </c>
      <c r="H61" s="145">
        <f t="shared" si="5"/>
        <v>6.6731868000000008</v>
      </c>
      <c r="I61" s="16">
        <v>0</v>
      </c>
    </row>
    <row r="62" spans="1:22" ht="15.75" customHeight="1">
      <c r="A62" s="36"/>
      <c r="B62" s="190" t="s">
        <v>43</v>
      </c>
      <c r="C62" s="151"/>
      <c r="D62" s="150"/>
      <c r="E62" s="152"/>
      <c r="F62" s="153"/>
      <c r="G62" s="16"/>
      <c r="H62" s="154"/>
      <c r="I62" s="16"/>
    </row>
    <row r="63" spans="1:22" ht="15.75" hidden="1" customHeight="1">
      <c r="A63" s="36"/>
      <c r="B63" s="150" t="s">
        <v>44</v>
      </c>
      <c r="C63" s="151" t="s">
        <v>53</v>
      </c>
      <c r="D63" s="150" t="s">
        <v>54</v>
      </c>
      <c r="E63" s="152">
        <v>1238</v>
      </c>
      <c r="F63" s="153">
        <f>E63/100</f>
        <v>12.38</v>
      </c>
      <c r="G63" s="16">
        <v>848.37</v>
      </c>
      <c r="H63" s="154">
        <f>F63*G63/1000</f>
        <v>10.502820600000002</v>
      </c>
      <c r="I63" s="16">
        <v>0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.75" customHeight="1">
      <c r="A64" s="36">
        <v>12</v>
      </c>
      <c r="B64" s="150" t="s">
        <v>139</v>
      </c>
      <c r="C64" s="151" t="s">
        <v>25</v>
      </c>
      <c r="D64" s="150" t="s">
        <v>30</v>
      </c>
      <c r="E64" s="152">
        <v>238</v>
      </c>
      <c r="F64" s="155">
        <f>E64*12</f>
        <v>2856</v>
      </c>
      <c r="G64" s="135">
        <v>2.6</v>
      </c>
      <c r="H64" s="153">
        <f>F64*G64/1000</f>
        <v>7.4256000000000002</v>
      </c>
      <c r="I64" s="16">
        <f>F64/12*G64</f>
        <v>618.80000000000007</v>
      </c>
      <c r="J64" s="32"/>
      <c r="K64" s="32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hidden="1" customHeight="1">
      <c r="A65" s="36"/>
      <c r="B65" s="190" t="s">
        <v>45</v>
      </c>
      <c r="C65" s="151"/>
      <c r="D65" s="150"/>
      <c r="E65" s="152"/>
      <c r="F65" s="155"/>
      <c r="G65" s="155"/>
      <c r="H65" s="153" t="s">
        <v>153</v>
      </c>
      <c r="I65" s="16"/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hidden="1" customHeight="1">
      <c r="A66" s="36"/>
      <c r="B66" s="18" t="s">
        <v>46</v>
      </c>
      <c r="C66" s="20" t="s">
        <v>122</v>
      </c>
      <c r="D66" s="18" t="s">
        <v>69</v>
      </c>
      <c r="E66" s="23">
        <v>8</v>
      </c>
      <c r="F66" s="144">
        <v>8</v>
      </c>
      <c r="G66" s="16">
        <v>237.74</v>
      </c>
      <c r="H66" s="156">
        <f t="shared" ref="H66:H79" si="6">SUM(F66*G66/1000)</f>
        <v>1.9019200000000001</v>
      </c>
      <c r="I66" s="16">
        <v>0</v>
      </c>
      <c r="J66" s="5"/>
      <c r="K66" s="5"/>
      <c r="L66" s="5"/>
      <c r="M66" s="5"/>
      <c r="N66" s="5"/>
      <c r="O66" s="5"/>
      <c r="P66" s="5"/>
      <c r="Q66" s="5"/>
      <c r="R66" s="167"/>
      <c r="S66" s="167"/>
      <c r="T66" s="167"/>
      <c r="U66" s="167"/>
    </row>
    <row r="67" spans="1:21" ht="15.75" hidden="1" customHeight="1">
      <c r="A67" s="36"/>
      <c r="B67" s="18" t="s">
        <v>47</v>
      </c>
      <c r="C67" s="20" t="s">
        <v>122</v>
      </c>
      <c r="D67" s="18" t="s">
        <v>69</v>
      </c>
      <c r="E67" s="23">
        <v>3</v>
      </c>
      <c r="F67" s="144">
        <v>3</v>
      </c>
      <c r="G67" s="16">
        <v>81.510000000000005</v>
      </c>
      <c r="H67" s="156">
        <f t="shared" si="6"/>
        <v>0.24453000000000003</v>
      </c>
      <c r="I67" s="16">
        <v>0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ht="15.75" hidden="1" customHeight="1">
      <c r="A68" s="36"/>
      <c r="B68" s="18" t="s">
        <v>48</v>
      </c>
      <c r="C68" s="20" t="s">
        <v>124</v>
      </c>
      <c r="D68" s="18" t="s">
        <v>54</v>
      </c>
      <c r="E68" s="143">
        <v>19836</v>
      </c>
      <c r="F68" s="16">
        <f>SUM(E68/100)</f>
        <v>198.36</v>
      </c>
      <c r="G68" s="16">
        <v>226.79</v>
      </c>
      <c r="H68" s="156">
        <f t="shared" si="6"/>
        <v>44.986064400000004</v>
      </c>
      <c r="I68" s="16">
        <f>F68*G68</f>
        <v>44986.064400000003</v>
      </c>
    </row>
    <row r="69" spans="1:21" ht="15.75" hidden="1" customHeight="1">
      <c r="A69" s="36"/>
      <c r="B69" s="18" t="s">
        <v>49</v>
      </c>
      <c r="C69" s="20" t="s">
        <v>125</v>
      </c>
      <c r="D69" s="18"/>
      <c r="E69" s="143">
        <v>19836</v>
      </c>
      <c r="F69" s="16">
        <f>SUM(E69/1000)</f>
        <v>19.835999999999999</v>
      </c>
      <c r="G69" s="16">
        <v>176.61</v>
      </c>
      <c r="H69" s="156">
        <f t="shared" si="6"/>
        <v>3.50323596</v>
      </c>
      <c r="I69" s="16">
        <f t="shared" ref="I69:I73" si="7">F69*G69</f>
        <v>3503.23596</v>
      </c>
    </row>
    <row r="70" spans="1:21" ht="15.75" hidden="1" customHeight="1">
      <c r="A70" s="36"/>
      <c r="B70" s="18" t="s">
        <v>50</v>
      </c>
      <c r="C70" s="20" t="s">
        <v>79</v>
      </c>
      <c r="D70" s="18" t="s">
        <v>54</v>
      </c>
      <c r="E70" s="143">
        <v>3155</v>
      </c>
      <c r="F70" s="16">
        <f>SUM(E70/100)</f>
        <v>31.55</v>
      </c>
      <c r="G70" s="16">
        <v>2217.7800000000002</v>
      </c>
      <c r="H70" s="156">
        <f t="shared" si="6"/>
        <v>69.970959000000008</v>
      </c>
      <c r="I70" s="16">
        <f t="shared" si="7"/>
        <v>69970.959000000003</v>
      </c>
    </row>
    <row r="71" spans="1:21" ht="15.75" hidden="1" customHeight="1">
      <c r="A71" s="36"/>
      <c r="B71" s="157" t="s">
        <v>126</v>
      </c>
      <c r="C71" s="20" t="s">
        <v>33</v>
      </c>
      <c r="D71" s="18"/>
      <c r="E71" s="143">
        <v>17.600000000000001</v>
      </c>
      <c r="F71" s="16">
        <f>SUM(E71)</f>
        <v>17.600000000000001</v>
      </c>
      <c r="G71" s="16">
        <v>42.67</v>
      </c>
      <c r="H71" s="156">
        <f t="shared" si="6"/>
        <v>0.7509920000000001</v>
      </c>
      <c r="I71" s="16">
        <f t="shared" si="7"/>
        <v>750.99200000000008</v>
      </c>
    </row>
    <row r="72" spans="1:21" ht="15.75" hidden="1" customHeight="1">
      <c r="A72" s="36"/>
      <c r="B72" s="157" t="s">
        <v>127</v>
      </c>
      <c r="C72" s="20" t="s">
        <v>33</v>
      </c>
      <c r="D72" s="18"/>
      <c r="E72" s="143">
        <v>17.600000000000001</v>
      </c>
      <c r="F72" s="16">
        <f>SUM(E72)</f>
        <v>17.600000000000001</v>
      </c>
      <c r="G72" s="16">
        <v>39.81</v>
      </c>
      <c r="H72" s="156">
        <f t="shared" si="6"/>
        <v>0.70065600000000006</v>
      </c>
      <c r="I72" s="16">
        <f t="shared" si="7"/>
        <v>700.65600000000006</v>
      </c>
    </row>
    <row r="73" spans="1:21" ht="15.75" hidden="1" customHeight="1">
      <c r="A73" s="36"/>
      <c r="B73" s="18" t="s">
        <v>58</v>
      </c>
      <c r="C73" s="20" t="s">
        <v>59</v>
      </c>
      <c r="D73" s="18" t="s">
        <v>54</v>
      </c>
      <c r="E73" s="23">
        <v>7</v>
      </c>
      <c r="F73" s="144">
        <v>7</v>
      </c>
      <c r="G73" s="16">
        <v>53.32</v>
      </c>
      <c r="H73" s="156">
        <f t="shared" si="6"/>
        <v>0.37324000000000002</v>
      </c>
      <c r="I73" s="16">
        <f t="shared" si="7"/>
        <v>373.24</v>
      </c>
    </row>
    <row r="74" spans="1:21" ht="15.75" hidden="1" customHeight="1">
      <c r="A74" s="36"/>
      <c r="B74" s="125" t="s">
        <v>74</v>
      </c>
      <c r="C74" s="20"/>
      <c r="D74" s="18"/>
      <c r="E74" s="23"/>
      <c r="F74" s="16"/>
      <c r="G74" s="16"/>
      <c r="H74" s="156" t="s">
        <v>153</v>
      </c>
      <c r="I74" s="16"/>
    </row>
    <row r="75" spans="1:21" ht="15.75" hidden="1" customHeight="1">
      <c r="A75" s="36"/>
      <c r="B75" s="18" t="s">
        <v>75</v>
      </c>
      <c r="C75" s="20" t="s">
        <v>77</v>
      </c>
      <c r="D75" s="18"/>
      <c r="E75" s="23">
        <v>2</v>
      </c>
      <c r="F75" s="16">
        <v>0.2</v>
      </c>
      <c r="G75" s="16">
        <v>536.23</v>
      </c>
      <c r="H75" s="156">
        <f t="shared" si="6"/>
        <v>0.10724600000000001</v>
      </c>
      <c r="I75" s="16">
        <v>0</v>
      </c>
    </row>
    <row r="76" spans="1:21" ht="15.75" hidden="1" customHeight="1">
      <c r="A76" s="36"/>
      <c r="B76" s="18" t="s">
        <v>76</v>
      </c>
      <c r="C76" s="20" t="s">
        <v>31</v>
      </c>
      <c r="D76" s="18"/>
      <c r="E76" s="23">
        <v>1</v>
      </c>
      <c r="F76" s="135">
        <v>1</v>
      </c>
      <c r="G76" s="16">
        <v>911.85</v>
      </c>
      <c r="H76" s="156">
        <f>F76*G76/1000</f>
        <v>0.91185000000000005</v>
      </c>
      <c r="I76" s="16">
        <v>0</v>
      </c>
    </row>
    <row r="77" spans="1:21" ht="15.75" hidden="1" customHeight="1">
      <c r="A77" s="36"/>
      <c r="B77" s="18" t="s">
        <v>129</v>
      </c>
      <c r="C77" s="20" t="s">
        <v>31</v>
      </c>
      <c r="D77" s="18"/>
      <c r="E77" s="23">
        <v>1</v>
      </c>
      <c r="F77" s="16">
        <v>1</v>
      </c>
      <c r="G77" s="16">
        <v>383.25</v>
      </c>
      <c r="H77" s="156">
        <f>G77*F77/1000</f>
        <v>0.38324999999999998</v>
      </c>
      <c r="I77" s="16">
        <v>0</v>
      </c>
    </row>
    <row r="78" spans="1:21" ht="15.75" hidden="1" customHeight="1">
      <c r="A78" s="36"/>
      <c r="B78" s="159" t="s">
        <v>78</v>
      </c>
      <c r="C78" s="20"/>
      <c r="D78" s="18"/>
      <c r="E78" s="23"/>
      <c r="F78" s="16"/>
      <c r="G78" s="16" t="s">
        <v>153</v>
      </c>
      <c r="H78" s="156" t="s">
        <v>153</v>
      </c>
      <c r="I78" s="16"/>
    </row>
    <row r="79" spans="1:21" ht="15.75" hidden="1" customHeight="1">
      <c r="A79" s="36"/>
      <c r="B79" s="67" t="s">
        <v>141</v>
      </c>
      <c r="C79" s="20" t="s">
        <v>79</v>
      </c>
      <c r="D79" s="18"/>
      <c r="E79" s="23"/>
      <c r="F79" s="16">
        <v>0.3</v>
      </c>
      <c r="G79" s="16">
        <v>2949.85</v>
      </c>
      <c r="H79" s="156">
        <f t="shared" si="6"/>
        <v>0.88495499999999994</v>
      </c>
      <c r="I79" s="16">
        <v>0</v>
      </c>
    </row>
    <row r="80" spans="1:21" ht="15.75" hidden="1" customHeight="1">
      <c r="A80" s="36"/>
      <c r="B80" s="125" t="s">
        <v>106</v>
      </c>
      <c r="C80" s="159"/>
      <c r="D80" s="38"/>
      <c r="E80" s="39"/>
      <c r="F80" s="147"/>
      <c r="G80" s="147"/>
      <c r="H80" s="160">
        <f>SUM(H58:H79)</f>
        <v>165.24371469600001</v>
      </c>
      <c r="I80" s="147"/>
    </row>
    <row r="81" spans="1:9" ht="15.75" hidden="1" customHeight="1">
      <c r="A81" s="36"/>
      <c r="B81" s="141" t="s">
        <v>128</v>
      </c>
      <c r="C81" s="20"/>
      <c r="D81" s="18"/>
      <c r="E81" s="136"/>
      <c r="F81" s="16">
        <v>1</v>
      </c>
      <c r="G81" s="16">
        <v>17869</v>
      </c>
      <c r="H81" s="156">
        <f>G81*F81/1000</f>
        <v>17.869</v>
      </c>
      <c r="I81" s="16">
        <v>0</v>
      </c>
    </row>
    <row r="82" spans="1:9" ht="15.75" customHeight="1">
      <c r="A82" s="177" t="s">
        <v>179</v>
      </c>
      <c r="B82" s="178"/>
      <c r="C82" s="178"/>
      <c r="D82" s="178"/>
      <c r="E82" s="178"/>
      <c r="F82" s="178"/>
      <c r="G82" s="178"/>
      <c r="H82" s="178"/>
      <c r="I82" s="179"/>
    </row>
    <row r="83" spans="1:9" ht="15.75" customHeight="1">
      <c r="A83" s="36">
        <v>13</v>
      </c>
      <c r="B83" s="141" t="s">
        <v>130</v>
      </c>
      <c r="C83" s="20" t="s">
        <v>55</v>
      </c>
      <c r="D83" s="84" t="s">
        <v>56</v>
      </c>
      <c r="E83" s="16">
        <v>4731.7</v>
      </c>
      <c r="F83" s="16">
        <f>SUM(E83*12)</f>
        <v>56780.399999999994</v>
      </c>
      <c r="G83" s="16">
        <v>2.54</v>
      </c>
      <c r="H83" s="156">
        <f>SUM(F83*G83/1000)</f>
        <v>144.22221599999997</v>
      </c>
      <c r="I83" s="16">
        <f>F83/12*G83</f>
        <v>12018.518</v>
      </c>
    </row>
    <row r="84" spans="1:9" ht="31.5" customHeight="1">
      <c r="A84" s="36">
        <v>14</v>
      </c>
      <c r="B84" s="18" t="s">
        <v>80</v>
      </c>
      <c r="C84" s="20"/>
      <c r="D84" s="84" t="s">
        <v>56</v>
      </c>
      <c r="E84" s="143">
        <f>E83</f>
        <v>4731.7</v>
      </c>
      <c r="F84" s="16">
        <f>E84*12</f>
        <v>56780.399999999994</v>
      </c>
      <c r="G84" s="16">
        <v>3.05</v>
      </c>
      <c r="H84" s="156">
        <f>F84*G84/1000</f>
        <v>173.18021999999996</v>
      </c>
      <c r="I84" s="16">
        <f>F84/12*G84</f>
        <v>14431.684999999999</v>
      </c>
    </row>
    <row r="85" spans="1:9" ht="15.75" customHeight="1">
      <c r="A85" s="36"/>
      <c r="B85" s="54" t="s">
        <v>84</v>
      </c>
      <c r="C85" s="159"/>
      <c r="D85" s="158"/>
      <c r="E85" s="147"/>
      <c r="F85" s="147"/>
      <c r="G85" s="147"/>
      <c r="H85" s="160">
        <f>H84</f>
        <v>173.18021999999996</v>
      </c>
      <c r="I85" s="147">
        <f>I16+I17+I18+I20+I27+I28+I31+I32+I34+I35+I55+I64+I83+I84</f>
        <v>85590.090486799993</v>
      </c>
    </row>
    <row r="86" spans="1:9" ht="15.75" customHeight="1">
      <c r="A86" s="36"/>
      <c r="B86" s="80" t="s">
        <v>61</v>
      </c>
      <c r="C86" s="20"/>
      <c r="D86" s="67"/>
      <c r="E86" s="16"/>
      <c r="F86" s="16"/>
      <c r="G86" s="16"/>
      <c r="H86" s="16"/>
      <c r="I86" s="16"/>
    </row>
    <row r="87" spans="1:9" ht="15.75" customHeight="1">
      <c r="A87" s="36">
        <v>15</v>
      </c>
      <c r="B87" s="81" t="s">
        <v>160</v>
      </c>
      <c r="C87" s="107" t="s">
        <v>89</v>
      </c>
      <c r="D87" s="18"/>
      <c r="E87" s="23"/>
      <c r="F87" s="16">
        <v>4</v>
      </c>
      <c r="G87" s="16">
        <v>185.81</v>
      </c>
      <c r="H87" s="156">
        <f>G87*F87/1000</f>
        <v>0.74324000000000001</v>
      </c>
      <c r="I87" s="16">
        <f>G87*1</f>
        <v>185.81</v>
      </c>
    </row>
    <row r="88" spans="1:9" ht="15.75" customHeight="1">
      <c r="A88" s="36">
        <v>16</v>
      </c>
      <c r="B88" s="81" t="s">
        <v>201</v>
      </c>
      <c r="C88" s="108" t="s">
        <v>202</v>
      </c>
      <c r="D88" s="67"/>
      <c r="E88" s="16"/>
      <c r="F88" s="16">
        <v>1.5</v>
      </c>
      <c r="G88" s="16">
        <v>286.55</v>
      </c>
      <c r="H88" s="156">
        <f>G88*F88/1000</f>
        <v>0.42982500000000007</v>
      </c>
      <c r="I88" s="16">
        <f>G88*0.5</f>
        <v>143.27500000000001</v>
      </c>
    </row>
    <row r="89" spans="1:9" ht="31.5" customHeight="1">
      <c r="A89" s="36">
        <v>17</v>
      </c>
      <c r="B89" s="81" t="s">
        <v>87</v>
      </c>
      <c r="C89" s="107" t="s">
        <v>37</v>
      </c>
      <c r="D89" s="18"/>
      <c r="E89" s="23"/>
      <c r="F89" s="16">
        <v>0.05</v>
      </c>
      <c r="G89" s="16">
        <v>3397.65</v>
      </c>
      <c r="H89" s="156">
        <f t="shared" ref="H89:H98" si="8">G89*F89/1000</f>
        <v>0.16988250000000002</v>
      </c>
      <c r="I89" s="16">
        <f>G89*0.01</f>
        <v>33.976500000000001</v>
      </c>
    </row>
    <row r="90" spans="1:9" ht="15.75" customHeight="1">
      <c r="A90" s="36">
        <v>18</v>
      </c>
      <c r="B90" s="81" t="s">
        <v>158</v>
      </c>
      <c r="C90" s="107" t="s">
        <v>122</v>
      </c>
      <c r="D90" s="18"/>
      <c r="E90" s="23"/>
      <c r="F90" s="16">
        <v>729</v>
      </c>
      <c r="G90" s="16">
        <v>50.68</v>
      </c>
      <c r="H90" s="156">
        <f t="shared" si="8"/>
        <v>36.945720000000001</v>
      </c>
      <c r="I90" s="16">
        <f>G90*81</f>
        <v>4105.08</v>
      </c>
    </row>
    <row r="91" spans="1:9" ht="15.75" customHeight="1">
      <c r="A91" s="36">
        <v>19</v>
      </c>
      <c r="B91" s="81" t="s">
        <v>90</v>
      </c>
      <c r="C91" s="107" t="s">
        <v>210</v>
      </c>
      <c r="D91" s="18"/>
      <c r="E91" s="23"/>
      <c r="F91" s="16">
        <v>2</v>
      </c>
      <c r="G91" s="16">
        <v>290.67</v>
      </c>
      <c r="H91" s="156">
        <f t="shared" si="8"/>
        <v>0.58134000000000008</v>
      </c>
      <c r="I91" s="16">
        <f>G91</f>
        <v>290.67</v>
      </c>
    </row>
    <row r="92" spans="1:9" ht="31.5" customHeight="1">
      <c r="A92" s="36">
        <v>20</v>
      </c>
      <c r="B92" s="81" t="s">
        <v>167</v>
      </c>
      <c r="C92" s="107" t="s">
        <v>166</v>
      </c>
      <c r="D92" s="18"/>
      <c r="E92" s="23"/>
      <c r="F92" s="16">
        <v>4</v>
      </c>
      <c r="G92" s="16">
        <v>762.37</v>
      </c>
      <c r="H92" s="156">
        <f t="shared" si="8"/>
        <v>3.04948</v>
      </c>
      <c r="I92" s="16">
        <f t="shared" ref="I92:I93" si="9">G92</f>
        <v>762.37</v>
      </c>
    </row>
    <row r="93" spans="1:9" ht="15.75" customHeight="1">
      <c r="A93" s="36">
        <v>21</v>
      </c>
      <c r="B93" s="140" t="s">
        <v>211</v>
      </c>
      <c r="C93" s="36" t="s">
        <v>212</v>
      </c>
      <c r="D93" s="18"/>
      <c r="E93" s="23"/>
      <c r="F93" s="16">
        <f>0.5/10</f>
        <v>0.05</v>
      </c>
      <c r="G93" s="16">
        <v>3699.27</v>
      </c>
      <c r="H93" s="156">
        <f t="shared" si="8"/>
        <v>0.1849635</v>
      </c>
      <c r="I93" s="16">
        <f>G93*0.05</f>
        <v>184.96350000000001</v>
      </c>
    </row>
    <row r="94" spans="1:9" ht="31.5" customHeight="1">
      <c r="A94" s="36">
        <v>22</v>
      </c>
      <c r="B94" s="81" t="s">
        <v>213</v>
      </c>
      <c r="C94" s="107" t="s">
        <v>85</v>
      </c>
      <c r="D94" s="18"/>
      <c r="E94" s="23"/>
      <c r="F94" s="16">
        <v>6</v>
      </c>
      <c r="G94" s="16">
        <v>771.29</v>
      </c>
      <c r="H94" s="156">
        <f t="shared" si="8"/>
        <v>4.6277400000000002</v>
      </c>
      <c r="I94" s="16">
        <f>G94*6</f>
        <v>4627.74</v>
      </c>
    </row>
    <row r="95" spans="1:9" ht="15.75" customHeight="1">
      <c r="A95" s="36">
        <v>23</v>
      </c>
      <c r="B95" s="81" t="s">
        <v>223</v>
      </c>
      <c r="C95" s="107" t="s">
        <v>122</v>
      </c>
      <c r="D95" s="18"/>
      <c r="E95" s="23"/>
      <c r="F95" s="16">
        <v>1</v>
      </c>
      <c r="G95" s="16">
        <v>49.97</v>
      </c>
      <c r="H95" s="156">
        <f t="shared" si="8"/>
        <v>4.9970000000000001E-2</v>
      </c>
      <c r="I95" s="16">
        <f>G95</f>
        <v>49.97</v>
      </c>
    </row>
    <row r="96" spans="1:9" ht="15.75" customHeight="1">
      <c r="A96" s="36">
        <v>24</v>
      </c>
      <c r="B96" s="81" t="s">
        <v>214</v>
      </c>
      <c r="C96" s="107" t="s">
        <v>122</v>
      </c>
      <c r="D96" s="18"/>
      <c r="E96" s="23"/>
      <c r="F96" s="16">
        <v>1</v>
      </c>
      <c r="G96" s="16">
        <v>86.15</v>
      </c>
      <c r="H96" s="156">
        <f t="shared" si="8"/>
        <v>8.6150000000000004E-2</v>
      </c>
      <c r="I96" s="16">
        <f>G96</f>
        <v>86.15</v>
      </c>
    </row>
    <row r="97" spans="1:9" ht="15.75" customHeight="1">
      <c r="A97" s="36">
        <v>25</v>
      </c>
      <c r="B97" s="81" t="s">
        <v>215</v>
      </c>
      <c r="C97" s="107" t="s">
        <v>122</v>
      </c>
      <c r="D97" s="18"/>
      <c r="E97" s="23"/>
      <c r="F97" s="16">
        <v>2</v>
      </c>
      <c r="G97" s="16">
        <v>78.89</v>
      </c>
      <c r="H97" s="156">
        <f t="shared" si="8"/>
        <v>0.15778</v>
      </c>
      <c r="I97" s="16">
        <f>G97*2</f>
        <v>157.78</v>
      </c>
    </row>
    <row r="98" spans="1:9" ht="31.5" customHeight="1">
      <c r="A98" s="36">
        <v>26</v>
      </c>
      <c r="B98" s="81" t="s">
        <v>216</v>
      </c>
      <c r="C98" s="107" t="s">
        <v>197</v>
      </c>
      <c r="D98" s="18"/>
      <c r="E98" s="23"/>
      <c r="F98" s="16">
        <v>1</v>
      </c>
      <c r="G98" s="16">
        <v>48548</v>
      </c>
      <c r="H98" s="156">
        <f t="shared" si="8"/>
        <v>48.548000000000002</v>
      </c>
      <c r="I98" s="16">
        <f>G98</f>
        <v>48548</v>
      </c>
    </row>
    <row r="99" spans="1:9">
      <c r="A99" s="36"/>
      <c r="B99" s="61" t="s">
        <v>51</v>
      </c>
      <c r="C99" s="57"/>
      <c r="D99" s="71"/>
      <c r="E99" s="57">
        <v>1</v>
      </c>
      <c r="F99" s="57"/>
      <c r="G99" s="57"/>
      <c r="H99" s="57"/>
      <c r="I99" s="39">
        <f>SUM(I87:I98)</f>
        <v>59175.784999999996</v>
      </c>
    </row>
    <row r="100" spans="1:9" ht="15.75" customHeight="1">
      <c r="A100" s="36"/>
      <c r="B100" s="67" t="s">
        <v>81</v>
      </c>
      <c r="C100" s="19"/>
      <c r="D100" s="19"/>
      <c r="E100" s="58"/>
      <c r="F100" s="58"/>
      <c r="G100" s="59"/>
      <c r="H100" s="59"/>
      <c r="I100" s="22">
        <v>0</v>
      </c>
    </row>
    <row r="101" spans="1:9" ht="15.75" customHeight="1">
      <c r="A101" s="72"/>
      <c r="B101" s="62" t="s">
        <v>52</v>
      </c>
      <c r="C101" s="45"/>
      <c r="D101" s="45"/>
      <c r="E101" s="45"/>
      <c r="F101" s="45"/>
      <c r="G101" s="45"/>
      <c r="H101" s="45"/>
      <c r="I101" s="60">
        <f>I85+I99</f>
        <v>144765.87548679998</v>
      </c>
    </row>
    <row r="102" spans="1:9" ht="15.75" customHeight="1">
      <c r="A102" s="169" t="s">
        <v>254</v>
      </c>
      <c r="B102" s="169"/>
      <c r="C102" s="169"/>
      <c r="D102" s="169"/>
      <c r="E102" s="169"/>
      <c r="F102" s="169"/>
      <c r="G102" s="169"/>
      <c r="H102" s="169"/>
      <c r="I102" s="169"/>
    </row>
    <row r="103" spans="1:9" ht="15.75" customHeight="1">
      <c r="A103" s="121"/>
      <c r="B103" s="170" t="s">
        <v>255</v>
      </c>
      <c r="C103" s="170"/>
      <c r="D103" s="170"/>
      <c r="E103" s="170"/>
      <c r="F103" s="170"/>
      <c r="G103" s="170"/>
      <c r="H103" s="139"/>
      <c r="I103" s="3"/>
    </row>
    <row r="104" spans="1:9" ht="15.75" customHeight="1">
      <c r="A104" s="130"/>
      <c r="B104" s="165" t="s">
        <v>6</v>
      </c>
      <c r="C104" s="165"/>
      <c r="D104" s="165"/>
      <c r="E104" s="165"/>
      <c r="F104" s="165"/>
      <c r="G104" s="165"/>
      <c r="H104" s="31"/>
      <c r="I104" s="5"/>
    </row>
    <row r="105" spans="1:9" ht="15.75" customHeight="1">
      <c r="A105" s="10"/>
      <c r="B105" s="10"/>
      <c r="C105" s="10"/>
      <c r="D105" s="10"/>
      <c r="E105" s="10"/>
      <c r="F105" s="10"/>
      <c r="G105" s="10"/>
      <c r="H105" s="10"/>
      <c r="I105" s="10"/>
    </row>
    <row r="106" spans="1:9" ht="15.75" customHeight="1">
      <c r="A106" s="171" t="s">
        <v>7</v>
      </c>
      <c r="B106" s="171"/>
      <c r="C106" s="171"/>
      <c r="D106" s="171"/>
      <c r="E106" s="171"/>
      <c r="F106" s="171"/>
      <c r="G106" s="171"/>
      <c r="H106" s="171"/>
      <c r="I106" s="171"/>
    </row>
    <row r="107" spans="1:9" ht="15.75" customHeight="1">
      <c r="A107" s="171" t="s">
        <v>8</v>
      </c>
      <c r="B107" s="171"/>
      <c r="C107" s="171"/>
      <c r="D107" s="171"/>
      <c r="E107" s="171"/>
      <c r="F107" s="171"/>
      <c r="G107" s="171"/>
      <c r="H107" s="171"/>
      <c r="I107" s="171"/>
    </row>
    <row r="108" spans="1:9" ht="15.75" customHeight="1">
      <c r="A108" s="172" t="s">
        <v>62</v>
      </c>
      <c r="B108" s="172"/>
      <c r="C108" s="172"/>
      <c r="D108" s="172"/>
      <c r="E108" s="172"/>
      <c r="F108" s="172"/>
      <c r="G108" s="172"/>
      <c r="H108" s="172"/>
      <c r="I108" s="172"/>
    </row>
    <row r="109" spans="1:9" ht="15.75" customHeight="1">
      <c r="A109" s="11"/>
    </row>
    <row r="110" spans="1:9" ht="15.75">
      <c r="A110" s="163" t="s">
        <v>9</v>
      </c>
      <c r="B110" s="163"/>
      <c r="C110" s="163"/>
      <c r="D110" s="163"/>
      <c r="E110" s="163"/>
      <c r="F110" s="163"/>
      <c r="G110" s="163"/>
      <c r="H110" s="163"/>
      <c r="I110" s="163"/>
    </row>
    <row r="111" spans="1:9" ht="15.75">
      <c r="A111" s="4"/>
    </row>
    <row r="112" spans="1:9" ht="15.75" customHeight="1">
      <c r="B112" s="127" t="s">
        <v>10</v>
      </c>
      <c r="C112" s="164" t="s">
        <v>180</v>
      </c>
      <c r="D112" s="164"/>
      <c r="E112" s="164"/>
      <c r="F112" s="137"/>
      <c r="I112" s="129"/>
    </row>
    <row r="113" spans="1:9" ht="15.75" customHeight="1">
      <c r="A113" s="130"/>
      <c r="C113" s="165" t="s">
        <v>11</v>
      </c>
      <c r="D113" s="165"/>
      <c r="E113" s="165"/>
      <c r="F113" s="31"/>
      <c r="I113" s="128" t="s">
        <v>12</v>
      </c>
    </row>
    <row r="114" spans="1:9" ht="15.75" customHeight="1">
      <c r="A114" s="32"/>
      <c r="C114" s="12"/>
      <c r="D114" s="12"/>
      <c r="G114" s="12"/>
      <c r="H114" s="12"/>
    </row>
    <row r="115" spans="1:9" ht="15.75" customHeight="1">
      <c r="B115" s="127" t="s">
        <v>13</v>
      </c>
      <c r="C115" s="166"/>
      <c r="D115" s="166"/>
      <c r="E115" s="166"/>
      <c r="F115" s="138"/>
      <c r="I115" s="129"/>
    </row>
    <row r="116" spans="1:9" ht="15.75" customHeight="1">
      <c r="A116" s="130"/>
      <c r="C116" s="167" t="s">
        <v>11</v>
      </c>
      <c r="D116" s="167"/>
      <c r="E116" s="167"/>
      <c r="F116" s="130"/>
      <c r="I116" s="128" t="s">
        <v>12</v>
      </c>
    </row>
    <row r="117" spans="1:9" ht="15.75">
      <c r="A117" s="4" t="s">
        <v>14</v>
      </c>
    </row>
    <row r="118" spans="1:9">
      <c r="A118" s="168" t="s">
        <v>15</v>
      </c>
      <c r="B118" s="168"/>
      <c r="C118" s="168"/>
      <c r="D118" s="168"/>
      <c r="E118" s="168"/>
      <c r="F118" s="168"/>
      <c r="G118" s="168"/>
      <c r="H118" s="168"/>
      <c r="I118" s="168"/>
    </row>
    <row r="119" spans="1:9" ht="45" customHeight="1">
      <c r="A119" s="162" t="s">
        <v>16</v>
      </c>
      <c r="B119" s="162"/>
      <c r="C119" s="162"/>
      <c r="D119" s="162"/>
      <c r="E119" s="162"/>
      <c r="F119" s="162"/>
      <c r="G119" s="162"/>
      <c r="H119" s="162"/>
      <c r="I119" s="162"/>
    </row>
    <row r="120" spans="1:9" ht="30" customHeight="1">
      <c r="A120" s="162" t="s">
        <v>17</v>
      </c>
      <c r="B120" s="162"/>
      <c r="C120" s="162"/>
      <c r="D120" s="162"/>
      <c r="E120" s="162"/>
      <c r="F120" s="162"/>
      <c r="G120" s="162"/>
      <c r="H120" s="162"/>
      <c r="I120" s="162"/>
    </row>
    <row r="121" spans="1:9" ht="30" customHeight="1">
      <c r="A121" s="162" t="s">
        <v>21</v>
      </c>
      <c r="B121" s="162"/>
      <c r="C121" s="162"/>
      <c r="D121" s="162"/>
      <c r="E121" s="162"/>
      <c r="F121" s="162"/>
      <c r="G121" s="162"/>
      <c r="H121" s="162"/>
      <c r="I121" s="162"/>
    </row>
    <row r="122" spans="1:9" ht="15" customHeight="1">
      <c r="A122" s="162" t="s">
        <v>20</v>
      </c>
      <c r="B122" s="162"/>
      <c r="C122" s="162"/>
      <c r="D122" s="162"/>
      <c r="E122" s="162"/>
      <c r="F122" s="162"/>
      <c r="G122" s="162"/>
      <c r="H122" s="162"/>
      <c r="I122" s="162"/>
    </row>
  </sheetData>
  <autoFilter ref="I12:I61"/>
  <mergeCells count="28">
    <mergeCell ref="A119:I119"/>
    <mergeCell ref="A120:I120"/>
    <mergeCell ref="A121:I121"/>
    <mergeCell ref="A122:I122"/>
    <mergeCell ref="A110:I110"/>
    <mergeCell ref="C112:E112"/>
    <mergeCell ref="C113:E113"/>
    <mergeCell ref="C115:E115"/>
    <mergeCell ref="C116:E116"/>
    <mergeCell ref="A118:I118"/>
    <mergeCell ref="A102:I102"/>
    <mergeCell ref="B103:G103"/>
    <mergeCell ref="B104:G104"/>
    <mergeCell ref="A106:I106"/>
    <mergeCell ref="A107:I107"/>
    <mergeCell ref="A108:I108"/>
    <mergeCell ref="A15:I15"/>
    <mergeCell ref="A29:I29"/>
    <mergeCell ref="A46:I46"/>
    <mergeCell ref="A56:I56"/>
    <mergeCell ref="R66:U66"/>
    <mergeCell ref="A82:I82"/>
    <mergeCell ref="A3:I3"/>
    <mergeCell ref="A4:I4"/>
    <mergeCell ref="A5:I5"/>
    <mergeCell ref="A8:I8"/>
    <mergeCell ref="A10:I10"/>
    <mergeCell ref="A14:I14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16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4" t="s">
        <v>94</v>
      </c>
      <c r="I1" s="33"/>
      <c r="J1" s="1"/>
      <c r="K1" s="1"/>
      <c r="L1" s="1"/>
      <c r="M1" s="1"/>
    </row>
    <row r="2" spans="1:13" ht="15.75">
      <c r="A2" s="35" t="s">
        <v>64</v>
      </c>
      <c r="J2" s="2"/>
      <c r="K2" s="2"/>
      <c r="L2" s="2"/>
      <c r="M2" s="2"/>
    </row>
    <row r="3" spans="1:13" ht="15.75" customHeight="1">
      <c r="A3" s="180" t="s">
        <v>256</v>
      </c>
      <c r="B3" s="180"/>
      <c r="C3" s="180"/>
      <c r="D3" s="180"/>
      <c r="E3" s="180"/>
      <c r="F3" s="180"/>
      <c r="G3" s="180"/>
      <c r="H3" s="180"/>
      <c r="I3" s="180"/>
      <c r="J3" s="3"/>
      <c r="K3" s="3"/>
      <c r="L3" s="3"/>
    </row>
    <row r="4" spans="1:13" ht="31.5" customHeight="1">
      <c r="A4" s="181" t="s">
        <v>162</v>
      </c>
      <c r="B4" s="181"/>
      <c r="C4" s="181"/>
      <c r="D4" s="181"/>
      <c r="E4" s="181"/>
      <c r="F4" s="181"/>
      <c r="G4" s="181"/>
      <c r="H4" s="181"/>
      <c r="I4" s="181"/>
    </row>
    <row r="5" spans="1:13" ht="15.75">
      <c r="A5" s="180" t="s">
        <v>257</v>
      </c>
      <c r="B5" s="182"/>
      <c r="C5" s="182"/>
      <c r="D5" s="182"/>
      <c r="E5" s="182"/>
      <c r="F5" s="182"/>
      <c r="G5" s="182"/>
      <c r="H5" s="182"/>
      <c r="I5" s="182"/>
      <c r="J5" s="2"/>
      <c r="K5" s="2"/>
      <c r="L5" s="2"/>
      <c r="M5" s="2"/>
    </row>
    <row r="6" spans="1:13" ht="15.75">
      <c r="A6" s="2"/>
      <c r="B6" s="126"/>
      <c r="C6" s="126"/>
      <c r="D6" s="126"/>
      <c r="E6" s="126"/>
      <c r="F6" s="126"/>
      <c r="G6" s="126"/>
      <c r="H6" s="126"/>
      <c r="I6" s="37">
        <v>42643</v>
      </c>
      <c r="J6" s="2"/>
      <c r="K6" s="2"/>
      <c r="L6" s="2"/>
      <c r="M6" s="2"/>
    </row>
    <row r="7" spans="1:13" ht="15.75">
      <c r="B7" s="127"/>
      <c r="C7" s="127"/>
      <c r="D7" s="127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83" t="s">
        <v>175</v>
      </c>
      <c r="B8" s="183"/>
      <c r="C8" s="183"/>
      <c r="D8" s="183"/>
      <c r="E8" s="183"/>
      <c r="F8" s="183"/>
      <c r="G8" s="183"/>
      <c r="H8" s="183"/>
      <c r="I8" s="183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84" t="s">
        <v>176</v>
      </c>
      <c r="B10" s="184"/>
      <c r="C10" s="184"/>
      <c r="D10" s="184"/>
      <c r="E10" s="184"/>
      <c r="F10" s="184"/>
      <c r="G10" s="184"/>
      <c r="H10" s="184"/>
      <c r="I10" s="184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85" t="s">
        <v>60</v>
      </c>
      <c r="B14" s="185"/>
      <c r="C14" s="185"/>
      <c r="D14" s="185"/>
      <c r="E14" s="185"/>
      <c r="F14" s="185"/>
      <c r="G14" s="185"/>
      <c r="H14" s="185"/>
      <c r="I14" s="185"/>
      <c r="J14" s="8"/>
      <c r="K14" s="8"/>
      <c r="L14" s="8"/>
      <c r="M14" s="8"/>
    </row>
    <row r="15" spans="1:13" ht="15" customHeight="1">
      <c r="A15" s="173" t="s">
        <v>4</v>
      </c>
      <c r="B15" s="173"/>
      <c r="C15" s="173"/>
      <c r="D15" s="173"/>
      <c r="E15" s="173"/>
      <c r="F15" s="173"/>
      <c r="G15" s="173"/>
      <c r="H15" s="173"/>
      <c r="I15" s="173"/>
      <c r="J15" s="8"/>
      <c r="K15" s="8"/>
      <c r="L15" s="8"/>
      <c r="M15" s="8"/>
    </row>
    <row r="16" spans="1:13" ht="31.5" customHeight="1">
      <c r="A16" s="36">
        <v>1</v>
      </c>
      <c r="B16" s="141" t="s">
        <v>97</v>
      </c>
      <c r="C16" s="142" t="s">
        <v>98</v>
      </c>
      <c r="D16" s="141" t="s">
        <v>99</v>
      </c>
      <c r="E16" s="143">
        <v>143.78</v>
      </c>
      <c r="F16" s="144">
        <f>SUM(E16*156/100)</f>
        <v>224.29679999999999</v>
      </c>
      <c r="G16" s="144">
        <v>187.48</v>
      </c>
      <c r="H16" s="145">
        <f t="shared" ref="H16:H25" si="0">SUM(F16*G16/1000)</f>
        <v>42.051164063999998</v>
      </c>
      <c r="I16" s="16">
        <f>F16/12*G16</f>
        <v>3504.2636719999996</v>
      </c>
      <c r="J16" s="28"/>
      <c r="K16" s="8"/>
      <c r="L16" s="8"/>
      <c r="M16" s="8"/>
    </row>
    <row r="17" spans="1:13" ht="31.5" customHeight="1">
      <c r="A17" s="36">
        <v>2</v>
      </c>
      <c r="B17" s="141" t="s">
        <v>133</v>
      </c>
      <c r="C17" s="142" t="s">
        <v>98</v>
      </c>
      <c r="D17" s="141" t="s">
        <v>100</v>
      </c>
      <c r="E17" s="143">
        <v>575.125</v>
      </c>
      <c r="F17" s="144">
        <f>SUM(E17*104/100)</f>
        <v>598.13</v>
      </c>
      <c r="G17" s="144">
        <v>187.48</v>
      </c>
      <c r="H17" s="145">
        <f t="shared" si="0"/>
        <v>112.13741239999999</v>
      </c>
      <c r="I17" s="16">
        <f>F17/12*G17</f>
        <v>9344.7843666666668</v>
      </c>
      <c r="J17" s="29"/>
      <c r="K17" s="8"/>
      <c r="L17" s="8"/>
      <c r="M17" s="8"/>
    </row>
    <row r="18" spans="1:13" ht="31.5" customHeight="1">
      <c r="A18" s="36">
        <v>3</v>
      </c>
      <c r="B18" s="141" t="s">
        <v>134</v>
      </c>
      <c r="C18" s="142" t="s">
        <v>98</v>
      </c>
      <c r="D18" s="141" t="s">
        <v>142</v>
      </c>
      <c r="E18" s="143">
        <v>718.9</v>
      </c>
      <c r="F18" s="144">
        <f>SUM(E18*24/100)</f>
        <v>172.53599999999997</v>
      </c>
      <c r="G18" s="144">
        <v>539.51</v>
      </c>
      <c r="H18" s="145">
        <f t="shared" si="0"/>
        <v>93.084897359999985</v>
      </c>
      <c r="I18" s="16">
        <f>F18/12*G18</f>
        <v>7757.074779999999</v>
      </c>
      <c r="J18" s="29"/>
      <c r="K18" s="8"/>
      <c r="L18" s="8"/>
      <c r="M18" s="8"/>
    </row>
    <row r="19" spans="1:13" ht="15.75" hidden="1" customHeight="1">
      <c r="A19" s="36"/>
      <c r="B19" s="141" t="s">
        <v>107</v>
      </c>
      <c r="C19" s="142" t="s">
        <v>108</v>
      </c>
      <c r="D19" s="141" t="s">
        <v>109</v>
      </c>
      <c r="E19" s="143">
        <v>42.2</v>
      </c>
      <c r="F19" s="144">
        <f>SUM(E19/10)</f>
        <v>4.2200000000000006</v>
      </c>
      <c r="G19" s="144">
        <v>181.91</v>
      </c>
      <c r="H19" s="145">
        <f t="shared" si="0"/>
        <v>0.76766020000000013</v>
      </c>
      <c r="I19" s="16">
        <v>0</v>
      </c>
      <c r="J19" s="29"/>
      <c r="K19" s="8"/>
      <c r="L19" s="8"/>
      <c r="M19" s="8"/>
    </row>
    <row r="20" spans="1:13" ht="15.75" customHeight="1">
      <c r="A20" s="36">
        <v>4</v>
      </c>
      <c r="B20" s="141" t="s">
        <v>110</v>
      </c>
      <c r="C20" s="142" t="s">
        <v>98</v>
      </c>
      <c r="D20" s="141" t="s">
        <v>135</v>
      </c>
      <c r="E20" s="143">
        <v>14</v>
      </c>
      <c r="F20" s="144">
        <f>SUM(E20*12/100)</f>
        <v>1.68</v>
      </c>
      <c r="G20" s="144">
        <v>232.92</v>
      </c>
      <c r="H20" s="145">
        <f t="shared" si="0"/>
        <v>0.39130559999999998</v>
      </c>
      <c r="I20" s="16">
        <f>F20/12*G20</f>
        <v>32.608799999999995</v>
      </c>
      <c r="J20" s="29"/>
      <c r="K20" s="8"/>
      <c r="L20" s="8"/>
      <c r="M20" s="8"/>
    </row>
    <row r="21" spans="1:13" ht="15.75" customHeight="1">
      <c r="A21" s="36">
        <v>5</v>
      </c>
      <c r="B21" s="141" t="s">
        <v>111</v>
      </c>
      <c r="C21" s="142" t="s">
        <v>98</v>
      </c>
      <c r="D21" s="141" t="s">
        <v>184</v>
      </c>
      <c r="E21" s="143">
        <v>4.8</v>
      </c>
      <c r="F21" s="144">
        <f>SUM(E21*6/100)</f>
        <v>0.28799999999999998</v>
      </c>
      <c r="G21" s="144">
        <v>231.03</v>
      </c>
      <c r="H21" s="145">
        <f>SUM(F21*G21/1000)</f>
        <v>6.6536639999999994E-2</v>
      </c>
      <c r="I21" s="16">
        <f>F21/6*G21</f>
        <v>11.089439999999998</v>
      </c>
      <c r="J21" s="29"/>
      <c r="K21" s="8"/>
      <c r="L21" s="8"/>
      <c r="M21" s="8"/>
    </row>
    <row r="22" spans="1:13" ht="15.75" hidden="1" customHeight="1">
      <c r="A22" s="36"/>
      <c r="B22" s="141" t="s">
        <v>112</v>
      </c>
      <c r="C22" s="142" t="s">
        <v>53</v>
      </c>
      <c r="D22" s="141" t="s">
        <v>109</v>
      </c>
      <c r="E22" s="143">
        <v>640</v>
      </c>
      <c r="F22" s="144">
        <f>SUM(E22/100)</f>
        <v>6.4</v>
      </c>
      <c r="G22" s="144">
        <v>287.83999999999997</v>
      </c>
      <c r="H22" s="145">
        <f t="shared" si="0"/>
        <v>1.842176</v>
      </c>
      <c r="I22" s="16">
        <v>0</v>
      </c>
      <c r="J22" s="29"/>
      <c r="K22" s="8"/>
      <c r="L22" s="8"/>
      <c r="M22" s="8"/>
    </row>
    <row r="23" spans="1:13" ht="15.75" hidden="1" customHeight="1">
      <c r="A23" s="36"/>
      <c r="B23" s="141" t="s">
        <v>113</v>
      </c>
      <c r="C23" s="142" t="s">
        <v>53</v>
      </c>
      <c r="D23" s="141" t="s">
        <v>109</v>
      </c>
      <c r="E23" s="146">
        <v>48.3</v>
      </c>
      <c r="F23" s="144">
        <f>SUM(E23/100)</f>
        <v>0.48299999999999998</v>
      </c>
      <c r="G23" s="144">
        <v>47.34</v>
      </c>
      <c r="H23" s="145">
        <f t="shared" si="0"/>
        <v>2.2865220000000002E-2</v>
      </c>
      <c r="I23" s="16">
        <v>0</v>
      </c>
      <c r="J23" s="29"/>
      <c r="K23" s="8"/>
      <c r="L23" s="8"/>
      <c r="M23" s="8"/>
    </row>
    <row r="24" spans="1:13" ht="15.75" hidden="1" customHeight="1">
      <c r="A24" s="36"/>
      <c r="B24" s="141" t="s">
        <v>114</v>
      </c>
      <c r="C24" s="142" t="s">
        <v>53</v>
      </c>
      <c r="D24" s="141" t="s">
        <v>54</v>
      </c>
      <c r="E24" s="143">
        <v>20</v>
      </c>
      <c r="F24" s="144">
        <f>E24/100</f>
        <v>0.2</v>
      </c>
      <c r="G24" s="144">
        <v>416.62</v>
      </c>
      <c r="H24" s="145">
        <f t="shared" si="0"/>
        <v>8.3324000000000009E-2</v>
      </c>
      <c r="I24" s="16">
        <v>0</v>
      </c>
      <c r="J24" s="29"/>
      <c r="K24" s="8"/>
      <c r="L24" s="8"/>
      <c r="M24" s="8"/>
    </row>
    <row r="25" spans="1:13" ht="15.75" hidden="1" customHeight="1">
      <c r="A25" s="36"/>
      <c r="B25" s="141" t="s">
        <v>115</v>
      </c>
      <c r="C25" s="142" t="s">
        <v>53</v>
      </c>
      <c r="D25" s="141" t="s">
        <v>54</v>
      </c>
      <c r="E25" s="143">
        <v>8.5</v>
      </c>
      <c r="F25" s="144">
        <f>SUM(E25/100)</f>
        <v>8.5000000000000006E-2</v>
      </c>
      <c r="G25" s="144">
        <v>556.74</v>
      </c>
      <c r="H25" s="145">
        <f t="shared" si="0"/>
        <v>4.7322900000000001E-2</v>
      </c>
      <c r="I25" s="16">
        <v>0</v>
      </c>
      <c r="J25" s="29"/>
      <c r="K25" s="8"/>
      <c r="L25" s="8"/>
      <c r="M25" s="8"/>
    </row>
    <row r="26" spans="1:13" ht="15.75" hidden="1" customHeight="1">
      <c r="A26" s="36"/>
      <c r="B26" s="141" t="s">
        <v>140</v>
      </c>
      <c r="C26" s="142" t="s">
        <v>53</v>
      </c>
      <c r="D26" s="141" t="s">
        <v>54</v>
      </c>
      <c r="E26" s="143">
        <v>19</v>
      </c>
      <c r="F26" s="144">
        <f>E26/100</f>
        <v>0.19</v>
      </c>
      <c r="G26" s="144">
        <v>231.03</v>
      </c>
      <c r="H26" s="145">
        <f>G26*F26/1000</f>
        <v>4.3895699999999996E-2</v>
      </c>
      <c r="I26" s="16">
        <v>0</v>
      </c>
      <c r="J26" s="29"/>
      <c r="K26" s="8"/>
      <c r="L26" s="8"/>
      <c r="M26" s="8"/>
    </row>
    <row r="27" spans="1:13" ht="15.75" customHeight="1">
      <c r="A27" s="36">
        <v>6</v>
      </c>
      <c r="B27" s="141" t="s">
        <v>66</v>
      </c>
      <c r="C27" s="142" t="s">
        <v>33</v>
      </c>
      <c r="D27" s="141" t="s">
        <v>136</v>
      </c>
      <c r="E27" s="143">
        <v>0.1</v>
      </c>
      <c r="F27" s="144">
        <f>SUM(E27*365)</f>
        <v>36.5</v>
      </c>
      <c r="G27" s="144">
        <v>157.18</v>
      </c>
      <c r="H27" s="145">
        <f>SUM(F27*G27/1000)</f>
        <v>5.737070000000001</v>
      </c>
      <c r="I27" s="16">
        <f>F27/12*G27</f>
        <v>478.08916666666664</v>
      </c>
      <c r="J27" s="30"/>
    </row>
    <row r="28" spans="1:13" ht="15.75" customHeight="1">
      <c r="A28" s="36">
        <v>7</v>
      </c>
      <c r="B28" s="149" t="s">
        <v>23</v>
      </c>
      <c r="C28" s="142" t="s">
        <v>24</v>
      </c>
      <c r="D28" s="149" t="s">
        <v>153</v>
      </c>
      <c r="E28" s="143">
        <v>4731.7</v>
      </c>
      <c r="F28" s="144">
        <f>SUM(E28*12)</f>
        <v>56780.399999999994</v>
      </c>
      <c r="G28" s="144">
        <v>4.72</v>
      </c>
      <c r="H28" s="145">
        <f>SUM(F28*G28/1000)</f>
        <v>268.00348799999995</v>
      </c>
      <c r="I28" s="16">
        <f>F28/12*G28</f>
        <v>22333.623999999996</v>
      </c>
      <c r="J28" s="30"/>
    </row>
    <row r="29" spans="1:13" ht="15" customHeight="1">
      <c r="A29" s="173" t="s">
        <v>93</v>
      </c>
      <c r="B29" s="173"/>
      <c r="C29" s="173"/>
      <c r="D29" s="173"/>
      <c r="E29" s="173"/>
      <c r="F29" s="173"/>
      <c r="G29" s="173"/>
      <c r="H29" s="173"/>
      <c r="I29" s="173"/>
      <c r="J29" s="29"/>
      <c r="K29" s="8"/>
      <c r="L29" s="8"/>
      <c r="M29" s="8"/>
    </row>
    <row r="30" spans="1:13" ht="15.75" customHeight="1">
      <c r="A30" s="36"/>
      <c r="B30" s="189" t="s">
        <v>28</v>
      </c>
      <c r="C30" s="142"/>
      <c r="D30" s="141"/>
      <c r="E30" s="143"/>
      <c r="F30" s="144"/>
      <c r="G30" s="144"/>
      <c r="H30" s="145"/>
      <c r="I30" s="16"/>
      <c r="J30" s="29"/>
      <c r="K30" s="8"/>
      <c r="L30" s="8"/>
      <c r="M30" s="8"/>
    </row>
    <row r="31" spans="1:13" ht="31.5" customHeight="1">
      <c r="A31" s="36">
        <v>8</v>
      </c>
      <c r="B31" s="141" t="s">
        <v>119</v>
      </c>
      <c r="C31" s="142" t="s">
        <v>102</v>
      </c>
      <c r="D31" s="141" t="s">
        <v>116</v>
      </c>
      <c r="E31" s="144">
        <v>512.5</v>
      </c>
      <c r="F31" s="144">
        <f>SUM(E31*52/1000)</f>
        <v>26.65</v>
      </c>
      <c r="G31" s="144">
        <v>166.65</v>
      </c>
      <c r="H31" s="145">
        <f t="shared" ref="H31:H37" si="1">SUM(F31*G31/1000)</f>
        <v>4.4412225000000003</v>
      </c>
      <c r="I31" s="16">
        <f>F31/6*G31</f>
        <v>740.20375000000001</v>
      </c>
      <c r="J31" s="29"/>
      <c r="K31" s="8"/>
      <c r="L31" s="8"/>
      <c r="M31" s="8"/>
    </row>
    <row r="32" spans="1:13" ht="31.5" customHeight="1">
      <c r="A32" s="36">
        <v>9</v>
      </c>
      <c r="B32" s="141" t="s">
        <v>137</v>
      </c>
      <c r="C32" s="142" t="s">
        <v>102</v>
      </c>
      <c r="D32" s="141" t="s">
        <v>117</v>
      </c>
      <c r="E32" s="144">
        <v>316.27</v>
      </c>
      <c r="F32" s="144">
        <f>SUM(E32*78/1000)</f>
        <v>24.669059999999998</v>
      </c>
      <c r="G32" s="144">
        <v>276.48</v>
      </c>
      <c r="H32" s="145">
        <f t="shared" si="1"/>
        <v>6.8205017087999993</v>
      </c>
      <c r="I32" s="16">
        <f t="shared" ref="I32:I35" si="2">F32/6*G32</f>
        <v>1136.7502848000001</v>
      </c>
      <c r="J32" s="29"/>
      <c r="K32" s="8"/>
      <c r="L32" s="8"/>
      <c r="M32" s="8"/>
    </row>
    <row r="33" spans="1:14" ht="15.75" hidden="1" customHeight="1">
      <c r="A33" s="36"/>
      <c r="B33" s="141" t="s">
        <v>27</v>
      </c>
      <c r="C33" s="142" t="s">
        <v>102</v>
      </c>
      <c r="D33" s="141" t="s">
        <v>54</v>
      </c>
      <c r="E33" s="144">
        <v>512.5</v>
      </c>
      <c r="F33" s="144">
        <f>SUM(E33/1000)</f>
        <v>0.51249999999999996</v>
      </c>
      <c r="G33" s="144">
        <v>3228.73</v>
      </c>
      <c r="H33" s="145">
        <f t="shared" si="1"/>
        <v>1.654724125</v>
      </c>
      <c r="I33" s="16">
        <f>F33*G33</f>
        <v>1654.724125</v>
      </c>
      <c r="J33" s="29"/>
      <c r="K33" s="8"/>
      <c r="L33" s="8"/>
      <c r="M33" s="8"/>
    </row>
    <row r="34" spans="1:14" ht="15.75" customHeight="1">
      <c r="A34" s="36">
        <v>10</v>
      </c>
      <c r="B34" s="141" t="s">
        <v>154</v>
      </c>
      <c r="C34" s="142" t="s">
        <v>39</v>
      </c>
      <c r="D34" s="141" t="s">
        <v>65</v>
      </c>
      <c r="E34" s="144">
        <v>4</v>
      </c>
      <c r="F34" s="144">
        <f>E34*155/100</f>
        <v>6.2</v>
      </c>
      <c r="G34" s="144">
        <v>1391.86</v>
      </c>
      <c r="H34" s="145">
        <f>G34*F34/1000</f>
        <v>8.6295319999999993</v>
      </c>
      <c r="I34" s="16">
        <f t="shared" si="2"/>
        <v>1438.2553333333333</v>
      </c>
      <c r="J34" s="29"/>
      <c r="K34" s="8"/>
    </row>
    <row r="35" spans="1:14" ht="15.75" customHeight="1">
      <c r="A35" s="36">
        <v>11</v>
      </c>
      <c r="B35" s="141" t="s">
        <v>118</v>
      </c>
      <c r="C35" s="142" t="s">
        <v>31</v>
      </c>
      <c r="D35" s="141" t="s">
        <v>65</v>
      </c>
      <c r="E35" s="148">
        <v>0.33333333333333331</v>
      </c>
      <c r="F35" s="144">
        <f>155/3</f>
        <v>51.666666666666664</v>
      </c>
      <c r="G35" s="144">
        <v>60.6</v>
      </c>
      <c r="H35" s="145">
        <f>SUM(G35*155/3/1000)</f>
        <v>3.1309999999999998</v>
      </c>
      <c r="I35" s="16">
        <f t="shared" si="2"/>
        <v>521.83333333333337</v>
      </c>
      <c r="J35" s="30"/>
    </row>
    <row r="36" spans="1:14" ht="15.75" hidden="1" customHeight="1">
      <c r="A36" s="36"/>
      <c r="B36" s="141" t="s">
        <v>67</v>
      </c>
      <c r="C36" s="142" t="s">
        <v>33</v>
      </c>
      <c r="D36" s="141" t="s">
        <v>69</v>
      </c>
      <c r="E36" s="143"/>
      <c r="F36" s="144">
        <v>3</v>
      </c>
      <c r="G36" s="144">
        <v>204.52</v>
      </c>
      <c r="H36" s="145">
        <f t="shared" si="1"/>
        <v>0.61356000000000011</v>
      </c>
      <c r="I36" s="16">
        <v>0</v>
      </c>
      <c r="J36" s="30"/>
    </row>
    <row r="37" spans="1:14" ht="15.75" hidden="1" customHeight="1">
      <c r="A37" s="36"/>
      <c r="B37" s="141" t="s">
        <v>68</v>
      </c>
      <c r="C37" s="142" t="s">
        <v>32</v>
      </c>
      <c r="D37" s="141" t="s">
        <v>69</v>
      </c>
      <c r="E37" s="143"/>
      <c r="F37" s="144">
        <v>2</v>
      </c>
      <c r="G37" s="144">
        <v>1214.73</v>
      </c>
      <c r="H37" s="145">
        <f t="shared" si="1"/>
        <v>2.4294600000000002</v>
      </c>
      <c r="I37" s="16">
        <v>0</v>
      </c>
      <c r="J37" s="30"/>
    </row>
    <row r="38" spans="1:14" ht="15.75" hidden="1" customHeight="1">
      <c r="A38" s="36"/>
      <c r="B38" s="189" t="s">
        <v>5</v>
      </c>
      <c r="C38" s="142"/>
      <c r="D38" s="141"/>
      <c r="E38" s="143"/>
      <c r="F38" s="144"/>
      <c r="G38" s="144"/>
      <c r="H38" s="145" t="s">
        <v>153</v>
      </c>
      <c r="I38" s="16"/>
      <c r="J38" s="30"/>
    </row>
    <row r="39" spans="1:14" ht="15.75" hidden="1" customHeight="1">
      <c r="A39" s="36">
        <v>8</v>
      </c>
      <c r="B39" s="141" t="s">
        <v>26</v>
      </c>
      <c r="C39" s="142" t="s">
        <v>32</v>
      </c>
      <c r="D39" s="141"/>
      <c r="E39" s="143"/>
      <c r="F39" s="144">
        <v>5</v>
      </c>
      <c r="G39" s="144">
        <v>1632.6</v>
      </c>
      <c r="H39" s="145">
        <f t="shared" ref="H39:H45" si="3">SUM(F39*G39/1000)</f>
        <v>8.1630000000000003</v>
      </c>
      <c r="I39" s="16">
        <f>F39/6*G39</f>
        <v>1360.5</v>
      </c>
      <c r="J39" s="30"/>
      <c r="L39" s="25"/>
      <c r="M39" s="26"/>
      <c r="N39" s="27"/>
    </row>
    <row r="40" spans="1:14" ht="15.75" hidden="1" customHeight="1">
      <c r="A40" s="36">
        <v>9</v>
      </c>
      <c r="B40" s="141" t="s">
        <v>120</v>
      </c>
      <c r="C40" s="142" t="s">
        <v>29</v>
      </c>
      <c r="D40" s="141" t="s">
        <v>146</v>
      </c>
      <c r="E40" s="143">
        <v>228.38</v>
      </c>
      <c r="F40" s="144">
        <f>E40*30/1000</f>
        <v>6.8513999999999999</v>
      </c>
      <c r="G40" s="144">
        <v>2247.8000000000002</v>
      </c>
      <c r="H40" s="145">
        <f>G40*F40/1000</f>
        <v>15.400576920000001</v>
      </c>
      <c r="I40" s="16">
        <f>F40/6*G40</f>
        <v>2566.7628199999999</v>
      </c>
      <c r="J40" s="30"/>
      <c r="L40" s="25"/>
      <c r="M40" s="26"/>
      <c r="N40" s="27"/>
    </row>
    <row r="41" spans="1:14" ht="15.75" hidden="1" customHeight="1">
      <c r="A41" s="36">
        <v>10</v>
      </c>
      <c r="B41" s="141" t="s">
        <v>144</v>
      </c>
      <c r="C41" s="142" t="s">
        <v>145</v>
      </c>
      <c r="D41" s="141" t="s">
        <v>69</v>
      </c>
      <c r="E41" s="143"/>
      <c r="F41" s="144">
        <v>120</v>
      </c>
      <c r="G41" s="144">
        <v>213.2</v>
      </c>
      <c r="H41" s="145">
        <f>G41*F41/1000</f>
        <v>25.584</v>
      </c>
      <c r="I41" s="16">
        <f>G41*12</f>
        <v>2558.3999999999996</v>
      </c>
      <c r="J41" s="30"/>
      <c r="L41" s="25"/>
      <c r="M41" s="26"/>
      <c r="N41" s="27"/>
    </row>
    <row r="42" spans="1:14" ht="15.75" hidden="1" customHeight="1">
      <c r="A42" s="36">
        <v>11</v>
      </c>
      <c r="B42" s="141" t="s">
        <v>70</v>
      </c>
      <c r="C42" s="142" t="s">
        <v>29</v>
      </c>
      <c r="D42" s="141" t="s">
        <v>101</v>
      </c>
      <c r="E42" s="144">
        <v>233.71</v>
      </c>
      <c r="F42" s="144">
        <f>SUM(E42*155/1000)</f>
        <v>36.225050000000003</v>
      </c>
      <c r="G42" s="144">
        <v>374.95</v>
      </c>
      <c r="H42" s="145">
        <f t="shared" si="3"/>
        <v>13.582582497500001</v>
      </c>
      <c r="I42" s="16">
        <f>F42/6*G42</f>
        <v>2263.7637495833337</v>
      </c>
      <c r="J42" s="30"/>
      <c r="L42" s="25"/>
      <c r="M42" s="26"/>
      <c r="N42" s="27"/>
    </row>
    <row r="43" spans="1:14" ht="47.25" hidden="1" customHeight="1">
      <c r="A43" s="36">
        <v>12</v>
      </c>
      <c r="B43" s="141" t="s">
        <v>88</v>
      </c>
      <c r="C43" s="142" t="s">
        <v>102</v>
      </c>
      <c r="D43" s="141" t="s">
        <v>147</v>
      </c>
      <c r="E43" s="144">
        <v>54.4</v>
      </c>
      <c r="F43" s="144">
        <f>SUM(E43*35/1000)</f>
        <v>1.9039999999999999</v>
      </c>
      <c r="G43" s="144">
        <v>6203.7</v>
      </c>
      <c r="H43" s="145">
        <f t="shared" si="3"/>
        <v>11.811844799999999</v>
      </c>
      <c r="I43" s="16">
        <f>F43/6*G43</f>
        <v>1968.6407999999997</v>
      </c>
      <c r="J43" s="30"/>
      <c r="L43" s="25"/>
      <c r="M43" s="26"/>
      <c r="N43" s="27"/>
    </row>
    <row r="44" spans="1:14" ht="15.75" hidden="1" customHeight="1">
      <c r="A44" s="36">
        <v>13</v>
      </c>
      <c r="B44" s="141" t="s">
        <v>103</v>
      </c>
      <c r="C44" s="142" t="s">
        <v>102</v>
      </c>
      <c r="D44" s="141" t="s">
        <v>71</v>
      </c>
      <c r="E44" s="144">
        <v>228.38</v>
      </c>
      <c r="F44" s="144">
        <f>SUM(E44*45/1000)</f>
        <v>10.277100000000001</v>
      </c>
      <c r="G44" s="144">
        <v>458.28</v>
      </c>
      <c r="H44" s="145">
        <f t="shared" si="3"/>
        <v>4.7097893879999999</v>
      </c>
      <c r="I44" s="16">
        <f>F44/6*G44</f>
        <v>784.96489800000006</v>
      </c>
      <c r="J44" s="30"/>
      <c r="L44" s="25"/>
      <c r="M44" s="26"/>
      <c r="N44" s="27"/>
    </row>
    <row r="45" spans="1:14" ht="15.75" hidden="1" customHeight="1">
      <c r="A45" s="36">
        <v>14</v>
      </c>
      <c r="B45" s="141" t="s">
        <v>72</v>
      </c>
      <c r="C45" s="142" t="s">
        <v>33</v>
      </c>
      <c r="D45" s="141"/>
      <c r="E45" s="143"/>
      <c r="F45" s="144">
        <v>1.8</v>
      </c>
      <c r="G45" s="144">
        <v>853.06</v>
      </c>
      <c r="H45" s="145">
        <f t="shared" si="3"/>
        <v>1.5355080000000001</v>
      </c>
      <c r="I45" s="16">
        <f>F45/6*G45</f>
        <v>255.91799999999998</v>
      </c>
      <c r="J45" s="30"/>
      <c r="L45" s="25"/>
      <c r="M45" s="26"/>
      <c r="N45" s="27"/>
    </row>
    <row r="46" spans="1:14" ht="15" customHeight="1">
      <c r="A46" s="174" t="s">
        <v>177</v>
      </c>
      <c r="B46" s="175"/>
      <c r="C46" s="175"/>
      <c r="D46" s="175"/>
      <c r="E46" s="175"/>
      <c r="F46" s="175"/>
      <c r="G46" s="175"/>
      <c r="H46" s="175"/>
      <c r="I46" s="176"/>
      <c r="J46" s="30"/>
      <c r="L46" s="25"/>
      <c r="M46" s="26"/>
      <c r="N46" s="27"/>
    </row>
    <row r="47" spans="1:14" ht="15.75" customHeight="1">
      <c r="A47" s="36">
        <v>12</v>
      </c>
      <c r="B47" s="141" t="s">
        <v>148</v>
      </c>
      <c r="C47" s="142" t="s">
        <v>102</v>
      </c>
      <c r="D47" s="141" t="s">
        <v>41</v>
      </c>
      <c r="E47" s="143">
        <v>1320.9</v>
      </c>
      <c r="F47" s="144">
        <f>SUM(E47*2/1000)</f>
        <v>2.6418000000000004</v>
      </c>
      <c r="G47" s="16">
        <v>908.11</v>
      </c>
      <c r="H47" s="145">
        <f t="shared" ref="H47:H55" si="4">SUM(F47*G47/1000)</f>
        <v>2.3990449980000004</v>
      </c>
      <c r="I47" s="16">
        <f>F47/2*G47</f>
        <v>1199.5224990000002</v>
      </c>
      <c r="J47" s="30"/>
      <c r="L47" s="25"/>
      <c r="M47" s="26"/>
      <c r="N47" s="27"/>
    </row>
    <row r="48" spans="1:14" ht="15.75" customHeight="1">
      <c r="A48" s="36">
        <v>13</v>
      </c>
      <c r="B48" s="141" t="s">
        <v>34</v>
      </c>
      <c r="C48" s="142" t="s">
        <v>102</v>
      </c>
      <c r="D48" s="141" t="s">
        <v>41</v>
      </c>
      <c r="E48" s="143">
        <v>52</v>
      </c>
      <c r="F48" s="144">
        <f>E48*2/1000</f>
        <v>0.104</v>
      </c>
      <c r="G48" s="16">
        <v>619.46</v>
      </c>
      <c r="H48" s="145">
        <f t="shared" si="4"/>
        <v>6.4423839999999996E-2</v>
      </c>
      <c r="I48" s="16">
        <f t="shared" ref="I48:I54" si="5">F48/2*G48</f>
        <v>32.211919999999999</v>
      </c>
      <c r="J48" s="30"/>
      <c r="L48" s="25"/>
      <c r="M48" s="26"/>
      <c r="N48" s="27"/>
    </row>
    <row r="49" spans="1:22" ht="15.75" customHeight="1">
      <c r="A49" s="36">
        <v>14</v>
      </c>
      <c r="B49" s="141" t="s">
        <v>35</v>
      </c>
      <c r="C49" s="142" t="s">
        <v>102</v>
      </c>
      <c r="D49" s="141" t="s">
        <v>41</v>
      </c>
      <c r="E49" s="143">
        <v>1520.8</v>
      </c>
      <c r="F49" s="144">
        <f>SUM(E49*2/1000)</f>
        <v>3.0415999999999999</v>
      </c>
      <c r="G49" s="16">
        <v>619.46</v>
      </c>
      <c r="H49" s="145">
        <f t="shared" si="4"/>
        <v>1.8841495360000002</v>
      </c>
      <c r="I49" s="16">
        <f t="shared" si="5"/>
        <v>942.07476800000006</v>
      </c>
      <c r="J49" s="30"/>
      <c r="L49" s="25"/>
      <c r="M49" s="26"/>
      <c r="N49" s="27"/>
    </row>
    <row r="50" spans="1:22" ht="15.75" customHeight="1">
      <c r="A50" s="36">
        <v>15</v>
      </c>
      <c r="B50" s="141" t="s">
        <v>36</v>
      </c>
      <c r="C50" s="142" t="s">
        <v>102</v>
      </c>
      <c r="D50" s="141" t="s">
        <v>41</v>
      </c>
      <c r="E50" s="143">
        <v>3433.81</v>
      </c>
      <c r="F50" s="144">
        <f>SUM(E50*2/1000)</f>
        <v>6.8676199999999996</v>
      </c>
      <c r="G50" s="16">
        <v>648.64</v>
      </c>
      <c r="H50" s="145">
        <f t="shared" si="4"/>
        <v>4.4546130367999996</v>
      </c>
      <c r="I50" s="16">
        <f t="shared" si="5"/>
        <v>2227.3065183999997</v>
      </c>
      <c r="J50" s="30"/>
      <c r="L50" s="25"/>
      <c r="M50" s="26"/>
      <c r="N50" s="27"/>
    </row>
    <row r="51" spans="1:22" ht="15.75" customHeight="1">
      <c r="A51" s="36">
        <v>16</v>
      </c>
      <c r="B51" s="141" t="s">
        <v>57</v>
      </c>
      <c r="C51" s="142" t="s">
        <v>102</v>
      </c>
      <c r="D51" s="141" t="s">
        <v>225</v>
      </c>
      <c r="E51" s="143">
        <v>2641.8</v>
      </c>
      <c r="F51" s="144">
        <f>SUM(E51*5/1000)</f>
        <v>13.209</v>
      </c>
      <c r="G51" s="16">
        <v>1297.28</v>
      </c>
      <c r="H51" s="145">
        <f t="shared" si="4"/>
        <v>17.135771519999999</v>
      </c>
      <c r="I51" s="16">
        <f>F51/5*G51</f>
        <v>3427.1543039999997</v>
      </c>
      <c r="J51" s="30"/>
      <c r="L51" s="25"/>
      <c r="M51" s="26"/>
      <c r="N51" s="27"/>
    </row>
    <row r="52" spans="1:22" ht="31.5" customHeight="1">
      <c r="A52" s="36">
        <v>17</v>
      </c>
      <c r="B52" s="141" t="s">
        <v>104</v>
      </c>
      <c r="C52" s="142" t="s">
        <v>102</v>
      </c>
      <c r="D52" s="141" t="s">
        <v>41</v>
      </c>
      <c r="E52" s="143">
        <v>2641.8</v>
      </c>
      <c r="F52" s="144">
        <f>SUM(E52*2/1000)</f>
        <v>5.2836000000000007</v>
      </c>
      <c r="G52" s="16">
        <v>1297.28</v>
      </c>
      <c r="H52" s="145">
        <f t="shared" si="4"/>
        <v>6.8543086080000011</v>
      </c>
      <c r="I52" s="16">
        <f t="shared" si="5"/>
        <v>3427.1543040000006</v>
      </c>
      <c r="J52" s="30"/>
      <c r="L52" s="25"/>
      <c r="M52" s="26"/>
      <c r="N52" s="27"/>
    </row>
    <row r="53" spans="1:22" ht="31.5" customHeight="1">
      <c r="A53" s="36">
        <v>18</v>
      </c>
      <c r="B53" s="141" t="s">
        <v>105</v>
      </c>
      <c r="C53" s="142" t="s">
        <v>37</v>
      </c>
      <c r="D53" s="141" t="s">
        <v>41</v>
      </c>
      <c r="E53" s="143">
        <v>20</v>
      </c>
      <c r="F53" s="144">
        <f>SUM(E53*2/100)</f>
        <v>0.4</v>
      </c>
      <c r="G53" s="16">
        <v>2918.89</v>
      </c>
      <c r="H53" s="145">
        <f>SUM(F53*G53/1000)</f>
        <v>1.167556</v>
      </c>
      <c r="I53" s="16">
        <f t="shared" si="5"/>
        <v>583.77800000000002</v>
      </c>
      <c r="J53" s="30"/>
      <c r="L53" s="25"/>
      <c r="M53" s="26"/>
      <c r="N53" s="27"/>
    </row>
    <row r="54" spans="1:22" ht="15.75" customHeight="1">
      <c r="A54" s="36">
        <v>19</v>
      </c>
      <c r="B54" s="141" t="s">
        <v>38</v>
      </c>
      <c r="C54" s="142" t="s">
        <v>39</v>
      </c>
      <c r="D54" s="141" t="s">
        <v>41</v>
      </c>
      <c r="E54" s="143">
        <v>1</v>
      </c>
      <c r="F54" s="144">
        <v>0.02</v>
      </c>
      <c r="G54" s="16">
        <v>6042.12</v>
      </c>
      <c r="H54" s="145">
        <f t="shared" si="4"/>
        <v>0.1208424</v>
      </c>
      <c r="I54" s="16">
        <f t="shared" si="5"/>
        <v>60.421199999999999</v>
      </c>
      <c r="J54" s="30"/>
      <c r="L54" s="25"/>
      <c r="M54" s="26"/>
      <c r="N54" s="27"/>
    </row>
    <row r="55" spans="1:22" ht="15.75" hidden="1" customHeight="1">
      <c r="A55" s="36">
        <v>16</v>
      </c>
      <c r="B55" s="141" t="s">
        <v>40</v>
      </c>
      <c r="C55" s="142" t="s">
        <v>122</v>
      </c>
      <c r="D55" s="141" t="s">
        <v>73</v>
      </c>
      <c r="E55" s="143">
        <v>160</v>
      </c>
      <c r="F55" s="144">
        <f>SUM(E55)*3</f>
        <v>480</v>
      </c>
      <c r="G55" s="16">
        <v>70.209999999999994</v>
      </c>
      <c r="H55" s="145">
        <f t="shared" si="4"/>
        <v>33.700799999999994</v>
      </c>
      <c r="I55" s="16">
        <f>E55*G55</f>
        <v>11233.599999999999</v>
      </c>
      <c r="J55" s="30"/>
      <c r="L55" s="25"/>
      <c r="M55" s="26"/>
      <c r="N55" s="27"/>
    </row>
    <row r="56" spans="1:22" ht="15.75" customHeight="1">
      <c r="A56" s="174" t="s">
        <v>178</v>
      </c>
      <c r="B56" s="175"/>
      <c r="C56" s="175"/>
      <c r="D56" s="175"/>
      <c r="E56" s="175"/>
      <c r="F56" s="175"/>
      <c r="G56" s="175"/>
      <c r="H56" s="175"/>
      <c r="I56" s="176"/>
      <c r="J56" s="30"/>
      <c r="L56" s="25"/>
      <c r="M56" s="26"/>
      <c r="N56" s="27"/>
    </row>
    <row r="57" spans="1:22" ht="15.75" hidden="1" customHeight="1">
      <c r="A57" s="36"/>
      <c r="B57" s="189" t="s">
        <v>42</v>
      </c>
      <c r="C57" s="142"/>
      <c r="D57" s="141"/>
      <c r="E57" s="143"/>
      <c r="F57" s="144"/>
      <c r="G57" s="144"/>
      <c r="H57" s="145"/>
      <c r="I57" s="16"/>
      <c r="J57" s="30"/>
      <c r="L57" s="25"/>
      <c r="M57" s="26"/>
      <c r="N57" s="27"/>
    </row>
    <row r="58" spans="1:22" ht="31.5" hidden="1" customHeight="1">
      <c r="A58" s="36">
        <v>17</v>
      </c>
      <c r="B58" s="141" t="s">
        <v>149</v>
      </c>
      <c r="C58" s="142" t="s">
        <v>98</v>
      </c>
      <c r="D58" s="141" t="s">
        <v>123</v>
      </c>
      <c r="E58" s="143">
        <v>155.09</v>
      </c>
      <c r="F58" s="144">
        <f>SUM(E58*6/100)</f>
        <v>9.3053999999999988</v>
      </c>
      <c r="G58" s="16">
        <v>1654.04</v>
      </c>
      <c r="H58" s="145">
        <f>SUM(F58*G58/1000)</f>
        <v>15.391503815999998</v>
      </c>
      <c r="I58" s="16">
        <f>F58/6*G58</f>
        <v>2565.2506359999993</v>
      </c>
      <c r="J58" s="30"/>
      <c r="L58" s="25"/>
      <c r="M58" s="26"/>
      <c r="N58" s="27"/>
    </row>
    <row r="59" spans="1:22" ht="15.75" hidden="1" customHeight="1">
      <c r="A59" s="36">
        <v>18</v>
      </c>
      <c r="B59" s="141" t="s">
        <v>150</v>
      </c>
      <c r="C59" s="142" t="s">
        <v>98</v>
      </c>
      <c r="D59" s="141" t="s">
        <v>123</v>
      </c>
      <c r="E59" s="143">
        <v>3.8</v>
      </c>
      <c r="F59" s="144">
        <f>SUM(E59*6/100)</f>
        <v>0.22799999999999998</v>
      </c>
      <c r="G59" s="16">
        <v>1654.04</v>
      </c>
      <c r="H59" s="145">
        <f>SUM(F59*G59/1000)</f>
        <v>0.37712111999999998</v>
      </c>
      <c r="I59" s="16">
        <f>F59/6*G59</f>
        <v>62.853519999999996</v>
      </c>
      <c r="J59" s="30"/>
      <c r="L59" s="25"/>
    </row>
    <row r="60" spans="1:22" ht="15.75" hidden="1" customHeight="1">
      <c r="A60" s="36">
        <v>19</v>
      </c>
      <c r="B60" s="150" t="s">
        <v>151</v>
      </c>
      <c r="C60" s="151" t="s">
        <v>152</v>
      </c>
      <c r="D60" s="150" t="s">
        <v>41</v>
      </c>
      <c r="E60" s="152">
        <v>4</v>
      </c>
      <c r="F60" s="153">
        <v>0.8</v>
      </c>
      <c r="G60" s="16">
        <v>193.23</v>
      </c>
      <c r="H60" s="145">
        <f t="shared" ref="H60:H61" si="6">SUM(F60*G60/1000)</f>
        <v>0.154584</v>
      </c>
      <c r="I60" s="16">
        <f>F60/2*G60</f>
        <v>77.292000000000002</v>
      </c>
    </row>
    <row r="61" spans="1:22" ht="15.75" hidden="1" customHeight="1">
      <c r="A61" s="36"/>
      <c r="B61" s="150" t="s">
        <v>44</v>
      </c>
      <c r="C61" s="151" t="s">
        <v>53</v>
      </c>
      <c r="D61" s="150" t="s">
        <v>54</v>
      </c>
      <c r="E61" s="152">
        <v>1320.9</v>
      </c>
      <c r="F61" s="153">
        <f>E61/100</f>
        <v>13.209000000000001</v>
      </c>
      <c r="G61" s="16">
        <v>505.2</v>
      </c>
      <c r="H61" s="145">
        <f t="shared" si="6"/>
        <v>6.6731868000000008</v>
      </c>
      <c r="I61" s="16">
        <v>0</v>
      </c>
    </row>
    <row r="62" spans="1:22" ht="15.75" customHeight="1">
      <c r="A62" s="36"/>
      <c r="B62" s="190" t="s">
        <v>43</v>
      </c>
      <c r="C62" s="151"/>
      <c r="D62" s="150"/>
      <c r="E62" s="152"/>
      <c r="F62" s="153"/>
      <c r="G62" s="16"/>
      <c r="H62" s="154"/>
      <c r="I62" s="16"/>
    </row>
    <row r="63" spans="1:22" ht="15.75" hidden="1" customHeight="1">
      <c r="A63" s="36"/>
      <c r="B63" s="150" t="s">
        <v>44</v>
      </c>
      <c r="C63" s="151" t="s">
        <v>53</v>
      </c>
      <c r="D63" s="150" t="s">
        <v>54</v>
      </c>
      <c r="E63" s="152">
        <v>1238</v>
      </c>
      <c r="F63" s="153">
        <f>E63/100</f>
        <v>12.38</v>
      </c>
      <c r="G63" s="16">
        <v>848.37</v>
      </c>
      <c r="H63" s="154">
        <f>F63*G63/1000</f>
        <v>10.502820600000002</v>
      </c>
      <c r="I63" s="16">
        <v>0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.75" customHeight="1">
      <c r="A64" s="36">
        <v>20</v>
      </c>
      <c r="B64" s="150" t="s">
        <v>139</v>
      </c>
      <c r="C64" s="151" t="s">
        <v>25</v>
      </c>
      <c r="D64" s="150" t="s">
        <v>30</v>
      </c>
      <c r="E64" s="152">
        <v>238</v>
      </c>
      <c r="F64" s="155">
        <f>E64*12</f>
        <v>2856</v>
      </c>
      <c r="G64" s="135">
        <v>2.6</v>
      </c>
      <c r="H64" s="153">
        <f>F64*G64/1000</f>
        <v>7.4256000000000002</v>
      </c>
      <c r="I64" s="16">
        <f>F64/12*G64</f>
        <v>618.80000000000007</v>
      </c>
      <c r="J64" s="32"/>
      <c r="K64" s="32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customHeight="1">
      <c r="A65" s="36"/>
      <c r="B65" s="190" t="s">
        <v>45</v>
      </c>
      <c r="C65" s="151"/>
      <c r="D65" s="150"/>
      <c r="E65" s="152"/>
      <c r="F65" s="155"/>
      <c r="G65" s="155"/>
      <c r="H65" s="153" t="s">
        <v>153</v>
      </c>
      <c r="I65" s="16"/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customHeight="1">
      <c r="A66" s="36">
        <v>21</v>
      </c>
      <c r="B66" s="18" t="s">
        <v>46</v>
      </c>
      <c r="C66" s="20" t="s">
        <v>122</v>
      </c>
      <c r="D66" s="18" t="s">
        <v>69</v>
      </c>
      <c r="E66" s="23">
        <v>8</v>
      </c>
      <c r="F66" s="144">
        <v>8</v>
      </c>
      <c r="G66" s="16">
        <v>237.74</v>
      </c>
      <c r="H66" s="156">
        <f t="shared" ref="H66:H79" si="7">SUM(F66*G66/1000)</f>
        <v>1.9019200000000001</v>
      </c>
      <c r="I66" s="16">
        <f>G66*4</f>
        <v>950.96</v>
      </c>
      <c r="J66" s="5"/>
      <c r="K66" s="5"/>
      <c r="L66" s="5"/>
      <c r="M66" s="5"/>
      <c r="N66" s="5"/>
      <c r="O66" s="5"/>
      <c r="P66" s="5"/>
      <c r="Q66" s="5"/>
      <c r="R66" s="167"/>
      <c r="S66" s="167"/>
      <c r="T66" s="167"/>
      <c r="U66" s="167"/>
    </row>
    <row r="67" spans="1:21" ht="15.75" hidden="1" customHeight="1">
      <c r="A67" s="36"/>
      <c r="B67" s="18" t="s">
        <v>47</v>
      </c>
      <c r="C67" s="20" t="s">
        <v>122</v>
      </c>
      <c r="D67" s="18" t="s">
        <v>69</v>
      </c>
      <c r="E67" s="23">
        <v>3</v>
      </c>
      <c r="F67" s="144">
        <v>3</v>
      </c>
      <c r="G67" s="16">
        <v>81.510000000000005</v>
      </c>
      <c r="H67" s="156">
        <f t="shared" si="7"/>
        <v>0.24453000000000003</v>
      </c>
      <c r="I67" s="16">
        <v>0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ht="15.75" hidden="1" customHeight="1">
      <c r="A68" s="36"/>
      <c r="B68" s="18" t="s">
        <v>48</v>
      </c>
      <c r="C68" s="20" t="s">
        <v>124</v>
      </c>
      <c r="D68" s="18" t="s">
        <v>54</v>
      </c>
      <c r="E68" s="143">
        <v>19836</v>
      </c>
      <c r="F68" s="16">
        <f>SUM(E68/100)</f>
        <v>198.36</v>
      </c>
      <c r="G68" s="16">
        <v>226.79</v>
      </c>
      <c r="H68" s="156">
        <f t="shared" si="7"/>
        <v>44.986064400000004</v>
      </c>
      <c r="I68" s="16">
        <f>F68*G68</f>
        <v>44986.064400000003</v>
      </c>
    </row>
    <row r="69" spans="1:21" ht="15.75" hidden="1" customHeight="1">
      <c r="A69" s="36"/>
      <c r="B69" s="18" t="s">
        <v>49</v>
      </c>
      <c r="C69" s="20" t="s">
        <v>125</v>
      </c>
      <c r="D69" s="18"/>
      <c r="E69" s="143">
        <v>19836</v>
      </c>
      <c r="F69" s="16">
        <f>SUM(E69/1000)</f>
        <v>19.835999999999999</v>
      </c>
      <c r="G69" s="16">
        <v>176.61</v>
      </c>
      <c r="H69" s="156">
        <f t="shared" si="7"/>
        <v>3.50323596</v>
      </c>
      <c r="I69" s="16">
        <f t="shared" ref="I69:I73" si="8">F69*G69</f>
        <v>3503.23596</v>
      </c>
    </row>
    <row r="70" spans="1:21" ht="15.75" hidden="1" customHeight="1">
      <c r="A70" s="36"/>
      <c r="B70" s="18" t="s">
        <v>50</v>
      </c>
      <c r="C70" s="20" t="s">
        <v>79</v>
      </c>
      <c r="D70" s="18" t="s">
        <v>54</v>
      </c>
      <c r="E70" s="143">
        <v>3155</v>
      </c>
      <c r="F70" s="16">
        <f>SUM(E70/100)</f>
        <v>31.55</v>
      </c>
      <c r="G70" s="16">
        <v>2217.7800000000002</v>
      </c>
      <c r="H70" s="156">
        <f t="shared" si="7"/>
        <v>69.970959000000008</v>
      </c>
      <c r="I70" s="16">
        <f t="shared" si="8"/>
        <v>69970.959000000003</v>
      </c>
    </row>
    <row r="71" spans="1:21" ht="15.75" hidden="1" customHeight="1">
      <c r="A71" s="36"/>
      <c r="B71" s="157" t="s">
        <v>126</v>
      </c>
      <c r="C71" s="20" t="s">
        <v>33</v>
      </c>
      <c r="D71" s="18"/>
      <c r="E71" s="143">
        <v>17.600000000000001</v>
      </c>
      <c r="F71" s="16">
        <f>SUM(E71)</f>
        <v>17.600000000000001</v>
      </c>
      <c r="G71" s="16">
        <v>42.67</v>
      </c>
      <c r="H71" s="156">
        <f t="shared" si="7"/>
        <v>0.7509920000000001</v>
      </c>
      <c r="I71" s="16">
        <f t="shared" si="8"/>
        <v>750.99200000000008</v>
      </c>
    </row>
    <row r="72" spans="1:21" ht="15.75" hidden="1" customHeight="1">
      <c r="A72" s="36"/>
      <c r="B72" s="157" t="s">
        <v>127</v>
      </c>
      <c r="C72" s="20" t="s">
        <v>33</v>
      </c>
      <c r="D72" s="18"/>
      <c r="E72" s="143">
        <v>17.600000000000001</v>
      </c>
      <c r="F72" s="16">
        <f>SUM(E72)</f>
        <v>17.600000000000001</v>
      </c>
      <c r="G72" s="16">
        <v>39.81</v>
      </c>
      <c r="H72" s="156">
        <f t="shared" si="7"/>
        <v>0.70065600000000006</v>
      </c>
      <c r="I72" s="16">
        <f t="shared" si="8"/>
        <v>700.65600000000006</v>
      </c>
    </row>
    <row r="73" spans="1:21" ht="15.75" customHeight="1">
      <c r="A73" s="36">
        <v>22</v>
      </c>
      <c r="B73" s="18" t="s">
        <v>58</v>
      </c>
      <c r="C73" s="20" t="s">
        <v>59</v>
      </c>
      <c r="D73" s="18" t="s">
        <v>54</v>
      </c>
      <c r="E73" s="23">
        <v>7</v>
      </c>
      <c r="F73" s="144">
        <v>7</v>
      </c>
      <c r="G73" s="16">
        <v>53.32</v>
      </c>
      <c r="H73" s="156">
        <f t="shared" si="7"/>
        <v>0.37324000000000002</v>
      </c>
      <c r="I73" s="16">
        <f t="shared" si="8"/>
        <v>373.24</v>
      </c>
    </row>
    <row r="74" spans="1:21" ht="15.75" hidden="1" customHeight="1">
      <c r="A74" s="36"/>
      <c r="B74" s="125" t="s">
        <v>74</v>
      </c>
      <c r="C74" s="20"/>
      <c r="D74" s="18"/>
      <c r="E74" s="23"/>
      <c r="F74" s="16"/>
      <c r="G74" s="16"/>
      <c r="H74" s="156" t="s">
        <v>153</v>
      </c>
      <c r="I74" s="16"/>
    </row>
    <row r="75" spans="1:21" ht="15.75" hidden="1" customHeight="1">
      <c r="A75" s="36"/>
      <c r="B75" s="18" t="s">
        <v>75</v>
      </c>
      <c r="C75" s="20" t="s">
        <v>77</v>
      </c>
      <c r="D75" s="18"/>
      <c r="E75" s="23">
        <v>2</v>
      </c>
      <c r="F75" s="16">
        <v>0.2</v>
      </c>
      <c r="G75" s="16">
        <v>536.23</v>
      </c>
      <c r="H75" s="156">
        <f t="shared" si="7"/>
        <v>0.10724600000000001</v>
      </c>
      <c r="I75" s="16">
        <v>0</v>
      </c>
    </row>
    <row r="76" spans="1:21" ht="15.75" hidden="1" customHeight="1">
      <c r="A76" s="36"/>
      <c r="B76" s="18" t="s">
        <v>76</v>
      </c>
      <c r="C76" s="20" t="s">
        <v>31</v>
      </c>
      <c r="D76" s="18"/>
      <c r="E76" s="23">
        <v>1</v>
      </c>
      <c r="F76" s="135">
        <v>1</v>
      </c>
      <c r="G76" s="16">
        <v>911.85</v>
      </c>
      <c r="H76" s="156">
        <f>F76*G76/1000</f>
        <v>0.91185000000000005</v>
      </c>
      <c r="I76" s="16">
        <v>0</v>
      </c>
    </row>
    <row r="77" spans="1:21" ht="15.75" hidden="1" customHeight="1">
      <c r="A77" s="36"/>
      <c r="B77" s="18" t="s">
        <v>129</v>
      </c>
      <c r="C77" s="20" t="s">
        <v>31</v>
      </c>
      <c r="D77" s="18"/>
      <c r="E77" s="23">
        <v>1</v>
      </c>
      <c r="F77" s="16">
        <v>1</v>
      </c>
      <c r="G77" s="16">
        <v>383.25</v>
      </c>
      <c r="H77" s="156">
        <f>G77*F77/1000</f>
        <v>0.38324999999999998</v>
      </c>
      <c r="I77" s="16">
        <v>0</v>
      </c>
    </row>
    <row r="78" spans="1:21" ht="15.75" hidden="1" customHeight="1">
      <c r="A78" s="36"/>
      <c r="B78" s="159" t="s">
        <v>78</v>
      </c>
      <c r="C78" s="20"/>
      <c r="D78" s="18"/>
      <c r="E78" s="23"/>
      <c r="F78" s="16"/>
      <c r="G78" s="16" t="s">
        <v>153</v>
      </c>
      <c r="H78" s="156" t="s">
        <v>153</v>
      </c>
      <c r="I78" s="16"/>
    </row>
    <row r="79" spans="1:21" ht="15.75" hidden="1" customHeight="1">
      <c r="A79" s="36"/>
      <c r="B79" s="67" t="s">
        <v>141</v>
      </c>
      <c r="C79" s="20" t="s">
        <v>79</v>
      </c>
      <c r="D79" s="18"/>
      <c r="E79" s="23"/>
      <c r="F79" s="16">
        <v>0.3</v>
      </c>
      <c r="G79" s="16">
        <v>2949.85</v>
      </c>
      <c r="H79" s="156">
        <f t="shared" si="7"/>
        <v>0.88495499999999994</v>
      </c>
      <c r="I79" s="16">
        <v>0</v>
      </c>
    </row>
    <row r="80" spans="1:21" ht="15.75" hidden="1" customHeight="1">
      <c r="A80" s="36"/>
      <c r="B80" s="125" t="s">
        <v>106</v>
      </c>
      <c r="C80" s="159"/>
      <c r="D80" s="38"/>
      <c r="E80" s="39"/>
      <c r="F80" s="147"/>
      <c r="G80" s="147"/>
      <c r="H80" s="160">
        <f>SUM(H58:H79)</f>
        <v>165.24371469600001</v>
      </c>
      <c r="I80" s="147"/>
    </row>
    <row r="81" spans="1:9" ht="15.75" hidden="1" customHeight="1">
      <c r="A81" s="36"/>
      <c r="B81" s="141" t="s">
        <v>128</v>
      </c>
      <c r="C81" s="20"/>
      <c r="D81" s="18"/>
      <c r="E81" s="136"/>
      <c r="F81" s="16">
        <v>1</v>
      </c>
      <c r="G81" s="16">
        <v>17869</v>
      </c>
      <c r="H81" s="156">
        <f>G81*F81/1000</f>
        <v>17.869</v>
      </c>
      <c r="I81" s="16">
        <v>0</v>
      </c>
    </row>
    <row r="82" spans="1:9" ht="15.75" customHeight="1">
      <c r="A82" s="177" t="s">
        <v>179</v>
      </c>
      <c r="B82" s="178"/>
      <c r="C82" s="178"/>
      <c r="D82" s="178"/>
      <c r="E82" s="178"/>
      <c r="F82" s="178"/>
      <c r="G82" s="178"/>
      <c r="H82" s="178"/>
      <c r="I82" s="179"/>
    </row>
    <row r="83" spans="1:9" ht="15.75" customHeight="1">
      <c r="A83" s="36">
        <v>23</v>
      </c>
      <c r="B83" s="141" t="s">
        <v>130</v>
      </c>
      <c r="C83" s="20" t="s">
        <v>55</v>
      </c>
      <c r="D83" s="84" t="s">
        <v>56</v>
      </c>
      <c r="E83" s="16">
        <v>4731.7</v>
      </c>
      <c r="F83" s="16">
        <f>SUM(E83*12)</f>
        <v>56780.399999999994</v>
      </c>
      <c r="G83" s="16">
        <v>2.54</v>
      </c>
      <c r="H83" s="156">
        <f>SUM(F83*G83/1000)</f>
        <v>144.22221599999997</v>
      </c>
      <c r="I83" s="16">
        <f>F83/12*G83</f>
        <v>12018.518</v>
      </c>
    </row>
    <row r="84" spans="1:9" ht="31.5" customHeight="1">
      <c r="A84" s="36">
        <v>24</v>
      </c>
      <c r="B84" s="18" t="s">
        <v>80</v>
      </c>
      <c r="C84" s="20"/>
      <c r="D84" s="84" t="s">
        <v>56</v>
      </c>
      <c r="E84" s="143">
        <f>E83</f>
        <v>4731.7</v>
      </c>
      <c r="F84" s="16">
        <f>E84*12</f>
        <v>56780.399999999994</v>
      </c>
      <c r="G84" s="16">
        <v>3.05</v>
      </c>
      <c r="H84" s="156">
        <f>F84*G84/1000</f>
        <v>173.18021999999996</v>
      </c>
      <c r="I84" s="16">
        <f>F84/12*G84</f>
        <v>14431.684999999999</v>
      </c>
    </row>
    <row r="85" spans="1:9" ht="15.75" customHeight="1">
      <c r="A85" s="36"/>
      <c r="B85" s="54" t="s">
        <v>84</v>
      </c>
      <c r="C85" s="159"/>
      <c r="D85" s="158"/>
      <c r="E85" s="147"/>
      <c r="F85" s="147"/>
      <c r="G85" s="147"/>
      <c r="H85" s="160">
        <f>H84</f>
        <v>173.18021999999996</v>
      </c>
      <c r="I85" s="147">
        <f>I16+I17+I18+I20+I21+I27+I28+I31+I32+I34+I35+I47+I48+I49+I50+I51+I52+I53+I54+I64+I66+I73+I83+I84</f>
        <v>87591.403440199996</v>
      </c>
    </row>
    <row r="86" spans="1:9" ht="15.75" customHeight="1">
      <c r="A86" s="36"/>
      <c r="B86" s="80" t="s">
        <v>61</v>
      </c>
      <c r="C86" s="20"/>
      <c r="D86" s="67"/>
      <c r="E86" s="16"/>
      <c r="F86" s="16"/>
      <c r="G86" s="16"/>
      <c r="H86" s="16"/>
      <c r="I86" s="16"/>
    </row>
    <row r="87" spans="1:9" ht="31.5" customHeight="1">
      <c r="A87" s="36">
        <v>25</v>
      </c>
      <c r="B87" s="81" t="s">
        <v>187</v>
      </c>
      <c r="C87" s="107" t="s">
        <v>188</v>
      </c>
      <c r="D87" s="18"/>
      <c r="E87" s="23"/>
      <c r="F87" s="16">
        <v>2</v>
      </c>
      <c r="G87" s="16">
        <v>51.39</v>
      </c>
      <c r="H87" s="156">
        <f>G87*F87/1000</f>
        <v>0.10278</v>
      </c>
      <c r="I87" s="16">
        <f>G87</f>
        <v>51.39</v>
      </c>
    </row>
    <row r="88" spans="1:9" ht="15.75" customHeight="1">
      <c r="A88" s="36">
        <v>26</v>
      </c>
      <c r="B88" s="81" t="s">
        <v>158</v>
      </c>
      <c r="C88" s="107" t="s">
        <v>122</v>
      </c>
      <c r="D88" s="18"/>
      <c r="E88" s="23"/>
      <c r="F88" s="16">
        <v>729</v>
      </c>
      <c r="G88" s="16">
        <v>50.68</v>
      </c>
      <c r="H88" s="156">
        <f t="shared" ref="H88:H92" si="9">G88*F88/1000</f>
        <v>36.945720000000001</v>
      </c>
      <c r="I88" s="16">
        <f>G88*81</f>
        <v>4105.08</v>
      </c>
    </row>
    <row r="89" spans="1:9" ht="15.75" customHeight="1">
      <c r="A89" s="36">
        <v>27</v>
      </c>
      <c r="B89" s="81" t="s">
        <v>90</v>
      </c>
      <c r="C89" s="107" t="s">
        <v>210</v>
      </c>
      <c r="D89" s="18"/>
      <c r="E89" s="23"/>
      <c r="F89" s="16">
        <v>2</v>
      </c>
      <c r="G89" s="16">
        <v>290.67</v>
      </c>
      <c r="H89" s="156">
        <f t="shared" si="9"/>
        <v>0.58134000000000008</v>
      </c>
      <c r="I89" s="16">
        <f>G89</f>
        <v>290.67</v>
      </c>
    </row>
    <row r="90" spans="1:9" ht="31.5" customHeight="1">
      <c r="A90" s="36">
        <v>28</v>
      </c>
      <c r="B90" s="81" t="s">
        <v>167</v>
      </c>
      <c r="C90" s="107" t="s">
        <v>166</v>
      </c>
      <c r="D90" s="18"/>
      <c r="E90" s="23"/>
      <c r="F90" s="16">
        <v>4</v>
      </c>
      <c r="G90" s="16">
        <v>762.37</v>
      </c>
      <c r="H90" s="156">
        <f t="shared" si="9"/>
        <v>3.04948</v>
      </c>
      <c r="I90" s="16">
        <f>G90</f>
        <v>762.37</v>
      </c>
    </row>
    <row r="91" spans="1:9" ht="15.75" customHeight="1">
      <c r="A91" s="36">
        <v>29</v>
      </c>
      <c r="B91" s="81" t="s">
        <v>217</v>
      </c>
      <c r="C91" s="108" t="s">
        <v>218</v>
      </c>
      <c r="D91" s="18"/>
      <c r="E91" s="23"/>
      <c r="F91" s="16">
        <v>1</v>
      </c>
      <c r="G91" s="16">
        <v>193.17</v>
      </c>
      <c r="H91" s="156">
        <f t="shared" si="9"/>
        <v>0.19316999999999998</v>
      </c>
      <c r="I91" s="16">
        <f>G91</f>
        <v>193.17</v>
      </c>
    </row>
    <row r="92" spans="1:9" ht="31.5" customHeight="1">
      <c r="A92" s="36">
        <v>30</v>
      </c>
      <c r="B92" s="81" t="s">
        <v>219</v>
      </c>
      <c r="C92" s="107" t="s">
        <v>166</v>
      </c>
      <c r="D92" s="18"/>
      <c r="E92" s="23"/>
      <c r="F92" s="16">
        <v>2</v>
      </c>
      <c r="G92" s="16">
        <v>476.76</v>
      </c>
      <c r="H92" s="156">
        <f t="shared" si="9"/>
        <v>0.95352000000000003</v>
      </c>
      <c r="I92" s="16">
        <f>G92*2</f>
        <v>953.52</v>
      </c>
    </row>
    <row r="93" spans="1:9">
      <c r="A93" s="36"/>
      <c r="B93" s="61" t="s">
        <v>51</v>
      </c>
      <c r="C93" s="57"/>
      <c r="D93" s="71"/>
      <c r="E93" s="57">
        <v>1</v>
      </c>
      <c r="F93" s="57"/>
      <c r="G93" s="57"/>
      <c r="H93" s="57"/>
      <c r="I93" s="39">
        <f>SUM(I87:I92)</f>
        <v>6356.2000000000007</v>
      </c>
    </row>
    <row r="94" spans="1:9" ht="15.75" customHeight="1">
      <c r="A94" s="36"/>
      <c r="B94" s="67" t="s">
        <v>81</v>
      </c>
      <c r="C94" s="19"/>
      <c r="D94" s="19"/>
      <c r="E94" s="58"/>
      <c r="F94" s="58"/>
      <c r="G94" s="59"/>
      <c r="H94" s="59"/>
      <c r="I94" s="22">
        <v>0</v>
      </c>
    </row>
    <row r="95" spans="1:9" ht="15.75" customHeight="1">
      <c r="A95" s="72"/>
      <c r="B95" s="62" t="s">
        <v>52</v>
      </c>
      <c r="C95" s="45"/>
      <c r="D95" s="45"/>
      <c r="E95" s="45"/>
      <c r="F95" s="45"/>
      <c r="G95" s="45"/>
      <c r="H95" s="45"/>
      <c r="I95" s="60">
        <f>I85+I93</f>
        <v>93947.603440199993</v>
      </c>
    </row>
    <row r="96" spans="1:9" ht="15.75" customHeight="1">
      <c r="A96" s="169" t="s">
        <v>258</v>
      </c>
      <c r="B96" s="169"/>
      <c r="C96" s="169"/>
      <c r="D96" s="169"/>
      <c r="E96" s="169"/>
      <c r="F96" s="169"/>
      <c r="G96" s="169"/>
      <c r="H96" s="169"/>
      <c r="I96" s="169"/>
    </row>
    <row r="97" spans="1:9" ht="15.75" customHeight="1">
      <c r="A97" s="121"/>
      <c r="B97" s="170" t="s">
        <v>259</v>
      </c>
      <c r="C97" s="170"/>
      <c r="D97" s="170"/>
      <c r="E97" s="170"/>
      <c r="F97" s="170"/>
      <c r="G97" s="170"/>
      <c r="H97" s="139"/>
      <c r="I97" s="3"/>
    </row>
    <row r="98" spans="1:9" ht="15.75" customHeight="1">
      <c r="A98" s="130"/>
      <c r="B98" s="165" t="s">
        <v>6</v>
      </c>
      <c r="C98" s="165"/>
      <c r="D98" s="165"/>
      <c r="E98" s="165"/>
      <c r="F98" s="165"/>
      <c r="G98" s="165"/>
      <c r="H98" s="31"/>
      <c r="I98" s="5"/>
    </row>
    <row r="99" spans="1:9" ht="15.75" customHeight="1">
      <c r="A99" s="10"/>
      <c r="B99" s="10"/>
      <c r="C99" s="10"/>
      <c r="D99" s="10"/>
      <c r="E99" s="10"/>
      <c r="F99" s="10"/>
      <c r="G99" s="10"/>
      <c r="H99" s="10"/>
      <c r="I99" s="10"/>
    </row>
    <row r="100" spans="1:9" ht="15.75" customHeight="1">
      <c r="A100" s="171" t="s">
        <v>7</v>
      </c>
      <c r="B100" s="171"/>
      <c r="C100" s="171"/>
      <c r="D100" s="171"/>
      <c r="E100" s="171"/>
      <c r="F100" s="171"/>
      <c r="G100" s="171"/>
      <c r="H100" s="171"/>
      <c r="I100" s="171"/>
    </row>
    <row r="101" spans="1:9" ht="15.75" customHeight="1">
      <c r="A101" s="171" t="s">
        <v>8</v>
      </c>
      <c r="B101" s="171"/>
      <c r="C101" s="171"/>
      <c r="D101" s="171"/>
      <c r="E101" s="171"/>
      <c r="F101" s="171"/>
      <c r="G101" s="171"/>
      <c r="H101" s="171"/>
      <c r="I101" s="171"/>
    </row>
    <row r="102" spans="1:9" ht="15.75" customHeight="1">
      <c r="A102" s="172" t="s">
        <v>62</v>
      </c>
      <c r="B102" s="172"/>
      <c r="C102" s="172"/>
      <c r="D102" s="172"/>
      <c r="E102" s="172"/>
      <c r="F102" s="172"/>
      <c r="G102" s="172"/>
      <c r="H102" s="172"/>
      <c r="I102" s="172"/>
    </row>
    <row r="103" spans="1:9" ht="15.75" customHeight="1">
      <c r="A103" s="11"/>
    </row>
    <row r="104" spans="1:9" ht="15.75">
      <c r="A104" s="163" t="s">
        <v>9</v>
      </c>
      <c r="B104" s="163"/>
      <c r="C104" s="163"/>
      <c r="D104" s="163"/>
      <c r="E104" s="163"/>
      <c r="F104" s="163"/>
      <c r="G104" s="163"/>
      <c r="H104" s="163"/>
      <c r="I104" s="163"/>
    </row>
    <row r="105" spans="1:9" ht="15.75">
      <c r="A105" s="4"/>
    </row>
    <row r="106" spans="1:9" ht="15.75" customHeight="1">
      <c r="B106" s="127" t="s">
        <v>10</v>
      </c>
      <c r="C106" s="164" t="s">
        <v>180</v>
      </c>
      <c r="D106" s="164"/>
      <c r="E106" s="164"/>
      <c r="F106" s="137"/>
      <c r="I106" s="129"/>
    </row>
    <row r="107" spans="1:9" ht="15.75" customHeight="1">
      <c r="A107" s="130"/>
      <c r="C107" s="165" t="s">
        <v>11</v>
      </c>
      <c r="D107" s="165"/>
      <c r="E107" s="165"/>
      <c r="F107" s="31"/>
      <c r="I107" s="128" t="s">
        <v>12</v>
      </c>
    </row>
    <row r="108" spans="1:9" ht="15.75" customHeight="1">
      <c r="A108" s="32"/>
      <c r="C108" s="12"/>
      <c r="D108" s="12"/>
      <c r="G108" s="12"/>
      <c r="H108" s="12"/>
    </row>
    <row r="109" spans="1:9" ht="15.75" customHeight="1">
      <c r="B109" s="127" t="s">
        <v>13</v>
      </c>
      <c r="C109" s="166"/>
      <c r="D109" s="166"/>
      <c r="E109" s="166"/>
      <c r="F109" s="138"/>
      <c r="I109" s="129"/>
    </row>
    <row r="110" spans="1:9" ht="15.75" customHeight="1">
      <c r="A110" s="130"/>
      <c r="C110" s="167" t="s">
        <v>11</v>
      </c>
      <c r="D110" s="167"/>
      <c r="E110" s="167"/>
      <c r="F110" s="130"/>
      <c r="I110" s="128" t="s">
        <v>12</v>
      </c>
    </row>
    <row r="111" spans="1:9" ht="15.75">
      <c r="A111" s="4" t="s">
        <v>14</v>
      </c>
    </row>
    <row r="112" spans="1:9">
      <c r="A112" s="168" t="s">
        <v>15</v>
      </c>
      <c r="B112" s="168"/>
      <c r="C112" s="168"/>
      <c r="D112" s="168"/>
      <c r="E112" s="168"/>
      <c r="F112" s="168"/>
      <c r="G112" s="168"/>
      <c r="H112" s="168"/>
      <c r="I112" s="168"/>
    </row>
    <row r="113" spans="1:9" ht="45" customHeight="1">
      <c r="A113" s="162" t="s">
        <v>16</v>
      </c>
      <c r="B113" s="162"/>
      <c r="C113" s="162"/>
      <c r="D113" s="162"/>
      <c r="E113" s="162"/>
      <c r="F113" s="162"/>
      <c r="G113" s="162"/>
      <c r="H113" s="162"/>
      <c r="I113" s="162"/>
    </row>
    <row r="114" spans="1:9" ht="30" customHeight="1">
      <c r="A114" s="162" t="s">
        <v>17</v>
      </c>
      <c r="B114" s="162"/>
      <c r="C114" s="162"/>
      <c r="D114" s="162"/>
      <c r="E114" s="162"/>
      <c r="F114" s="162"/>
      <c r="G114" s="162"/>
      <c r="H114" s="162"/>
      <c r="I114" s="162"/>
    </row>
    <row r="115" spans="1:9" ht="30" customHeight="1">
      <c r="A115" s="162" t="s">
        <v>21</v>
      </c>
      <c r="B115" s="162"/>
      <c r="C115" s="162"/>
      <c r="D115" s="162"/>
      <c r="E115" s="162"/>
      <c r="F115" s="162"/>
      <c r="G115" s="162"/>
      <c r="H115" s="162"/>
      <c r="I115" s="162"/>
    </row>
    <row r="116" spans="1:9" ht="15" customHeight="1">
      <c r="A116" s="162" t="s">
        <v>20</v>
      </c>
      <c r="B116" s="162"/>
      <c r="C116" s="162"/>
      <c r="D116" s="162"/>
      <c r="E116" s="162"/>
      <c r="F116" s="162"/>
      <c r="G116" s="162"/>
      <c r="H116" s="162"/>
      <c r="I116" s="162"/>
    </row>
  </sheetData>
  <autoFilter ref="I12:I61"/>
  <mergeCells count="28">
    <mergeCell ref="A113:I113"/>
    <mergeCell ref="A114:I114"/>
    <mergeCell ref="A115:I115"/>
    <mergeCell ref="A116:I116"/>
    <mergeCell ref="A104:I104"/>
    <mergeCell ref="C106:E106"/>
    <mergeCell ref="C107:E107"/>
    <mergeCell ref="C109:E109"/>
    <mergeCell ref="C110:E110"/>
    <mergeCell ref="A112:I112"/>
    <mergeCell ref="A96:I96"/>
    <mergeCell ref="B97:G97"/>
    <mergeCell ref="B98:G98"/>
    <mergeCell ref="A100:I100"/>
    <mergeCell ref="A101:I101"/>
    <mergeCell ref="A102:I102"/>
    <mergeCell ref="A15:I15"/>
    <mergeCell ref="A29:I29"/>
    <mergeCell ref="A46:I46"/>
    <mergeCell ref="A56:I56"/>
    <mergeCell ref="R66:U66"/>
    <mergeCell ref="A82:I82"/>
    <mergeCell ref="A3:I3"/>
    <mergeCell ref="A4:I4"/>
    <mergeCell ref="A5:I5"/>
    <mergeCell ref="A8:I8"/>
    <mergeCell ref="A10:I10"/>
    <mergeCell ref="A14:I14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01.16</vt:lpstr>
      <vt:lpstr>02.16</vt:lpstr>
      <vt:lpstr>03.16</vt:lpstr>
      <vt:lpstr>04.16</vt:lpstr>
      <vt:lpstr>05.16</vt:lpstr>
      <vt:lpstr>06.16</vt:lpstr>
      <vt:lpstr>07.16</vt:lpstr>
      <vt:lpstr>08.16</vt:lpstr>
      <vt:lpstr>09.16</vt:lpstr>
      <vt:lpstr>10.16</vt:lpstr>
      <vt:lpstr>11.16</vt:lpstr>
      <vt:lpstr>12.16</vt:lpstr>
      <vt:lpstr>'01.16'!Область_печати</vt:lpstr>
      <vt:lpstr>'02.16'!Область_печати</vt:lpstr>
      <vt:lpstr>'03.16'!Область_печати</vt:lpstr>
      <vt:lpstr>'04.16'!Область_печати</vt:lpstr>
      <vt:lpstr>'05.16'!Область_печати</vt:lpstr>
      <vt:lpstr>'06.16'!Область_печати</vt:lpstr>
      <vt:lpstr>'07.16'!Область_печати</vt:lpstr>
      <vt:lpstr>'08.16'!Область_печати</vt:lpstr>
      <vt:lpstr>'09.16'!Область_печати</vt:lpstr>
      <vt:lpstr>'10.16'!Область_печати</vt:lpstr>
      <vt:lpstr>'11.16'!Область_печати</vt:lpstr>
      <vt:lpstr>'12.16'!Область_печати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2017-05-16T06:48:32Z</cp:lastPrinted>
  <dcterms:created xsi:type="dcterms:W3CDTF">2016-03-25T08:33:47Z</dcterms:created>
  <dcterms:modified xsi:type="dcterms:W3CDTF">2017-05-16T06:48:34Z</dcterms:modified>
</cp:coreProperties>
</file>